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codeName="ThisWorkbook" defaultThemeVersion="124226"/>
  <mc:AlternateContent xmlns:mc="http://schemas.openxmlformats.org/markup-compatibility/2006">
    <mc:Choice Requires="x15">
      <x15ac:absPath xmlns:x15ac="http://schemas.microsoft.com/office/spreadsheetml/2010/11/ac" url="C:\Users\anthony.cossio\Downloads\"/>
    </mc:Choice>
  </mc:AlternateContent>
  <xr:revisionPtr revIDLastSave="0" documentId="8_{6D05D4EA-E4E4-4B07-A49A-067C1314C75C}" xr6:coauthVersionLast="47" xr6:coauthVersionMax="47" xr10:uidLastSave="{00000000-0000-0000-0000-000000000000}"/>
  <bookViews>
    <workbookView xWindow="-25110" yWindow="-240" windowWidth="17910" windowHeight="13800" xr2:uid="{00000000-000D-0000-FFFF-FFFF00000000}"/>
  </bookViews>
  <sheets>
    <sheet name="Ballast Sheet" sheetId="15" r:id="rId1"/>
    <sheet name="Worksheet" sheetId="4" r:id="rId2"/>
    <sheet name="Oil pump test" sheetId="18" r:id="rId3"/>
    <sheet name="TWR Ballast" sheetId="1" r:id="rId4"/>
    <sheet name="Trim Calculator" sheetId="17" r:id="rId5"/>
    <sheet name="Ballast Iteration" sheetId="16" r:id="rId6"/>
    <sheet name="Constants" sheetId="6" state="hidden" r:id="rId7"/>
  </sheets>
  <definedNames>
    <definedName name="aft_config">Constants!$D$2:$D$6</definedName>
    <definedName name="battery_type">Constants!$C$2:$C$3</definedName>
    <definedName name="glider_type">Constants!$A$2:$A$6</definedName>
    <definedName name="nose_config">Constants!$F$2:$F$5</definedName>
    <definedName name="pinger_style">Constants!$J$2:$J$6</definedName>
    <definedName name="pond_wings">Constants!$H$2:$H$5</definedName>
    <definedName name="_xlnm.Print_Area" localSheetId="5">'Ballast Iteration'!$A$1:$L$31</definedName>
    <definedName name="_xlnm.Print_Area" localSheetId="3">'TWR Ballast'!$A$1:$H$94</definedName>
    <definedName name="_xlnm.Print_Area" localSheetId="1">Worksheet!$A$1:$H$54</definedName>
    <definedName name="_xlnm.Print_Titles" localSheetId="3">'TWR Ballast'!$1:$5</definedName>
    <definedName name="weight_type">Constants!$G$2:$G$3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8" l="1"/>
  <c r="H16" i="18"/>
  <c r="C15" i="18"/>
  <c r="C16" i="18"/>
  <c r="C17" i="18"/>
  <c r="C18" i="18"/>
  <c r="C19" i="18"/>
  <c r="C14" i="18"/>
  <c r="C6" i="18"/>
  <c r="C7" i="18"/>
  <c r="C8" i="18"/>
  <c r="C9" i="18"/>
  <c r="C5" i="18"/>
  <c r="C4" i="18"/>
  <c r="E15" i="17"/>
  <c r="E16" i="17" s="1"/>
  <c r="B13" i="17"/>
  <c r="E13" i="17" s="1"/>
  <c r="G13" i="17" s="1"/>
  <c r="E12" i="17"/>
  <c r="I11" i="17"/>
  <c r="H11" i="17"/>
  <c r="G11" i="17"/>
  <c r="F11" i="17"/>
  <c r="E11" i="17"/>
  <c r="D11" i="17"/>
  <c r="C11" i="17"/>
  <c r="B11" i="17"/>
  <c r="I9" i="17"/>
  <c r="H9" i="17"/>
  <c r="G9" i="17"/>
  <c r="F9" i="17"/>
  <c r="E9" i="17"/>
  <c r="D9" i="17"/>
  <c r="C9" i="17"/>
  <c r="B9" i="17"/>
  <c r="F1" i="17"/>
  <c r="B1" i="17"/>
  <c r="D40" i="15"/>
  <c r="F40" i="15" s="1"/>
  <c r="D39" i="15"/>
  <c r="F39" i="15" s="1"/>
  <c r="F41" i="15" s="1"/>
  <c r="B24" i="15" s="1"/>
  <c r="D27" i="15"/>
  <c r="D26" i="15" s="1"/>
  <c r="G24" i="15"/>
  <c r="G28" i="15" s="1"/>
  <c r="D24" i="15"/>
  <c r="H23" i="15"/>
  <c r="H22" i="15"/>
  <c r="D17" i="15"/>
  <c r="D16" i="15"/>
  <c r="D15" i="15"/>
  <c r="D14" i="15"/>
  <c r="D13" i="15"/>
  <c r="D12" i="15"/>
  <c r="D11" i="15"/>
  <c r="D10" i="15"/>
  <c r="D9" i="15"/>
  <c r="D8" i="15"/>
  <c r="D7" i="15"/>
  <c r="D6" i="15"/>
  <c r="D5" i="15"/>
  <c r="D4" i="15"/>
  <c r="D3" i="15"/>
  <c r="D2" i="15"/>
  <c r="C54" i="4"/>
  <c r="C53" i="4"/>
  <c r="C28" i="1"/>
  <c r="C29" i="1" s="1"/>
  <c r="D33" i="15" l="1"/>
  <c r="B32" i="15"/>
  <c r="B33" i="15" s="1"/>
  <c r="D32" i="15"/>
  <c r="B35" i="15"/>
  <c r="B29" i="15"/>
  <c r="H24" i="15"/>
  <c r="C17" i="6"/>
  <c r="D17" i="6" s="1"/>
  <c r="C72" i="1" l="1"/>
  <c r="E72" i="1" s="1"/>
  <c r="C7" i="4" l="1"/>
  <c r="C83" i="1" l="1"/>
  <c r="E83" i="1" s="1"/>
  <c r="C9" i="4"/>
  <c r="C8" i="4"/>
  <c r="C44" i="1" l="1"/>
  <c r="C18" i="6" l="1"/>
  <c r="D18" i="6" s="1"/>
  <c r="G4" i="4" l="1"/>
  <c r="G3" i="4"/>
  <c r="G2" i="4"/>
  <c r="G1" i="4"/>
  <c r="C14" i="6" l="1"/>
  <c r="D14" i="6" s="1"/>
  <c r="C13" i="6"/>
  <c r="D13" i="6" s="1"/>
  <c r="B6" i="6" s="1"/>
  <c r="C12" i="6"/>
  <c r="D12" i="6" s="1"/>
  <c r="C11" i="6"/>
  <c r="D11" i="6" s="1"/>
  <c r="B2" i="6" s="1"/>
  <c r="B3" i="6" l="1"/>
  <c r="B5" i="6"/>
  <c r="B4" i="6"/>
  <c r="G15" i="4"/>
  <c r="G14" i="4"/>
  <c r="C15" i="4"/>
  <c r="C14" i="4"/>
  <c r="C10" i="4" l="1"/>
  <c r="C16" i="6"/>
  <c r="D16" i="6" s="1"/>
  <c r="C15" i="6"/>
  <c r="D15" i="6" s="1"/>
  <c r="I35" i="1" l="1"/>
  <c r="I32" i="1" l="1"/>
  <c r="I33" i="1"/>
  <c r="I34" i="1"/>
  <c r="C37" i="1"/>
  <c r="E37" i="1"/>
  <c r="E61" i="1"/>
  <c r="E62" i="1"/>
  <c r="E64" i="1"/>
  <c r="E65" i="1"/>
  <c r="C66" i="1"/>
  <c r="E67" i="1"/>
  <c r="E73" i="1"/>
  <c r="E84" i="1"/>
  <c r="E85" i="1"/>
  <c r="E86" i="1"/>
  <c r="E87" i="1"/>
  <c r="E91" i="1"/>
  <c r="C70" i="1" l="1"/>
  <c r="C38" i="1"/>
  <c r="C16" i="4"/>
  <c r="E38" i="1"/>
  <c r="G16" i="4"/>
  <c r="C74" i="1" l="1"/>
  <c r="C17" i="4"/>
  <c r="C89" i="1"/>
  <c r="C92" i="1" s="1"/>
  <c r="G32" i="1"/>
  <c r="G38" i="1"/>
  <c r="G17" i="4"/>
  <c r="I38" i="1"/>
  <c r="I39" i="1" s="1"/>
  <c r="C11" i="4" l="1"/>
  <c r="G39" i="1"/>
  <c r="C41" i="1" l="1"/>
</calcChain>
</file>

<file path=xl/sharedStrings.xml><?xml version="1.0" encoding="utf-8"?>
<sst xmlns="http://schemas.openxmlformats.org/spreadsheetml/2006/main" count="448" uniqueCount="323">
  <si>
    <t>Glider Name:</t>
  </si>
  <si>
    <t>Date:</t>
  </si>
  <si>
    <t>Liters</t>
  </si>
  <si>
    <t>Target Water</t>
  </si>
  <si>
    <t>Tank Water</t>
  </si>
  <si>
    <t>Weight Change</t>
  </si>
  <si>
    <t>pss</t>
  </si>
  <si>
    <r>
      <t>g/L</t>
    </r>
    <r>
      <rPr>
        <vertAlign val="superscript"/>
        <sz val="10"/>
        <rFont val="Arial"/>
        <family val="2"/>
      </rPr>
      <t>o</t>
    </r>
    <r>
      <rPr>
        <sz val="10"/>
        <rFont val="Arial"/>
        <family val="2"/>
      </rPr>
      <t>C</t>
    </r>
  </si>
  <si>
    <r>
      <t>o</t>
    </r>
    <r>
      <rPr>
        <sz val="10"/>
        <rFont val="Arial"/>
        <family val="2"/>
      </rPr>
      <t>C</t>
    </r>
  </si>
  <si>
    <t>Total Weight Adjustment:</t>
  </si>
  <si>
    <t>grams</t>
  </si>
  <si>
    <t>1- Place well-ballasted glider in tank with wings.</t>
  </si>
  <si>
    <t>2- Add a known amount of weight (~300 g) on one wing rail</t>
  </si>
  <si>
    <t>3- Attach a spring scale to the glider on the opposite wing rail</t>
  </si>
  <si>
    <t>4- Measure the weight change shown on the spring scale</t>
  </si>
  <si>
    <t>mm</t>
  </si>
  <si>
    <t>H-distance</t>
  </si>
  <si>
    <t>Pitch Range</t>
  </si>
  <si>
    <t>Degrees</t>
  </si>
  <si>
    <t>s/m</t>
  </si>
  <si>
    <t>2- Record m_pitch and m_battpos</t>
  </si>
  <si>
    <t>4- Record m_pitch and m_battpos</t>
  </si>
  <si>
    <t>kg</t>
  </si>
  <si>
    <t>radians</t>
  </si>
  <si>
    <t>inches</t>
  </si>
  <si>
    <t>Weight of Pitch Battery</t>
  </si>
  <si>
    <t>Pitch_1</t>
  </si>
  <si>
    <t>Battery Position_1</t>
  </si>
  <si>
    <t>Pitch_2</t>
  </si>
  <si>
    <t>Battery Position_2</t>
  </si>
  <si>
    <t>degrees</t>
  </si>
  <si>
    <t>Roll Start</t>
  </si>
  <si>
    <t>Roll End</t>
  </si>
  <si>
    <t>Weight on Spring</t>
  </si>
  <si>
    <t>Weight added on wing rail</t>
  </si>
  <si>
    <t>Angle of Rotation</t>
  </si>
  <si>
    <t>(radius of hull: 200m=107, 1000m=110)</t>
  </si>
  <si>
    <t>Calculated/given Salinity</t>
  </si>
  <si>
    <t>Aft</t>
  </si>
  <si>
    <t>H-Distance</t>
  </si>
  <si>
    <t>Calculated/given Density</t>
  </si>
  <si>
    <t>Temperature and</t>
  </si>
  <si>
    <t>(Density or</t>
  </si>
  <si>
    <t>Conductivity or</t>
  </si>
  <si>
    <t>Salinity)</t>
  </si>
  <si>
    <t>3- Put battery position at 0</t>
  </si>
  <si>
    <t>Forward</t>
  </si>
  <si>
    <t>1- Put battery position (c_battpos) at about .25, ensure front of glider is not touching bottom of tank- adjust as necessary</t>
  </si>
  <si>
    <t>Glider Ballast Worksheet</t>
  </si>
  <si>
    <t>TANK WATER:</t>
  </si>
  <si>
    <t>TARGET WATER</t>
  </si>
  <si>
    <t>Payload</t>
  </si>
  <si>
    <t>Final Weight Configuration As Sent to Customer</t>
  </si>
  <si>
    <t>Port Bottle</t>
  </si>
  <si>
    <t>Top FWD</t>
  </si>
  <si>
    <t>Aft Bottle</t>
  </si>
  <si>
    <t>STBD Bottle</t>
  </si>
  <si>
    <t>Bottom FWD</t>
  </si>
  <si>
    <t>Bottom Bottle</t>
  </si>
  <si>
    <t>Top AFT</t>
  </si>
  <si>
    <t>Bottom AFT</t>
  </si>
  <si>
    <t>Glider Type:</t>
  </si>
  <si>
    <t>Glider Types</t>
  </si>
  <si>
    <t>G1 Shallow (200m)</t>
  </si>
  <si>
    <t>G1 Deep (1000m)</t>
  </si>
  <si>
    <t>G2 Deep (1000m)</t>
  </si>
  <si>
    <t>Total Glider Displacement:</t>
  </si>
  <si>
    <t>in^3</t>
  </si>
  <si>
    <t>L</t>
  </si>
  <si>
    <t>Base Glider Displacement:</t>
  </si>
  <si>
    <t>Installed</t>
  </si>
  <si>
    <t>Volume of Additional Bay</t>
  </si>
  <si>
    <t>Ballasted by:</t>
  </si>
  <si>
    <t>Ballasting The Slocum Glider (Spreadsheet)</t>
  </si>
  <si>
    <t>Glider Displacement (L):</t>
  </si>
  <si>
    <t>Temperature (°C):</t>
  </si>
  <si>
    <t>Conductivity (S/m):</t>
  </si>
  <si>
    <t>Salinity (psu):</t>
  </si>
  <si>
    <t>Density (g/L°C):</t>
  </si>
  <si>
    <t>Pie Weight Locations</t>
  </si>
  <si>
    <t>H-Moment (mm):</t>
  </si>
  <si>
    <t>Weight (g)</t>
  </si>
  <si>
    <t>Ballasting Technician:</t>
  </si>
  <si>
    <t>Weight Bar</t>
  </si>
  <si>
    <t>Reference Ballasting Procedure 4095-GBP</t>
  </si>
  <si>
    <t>5- Measure the angle of roll that the glider undergoes due to the addition of weight. For this step you can use an inclinometer (less accurate) or have the glider on and measure compass roll before and after weight addition and measure angle difference.</t>
  </si>
  <si>
    <t>6- Remove the added weight, measure weight, and multiply by 0.912 if using Lead weight or by 0.875 if the weight used is stainless steel. This factor accounts for buoyancy provided by water on material.</t>
  </si>
  <si>
    <t>Battery Type:</t>
  </si>
  <si>
    <t>Battery Types</t>
  </si>
  <si>
    <t>Alkaline</t>
  </si>
  <si>
    <t>Lithium</t>
  </si>
  <si>
    <t>Aft Configuration</t>
  </si>
  <si>
    <t>Pitch Configuration</t>
  </si>
  <si>
    <t>Nose Configuration</t>
  </si>
  <si>
    <t>Radius of Hull + 
Distance to Weight</t>
  </si>
  <si>
    <t>Total range of 
Pitch Battery (+/- in)</t>
  </si>
  <si>
    <t>Sign:</t>
  </si>
  <si>
    <t>Aft Configurations</t>
  </si>
  <si>
    <t>Nose Configurations</t>
  </si>
  <si>
    <t>9 pack aft</t>
  </si>
  <si>
    <t>10 pack aft</t>
  </si>
  <si>
    <t>11 pack aft</t>
  </si>
  <si>
    <t>12 pack aft</t>
  </si>
  <si>
    <t>0 pack nose</t>
  </si>
  <si>
    <t>1 pack nose</t>
  </si>
  <si>
    <t>2 pack nose</t>
  </si>
  <si>
    <t>Drive Weight Type</t>
  </si>
  <si>
    <t>Stainless Steel</t>
  </si>
  <si>
    <t>Lead</t>
  </si>
  <si>
    <t>Drive Weight Material</t>
  </si>
  <si>
    <t>4095-GBPSH</t>
  </si>
  <si>
    <t>Document #:</t>
  </si>
  <si>
    <t>Rev:</t>
  </si>
  <si>
    <t>ECO #:</t>
  </si>
  <si>
    <t>Calculating H-moment (Roll Method)</t>
  </si>
  <si>
    <t>Calculating H-moment (Pitch Battery method)</t>
  </si>
  <si>
    <t>weight (kg)</t>
  </si>
  <si>
    <t xml:space="preserve"> </t>
  </si>
  <si>
    <t>N/A</t>
  </si>
  <si>
    <t>G2 Shallow (&lt;=200m)</t>
  </si>
  <si>
    <t>DVL Bay (5.75")</t>
  </si>
  <si>
    <t>Glider Displacements (L)</t>
  </si>
  <si>
    <t>MARK III aft end cap</t>
  </si>
  <si>
    <t>Add-ons 
(check box for each)</t>
  </si>
  <si>
    <t>Mark III Aft End Cap</t>
  </si>
  <si>
    <t>1- Fill in all fields that are shaded in blue</t>
  </si>
  <si>
    <t>2- Adjust weight by amount in yellow box to go from neutrally buoyant in tank to neutrally buoyant in target water</t>
  </si>
  <si>
    <t>3- If you want to change anything, the password to unprotect the sheet is "glider"</t>
  </si>
  <si>
    <t>Pinger Channel:</t>
  </si>
  <si>
    <t>Pond Wings:</t>
  </si>
  <si>
    <t>length of bay (inches)</t>
  </si>
  <si>
    <t>2nd sci bay (G1 deep &amp; G2)</t>
  </si>
  <si>
    <t>1st sci bay (G1 deep &amp; G2)</t>
  </si>
  <si>
    <t xml:space="preserve">  1st           2nd</t>
  </si>
  <si>
    <t>G2 sci/energy bay</t>
  </si>
  <si>
    <t>1st sci bay (G1 shallow)</t>
  </si>
  <si>
    <t>2nd sci bay (G1 shallow)</t>
  </si>
  <si>
    <t>G1 Shallow Science Bay</t>
  </si>
  <si>
    <t>G1 Deep/G2 Science Bay</t>
  </si>
  <si>
    <t>Science/Energy Bay Configuration</t>
  </si>
  <si>
    <t>Science FWD</t>
  </si>
  <si>
    <t>Science AFT</t>
  </si>
  <si>
    <t>Extended Sci/Energy Bay Configurations</t>
  </si>
  <si>
    <t>Secondary Lithium
Pitch Pack</t>
  </si>
  <si>
    <t>Lithium Aft Pack</t>
  </si>
  <si>
    <t>Lithium Emergency Pack</t>
  </si>
  <si>
    <t>G2 Extended Science/ Energy Bay (14.85")</t>
  </si>
  <si>
    <t>Pie weights can be removed or shifted around to indicate exact location. The quantity can also be changed to represent stacked pie weights.</t>
  </si>
  <si>
    <t>Wing Rail Weight Locations</t>
  </si>
  <si>
    <t>Shade in the location of wing rail weights.</t>
  </si>
  <si>
    <t>F</t>
  </si>
  <si>
    <t>Rockland Scientific Microrider</t>
  </si>
  <si>
    <t>SUNA Nitrate Sensor</t>
  </si>
  <si>
    <t>ES Shallow (100m)</t>
  </si>
  <si>
    <t>ES Science/Energy Bay (15.75")</t>
  </si>
  <si>
    <t>Additional Bay FWD</t>
  </si>
  <si>
    <t>Note: This spreadsheet consists of 3 tabs. Complete "Ballast", "Worksheet", and the tab relevant to your particular glider.</t>
  </si>
  <si>
    <t>Configure 2 Drive Weights, Each Weighing (g)</t>
  </si>
  <si>
    <t>Insert Glider-specific Volume Adjustment Here</t>
  </si>
  <si>
    <t>2nd dvl/echosounder/optics bay</t>
  </si>
  <si>
    <t>1st dvl/echosounder/optics bay</t>
  </si>
  <si>
    <t>Pond Wings</t>
  </si>
  <si>
    <t>A</t>
  </si>
  <si>
    <t>B</t>
  </si>
  <si>
    <t>C</t>
  </si>
  <si>
    <t>D</t>
  </si>
  <si>
    <t>Pond Wing Displacements (L)</t>
  </si>
  <si>
    <t>Pinger</t>
  </si>
  <si>
    <t>Pinger Displacement (L)</t>
  </si>
  <si>
    <t>Channel 1</t>
  </si>
  <si>
    <t>Channel 2</t>
  </si>
  <si>
    <t>Channel 3</t>
  </si>
  <si>
    <t>Channel 4</t>
  </si>
  <si>
    <t>FAA-style</t>
  </si>
  <si>
    <t>Extended sci/energy bay</t>
  </si>
  <si>
    <t>MASS (g)</t>
  </si>
  <si>
    <t>COMMENTS</t>
  </si>
  <si>
    <t xml:space="preserve">Deployment </t>
  </si>
  <si>
    <t>GLIDER</t>
  </si>
  <si>
    <t>FORE STEM (minus FBB1,2)</t>
  </si>
  <si>
    <t>FORE HULL</t>
  </si>
  <si>
    <r>
      <t xml:space="preserve">AFT STEM </t>
    </r>
    <r>
      <rPr>
        <sz val="8"/>
        <rFont val="Arial"/>
        <family val="2"/>
      </rPr>
      <t>(red plug, card)</t>
    </r>
  </si>
  <si>
    <t>Glider</t>
  </si>
  <si>
    <t>AFT HULL</t>
  </si>
  <si>
    <t>COWLING</t>
  </si>
  <si>
    <r>
      <t xml:space="preserve">SCREWS </t>
    </r>
    <r>
      <rPr>
        <sz val="8"/>
        <rFont val="Arial"/>
        <family val="2"/>
      </rPr>
      <t>(vacuum, cowling, aft battery)</t>
    </r>
  </si>
  <si>
    <t>Date</t>
  </si>
  <si>
    <t>PAYLOAD</t>
  </si>
  <si>
    <t>PAYLOAD BAY</t>
  </si>
  <si>
    <t>WINGS</t>
  </si>
  <si>
    <t>OTHER</t>
  </si>
  <si>
    <t>Preparer</t>
  </si>
  <si>
    <t>BATTERIES</t>
  </si>
  <si>
    <t>AFT BATTERY</t>
  </si>
  <si>
    <t>PITCH BATTERY</t>
  </si>
  <si>
    <t>FORE BATTERY 1, 2, EMER</t>
  </si>
  <si>
    <t>WEIGHT BOTTLES</t>
  </si>
  <si>
    <t>AFT BOTTLE</t>
  </si>
  <si>
    <t>FORE BOTTLE 1 (stbd) (FBB1)</t>
  </si>
  <si>
    <t>FORE BOTTLE 2 (port) (FBB2)</t>
  </si>
  <si>
    <t>ENTIRE VEHICLE (Ohaus Scale)</t>
  </si>
  <si>
    <t>Tank Specifics</t>
  </si>
  <si>
    <t>Glider Specifics</t>
  </si>
  <si>
    <t>H MOMENT (rad)</t>
  </si>
  <si>
    <t>(deg)</t>
  </si>
  <si>
    <t>Tank Density (kg/m^3)</t>
  </si>
  <si>
    <t>Glider Volume (L)</t>
  </si>
  <si>
    <t>Angle of Rotation (before)</t>
  </si>
  <si>
    <t>Tank Temperature (C)</t>
  </si>
  <si>
    <t>Total Mass (kg)</t>
  </si>
  <si>
    <t>Angle of Rotation (after)</t>
  </si>
  <si>
    <t>Weight in Tank (g)</t>
  </si>
  <si>
    <t>Glider Density (in air)</t>
  </si>
  <si>
    <t>Target Specifics</t>
  </si>
  <si>
    <t>Volume Change (temperature induced)</t>
  </si>
  <si>
    <t>Weight on Spring (after)</t>
  </si>
  <si>
    <t>Target Density (kg/m^3)</t>
  </si>
  <si>
    <t>Volume Change (target) (mL)</t>
  </si>
  <si>
    <t>Weight added</t>
  </si>
  <si>
    <t>Target Temperature (C)</t>
  </si>
  <si>
    <t>Coeffcient of Thermal Expansion</t>
  </si>
  <si>
    <t>Radius of Hull</t>
  </si>
  <si>
    <t>125 for G2+, deeps</t>
  </si>
  <si>
    <t>Carbon hulls</t>
  </si>
  <si>
    <t>Glider Volume (at lab temp) (L)</t>
  </si>
  <si>
    <t>Aluminum hulls</t>
  </si>
  <si>
    <t>MISC MASSES &amp; VOLUMES</t>
  </si>
  <si>
    <t>Ballasting Using Volume</t>
  </si>
  <si>
    <t>Ballasting Using Mass</t>
  </si>
  <si>
    <t>Pick point - 40 mL - 107 g air - 66 g water</t>
  </si>
  <si>
    <t>Should Hang (in tank) (g)</t>
  </si>
  <si>
    <t>Adjust Glider Mass (entered volume) (g)</t>
  </si>
  <si>
    <t>Wing Rail Weights - 1.8 mL @ 15.4 g each ~ 13.5 g in water</t>
  </si>
  <si>
    <t>Adjust by (g)</t>
  </si>
  <si>
    <t>Glider Density (target water, using mass)</t>
  </si>
  <si>
    <t>VMT Transceiver - 173 mL - 162 g water</t>
  </si>
  <si>
    <t>Weight Change (no dunk) (g)</t>
  </si>
  <si>
    <t>FIRE Shroud SN02 (ru01) - 266 mL - 112 g water</t>
  </si>
  <si>
    <t>Glider Density (target)</t>
  </si>
  <si>
    <t>Optode - 130 mL - 92 or 190 g (plastic or titanium)</t>
  </si>
  <si>
    <t>pie weight</t>
  </si>
  <si>
    <t>LISST Bay - roughly 6.55 L</t>
  </si>
  <si>
    <t>Half moon wetbay foam - 238g</t>
  </si>
  <si>
    <t>Shadowgraph foam - 293g</t>
  </si>
  <si>
    <t>weight (g)</t>
  </si>
  <si>
    <t>number of pie weights used</t>
  </si>
  <si>
    <t>added weight</t>
  </si>
  <si>
    <t>actual weight (g)</t>
  </si>
  <si>
    <t>Forward scale</t>
  </si>
  <si>
    <t>Aft scale</t>
  </si>
  <si>
    <t>total=</t>
  </si>
  <si>
    <t>Number of foam in the wetbay</t>
  </si>
  <si>
    <t>pie weights on tail</t>
  </si>
  <si>
    <t>Pie Weights between science bay and aft section</t>
  </si>
  <si>
    <t>Pie weights between science bay and energy bay</t>
  </si>
  <si>
    <t>Pie weights between energy bay and forward section</t>
  </si>
  <si>
    <t>BB, nose bottle 1, port</t>
  </si>
  <si>
    <t>BB, nose bottle 2, starboard</t>
  </si>
  <si>
    <t>BB, aft bottle 3, port</t>
  </si>
  <si>
    <t>BB, aft bottle 4, starboard</t>
  </si>
  <si>
    <t>Starboard wing</t>
  </si>
  <si>
    <t>Port wing</t>
  </si>
  <si>
    <t>Nose</t>
  </si>
  <si>
    <t>Aft (weights)</t>
  </si>
  <si>
    <t>dessicant pack</t>
  </si>
  <si>
    <t>Battery</t>
  </si>
  <si>
    <t xml:space="preserve">D = </t>
  </si>
  <si>
    <t>Ballast</t>
  </si>
  <si>
    <t xml:space="preserve">C = </t>
  </si>
  <si>
    <t>Roll</t>
  </si>
  <si>
    <t>T =</t>
  </si>
  <si>
    <t>Instrument:</t>
  </si>
  <si>
    <t>Aft BB</t>
  </si>
  <si>
    <t>FBB2 Port</t>
  </si>
  <si>
    <t>Aft Scale</t>
  </si>
  <si>
    <t>Front Scale</t>
  </si>
  <si>
    <t>FBB1 stbd</t>
  </si>
  <si>
    <t>AFT</t>
  </si>
  <si>
    <t>SB</t>
  </si>
  <si>
    <t>EB</t>
  </si>
  <si>
    <t>FORE</t>
  </si>
  <si>
    <t>Notes</t>
  </si>
  <si>
    <t>Date / Location</t>
  </si>
  <si>
    <t>Log File</t>
  </si>
  <si>
    <t>Iteration</t>
  </si>
  <si>
    <t>Trim Adjuster</t>
  </si>
  <si>
    <t>Fore Hull</t>
  </si>
  <si>
    <t>Energy/Shorty Bay</t>
  </si>
  <si>
    <t>Science Bay</t>
  </si>
  <si>
    <t>Aft Hull</t>
  </si>
  <si>
    <t>Name</t>
  </si>
  <si>
    <t>FB</t>
  </si>
  <si>
    <t>Pitch Batt</t>
  </si>
  <si>
    <t>SBF</t>
  </si>
  <si>
    <t>SBA Pie</t>
  </si>
  <si>
    <t>Aft Batt</t>
  </si>
  <si>
    <t>AB</t>
  </si>
  <si>
    <t>Distance from CG</t>
  </si>
  <si>
    <t>Mass</t>
  </si>
  <si>
    <t>Moment</t>
  </si>
  <si>
    <t>Pre-existing</t>
  </si>
  <si>
    <t>Pre-esiting Moment</t>
  </si>
  <si>
    <t>Target</t>
  </si>
  <si>
    <t>Net Mass</t>
  </si>
  <si>
    <t>Original Net Mass</t>
  </si>
  <si>
    <t>Adjust By</t>
  </si>
  <si>
    <t>To go</t>
  </si>
  <si>
    <t>Net</t>
  </si>
  <si>
    <t>Rough Ballast Bottle equivalent mass</t>
  </si>
  <si>
    <t>commanded</t>
  </si>
  <si>
    <t>measured</t>
  </si>
  <si>
    <t>total weight</t>
  </si>
  <si>
    <t>aft scale</t>
  </si>
  <si>
    <t>fwd scale</t>
  </si>
  <si>
    <t>at neutral</t>
  </si>
  <si>
    <t>at -260 oil volumne</t>
  </si>
  <si>
    <t>SHOULD BE: 860 cc</t>
  </si>
  <si>
    <t>at -430 oil volume</t>
  </si>
  <si>
    <t>at 0 oil volume</t>
  </si>
  <si>
    <t>at +260 oil volume</t>
  </si>
  <si>
    <t>at +430 oil volume</t>
  </si>
  <si>
    <t xml:space="preserve">TOTAL DRIVE: </t>
  </si>
  <si>
    <t>Total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</si>
</sst>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mmm\-yyyy"/>
    <numFmt numFmtId="166" formatCode="0.0"/>
    <numFmt numFmtId="167" formatCode="0.000"/>
  </numFmts>
  <fonts count="30" x14ac:knownFonts="1">
    <font>
      <sz val="10"/>
      <name val="Arial"/>
    </font>
    <font>
      <sz val="10"/>
      <name val="Arial"/>
      <family val="2"/>
    </font>
    <font>
      <b/>
      <sz val="10"/>
      <name val="Arial"/>
      <family val="2"/>
    </font>
    <font>
      <vertAlign val="superscript"/>
      <sz val="10"/>
      <name val="Arial"/>
      <family val="2"/>
    </font>
    <font>
      <sz val="10"/>
      <name val="Arial"/>
      <family val="2"/>
    </font>
    <font>
      <b/>
      <sz val="12"/>
      <name val="Arial"/>
      <family val="2"/>
    </font>
    <font>
      <sz val="8"/>
      <name val="Arial"/>
      <family val="2"/>
    </font>
    <font>
      <b/>
      <sz val="10"/>
      <color indexed="10"/>
      <name val="Arial"/>
      <family val="2"/>
    </font>
    <font>
      <b/>
      <sz val="12"/>
      <color indexed="10"/>
      <name val="Arial"/>
      <family val="2"/>
    </font>
    <font>
      <sz val="12"/>
      <name val="Arial"/>
      <family val="2"/>
    </font>
    <font>
      <b/>
      <sz val="14"/>
      <name val="Times New Roman"/>
      <family val="1"/>
    </font>
    <font>
      <sz val="11"/>
      <name val="Calibri"/>
      <family val="2"/>
    </font>
    <font>
      <sz val="12"/>
      <name val="Times New Roman"/>
      <family val="1"/>
    </font>
    <font>
      <sz val="10"/>
      <name val="Times New Roman"/>
      <family val="1"/>
    </font>
    <font>
      <b/>
      <sz val="16"/>
      <name val="Times New Roman"/>
      <family val="1"/>
    </font>
    <font>
      <sz val="11"/>
      <name val="Times New Roman"/>
      <family val="1"/>
    </font>
    <font>
      <b/>
      <sz val="11"/>
      <name val="Times New Roman"/>
      <family val="1"/>
    </font>
    <font>
      <sz val="9"/>
      <name val="Times New Roman"/>
      <family val="1"/>
    </font>
    <font>
      <sz val="9"/>
      <name val="Arial"/>
      <family val="2"/>
    </font>
    <font>
      <sz val="11"/>
      <name val="Arial"/>
      <family val="2"/>
    </font>
    <font>
      <b/>
      <sz val="14"/>
      <name val="Arial"/>
      <family val="2"/>
    </font>
    <font>
      <b/>
      <sz val="11"/>
      <name val="Arial"/>
      <family val="2"/>
    </font>
    <font>
      <b/>
      <sz val="10"/>
      <name val="Times New Roman"/>
      <family val="1"/>
    </font>
    <font>
      <b/>
      <sz val="9"/>
      <name val="Times New Roman"/>
      <family val="1"/>
    </font>
    <font>
      <sz val="10"/>
      <name val="Arial"/>
    </font>
    <font>
      <b/>
      <u/>
      <sz val="12"/>
      <name val="Arial"/>
      <family val="2"/>
    </font>
    <font>
      <b/>
      <sz val="8"/>
      <name val="Arial"/>
      <family val="2"/>
    </font>
    <font>
      <b/>
      <sz val="9"/>
      <name val="Arial"/>
      <family val="2"/>
    </font>
    <font>
      <sz val="10"/>
      <name val="Calibri"/>
      <family val="2"/>
    </font>
    <font>
      <sz val="28"/>
      <name val="Arial"/>
      <family val="2"/>
    </font>
  </fonts>
  <fills count="2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13"/>
        <bgColor indexed="64"/>
      </patternFill>
    </fill>
    <fill>
      <patternFill patternType="solid">
        <fgColor rgb="FF99CCFF"/>
        <bgColor indexed="64"/>
      </patternFill>
    </fill>
    <fill>
      <patternFill patternType="solid">
        <fgColor theme="0"/>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theme="7" tint="0.39997558519241921"/>
        <bgColor indexed="64"/>
      </patternFill>
    </fill>
    <fill>
      <patternFill patternType="solid">
        <fgColor indexed="47"/>
        <bgColor indexed="64"/>
      </patternFill>
    </fill>
    <fill>
      <patternFill patternType="solid">
        <fgColor theme="9" tint="0.39997558519241921"/>
        <bgColor indexed="64"/>
      </patternFill>
    </fill>
    <fill>
      <patternFill patternType="solid">
        <fgColor rgb="FFFFFF99"/>
        <bgColor indexed="64"/>
      </patternFill>
    </fill>
    <fill>
      <patternFill patternType="solid">
        <fgColor theme="8" tint="0.39997558519241921"/>
        <bgColor indexed="64"/>
      </patternFill>
    </fill>
    <fill>
      <patternFill patternType="solid">
        <fgColor theme="6"/>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s>
  <borders count="73">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ck">
        <color auto="1"/>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right/>
      <top/>
      <bottom style="thick">
        <color theme="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thick">
        <color theme="4"/>
      </top>
      <bottom/>
      <diagonal/>
    </border>
    <border>
      <left style="thin">
        <color indexed="64"/>
      </left>
      <right/>
      <top/>
      <bottom/>
      <diagonal/>
    </border>
    <border>
      <left style="thin">
        <color indexed="64"/>
      </left>
      <right style="hair">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hair">
        <color indexed="64"/>
      </left>
      <right style="thin">
        <color indexed="64"/>
      </right>
      <top/>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thin">
        <color indexed="64"/>
      </bottom>
      <diagonal/>
    </border>
    <border>
      <left style="thick">
        <color rgb="FFC0C0C0"/>
      </left>
      <right style="thick">
        <color rgb="FFC0C0C0"/>
      </right>
      <top style="thick">
        <color rgb="FFC0C0C0"/>
      </top>
      <bottom style="thick">
        <color rgb="FFC0C0C0"/>
      </bottom>
      <diagonal/>
    </border>
    <border>
      <left style="thick">
        <color rgb="FFC0C0C0"/>
      </left>
      <right style="medium">
        <color rgb="FFCCCCCC"/>
      </right>
      <top style="medium">
        <color rgb="FFCCCCCC"/>
      </top>
      <bottom style="thick">
        <color rgb="FFC0C0C0"/>
      </bottom>
      <diagonal/>
    </border>
    <border>
      <left style="thick">
        <color rgb="FFC0C0C0"/>
      </left>
      <right style="thick">
        <color rgb="FFC0C0C0"/>
      </right>
      <top style="medium">
        <color rgb="FFCCCCCC"/>
      </top>
      <bottom style="thick">
        <color rgb="FFC0C0C0"/>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bottom style="hair">
        <color indexed="64"/>
      </bottom>
      <diagonal/>
    </border>
    <border>
      <left style="thin">
        <color indexed="64"/>
      </left>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414">
    <xf numFmtId="0" fontId="0" fillId="0" borderId="0" xfId="0"/>
    <xf numFmtId="0" fontId="0" fillId="0" borderId="0" xfId="0" applyProtection="1"/>
    <xf numFmtId="0" fontId="2" fillId="0" borderId="0" xfId="0" applyFont="1" applyProtection="1"/>
    <xf numFmtId="0" fontId="0" fillId="0" borderId="0" xfId="0" applyAlignment="1" applyProtection="1">
      <alignment horizontal="center"/>
    </xf>
    <xf numFmtId="0" fontId="0" fillId="0" borderId="0" xfId="0" applyFill="1" applyBorder="1" applyProtection="1"/>
    <xf numFmtId="0" fontId="2" fillId="0" borderId="0" xfId="0" applyFont="1" applyAlignment="1" applyProtection="1">
      <alignment horizontal="center"/>
    </xf>
    <xf numFmtId="0" fontId="4" fillId="0" borderId="0" xfId="0" applyFont="1" applyProtection="1"/>
    <xf numFmtId="0" fontId="7" fillId="0" borderId="0" xfId="0" applyFont="1" applyAlignment="1" applyProtection="1">
      <alignment horizontal="left"/>
    </xf>
    <xf numFmtId="0" fontId="8" fillId="0" borderId="0" xfId="0" applyFont="1" applyFill="1" applyBorder="1" applyAlignment="1" applyProtection="1">
      <alignment horizontal="left"/>
    </xf>
    <xf numFmtId="0" fontId="7" fillId="0" borderId="0" xfId="0" applyFont="1" applyFill="1" applyBorder="1" applyProtection="1"/>
    <xf numFmtId="0" fontId="0" fillId="0" borderId="0" xfId="0" applyAlignment="1" applyProtection="1"/>
    <xf numFmtId="0" fontId="0" fillId="0" borderId="0" xfId="0" applyAlignment="1" applyProtection="1">
      <alignment vertical="center"/>
    </xf>
    <xf numFmtId="0" fontId="0" fillId="0" borderId="0" xfId="0" applyAlignment="1">
      <alignment vertical="center"/>
    </xf>
    <xf numFmtId="0" fontId="0" fillId="0" borderId="5" xfId="0" applyBorder="1" applyAlignment="1" applyProtection="1">
      <alignment vertical="center"/>
    </xf>
    <xf numFmtId="0" fontId="0" fillId="0" borderId="6" xfId="0" applyBorder="1" applyAlignment="1" applyProtection="1">
      <alignment vertical="center"/>
    </xf>
    <xf numFmtId="0" fontId="2" fillId="0" borderId="5" xfId="0" applyFont="1" applyBorder="1" applyAlignment="1" applyProtection="1">
      <alignment vertical="center"/>
    </xf>
    <xf numFmtId="0" fontId="2" fillId="0" borderId="6" xfId="0" applyFont="1" applyBorder="1" applyAlignment="1" applyProtection="1">
      <alignment vertical="center"/>
    </xf>
    <xf numFmtId="0" fontId="2" fillId="0" borderId="17" xfId="0" applyFont="1" applyFill="1" applyBorder="1" applyAlignment="1" applyProtection="1">
      <alignment horizontal="center" vertical="center"/>
    </xf>
    <xf numFmtId="0" fontId="0" fillId="0" borderId="6" xfId="0" applyBorder="1" applyAlignment="1" applyProtection="1">
      <alignment vertical="center"/>
      <protection locked="0"/>
    </xf>
    <xf numFmtId="0" fontId="4" fillId="0" borderId="5" xfId="0" applyFont="1" applyBorder="1" applyAlignment="1" applyProtection="1">
      <alignment vertical="center"/>
      <protection locked="0"/>
    </xf>
    <xf numFmtId="0" fontId="2" fillId="0" borderId="0" xfId="0" applyFont="1" applyAlignment="1">
      <alignment vertical="center"/>
    </xf>
    <xf numFmtId="0" fontId="16" fillId="0" borderId="0" xfId="0" applyFont="1" applyAlignment="1">
      <alignment horizontal="center" vertical="center" wrapText="1"/>
    </xf>
    <xf numFmtId="0" fontId="15" fillId="0" borderId="0" xfId="0" applyFont="1" applyAlignment="1">
      <alignment horizontal="center" vertical="center" wrapText="1"/>
    </xf>
    <xf numFmtId="0" fontId="12" fillId="0" borderId="0" xfId="0" applyFont="1" applyAlignment="1">
      <alignment vertical="center"/>
    </xf>
    <xf numFmtId="0" fontId="10" fillId="0" borderId="0" xfId="0" applyFont="1" applyAlignment="1">
      <alignment vertical="center"/>
    </xf>
    <xf numFmtId="0" fontId="12" fillId="0" borderId="0" xfId="0" applyFont="1" applyAlignment="1">
      <alignment vertical="center" wrapText="1"/>
    </xf>
    <xf numFmtId="0" fontId="11" fillId="0" borderId="0" xfId="0" applyFont="1" applyAlignment="1">
      <alignment vertical="center" wrapText="1"/>
    </xf>
    <xf numFmtId="0" fontId="0" fillId="0" borderId="0" xfId="0" applyAlignment="1">
      <alignment horizontal="left" vertical="center"/>
    </xf>
    <xf numFmtId="167" fontId="0" fillId="0" borderId="6" xfId="0" applyNumberFormat="1" applyBorder="1" applyAlignment="1" applyProtection="1">
      <alignment horizontal="center" vertical="center"/>
    </xf>
    <xf numFmtId="167" fontId="0" fillId="0" borderId="5" xfId="0" applyNumberFormat="1" applyBorder="1" applyAlignment="1" applyProtection="1">
      <alignment horizontal="center" vertical="center"/>
    </xf>
    <xf numFmtId="0" fontId="2" fillId="0" borderId="0" xfId="0" applyFont="1" applyBorder="1" applyAlignment="1" applyProtection="1">
      <alignment vertical="center"/>
    </xf>
    <xf numFmtId="0" fontId="0" fillId="0" borderId="0" xfId="0" applyBorder="1" applyAlignment="1" applyProtection="1">
      <alignment vertical="center"/>
    </xf>
    <xf numFmtId="0" fontId="1" fillId="0" borderId="0" xfId="0" applyFont="1" applyAlignment="1" applyProtection="1">
      <alignment vertical="center"/>
    </xf>
    <xf numFmtId="0" fontId="1" fillId="0" borderId="0" xfId="0" applyFont="1" applyAlignment="1" applyProtection="1">
      <alignment horizontal="center" vertical="center"/>
    </xf>
    <xf numFmtId="0" fontId="0" fillId="0" borderId="0" xfId="0" applyAlignment="1" applyProtection="1">
      <alignment horizontal="center" vertical="center"/>
    </xf>
    <xf numFmtId="49" fontId="1" fillId="2" borderId="5" xfId="0" applyNumberFormat="1" applyFont="1" applyFill="1" applyBorder="1" applyAlignment="1" applyProtection="1">
      <alignment horizontal="center" vertical="center"/>
      <protection locked="0"/>
    </xf>
    <xf numFmtId="0" fontId="2" fillId="0" borderId="0" xfId="0" applyFont="1" applyAlignment="1" applyProtection="1">
      <alignment vertical="center"/>
    </xf>
    <xf numFmtId="0" fontId="2" fillId="0" borderId="0" xfId="0" applyFont="1" applyFill="1" applyBorder="1" applyAlignment="1" applyProtection="1">
      <alignment vertical="center"/>
    </xf>
    <xf numFmtId="0" fontId="2" fillId="0" borderId="0" xfId="0" applyFont="1" applyAlignment="1" applyProtection="1">
      <alignment horizontal="center" vertical="center"/>
    </xf>
    <xf numFmtId="164" fontId="0" fillId="2" borderId="5" xfId="0" applyNumberFormat="1" applyFill="1" applyBorder="1" applyAlignment="1" applyProtection="1">
      <alignment horizontal="right" vertical="center"/>
      <protection locked="0"/>
    </xf>
    <xf numFmtId="0" fontId="3" fillId="0" borderId="0" xfId="0" applyFont="1" applyBorder="1" applyAlignment="1" applyProtection="1">
      <alignment vertical="center"/>
    </xf>
    <xf numFmtId="0" fontId="3" fillId="0" borderId="0" xfId="0" applyFont="1" applyAlignment="1" applyProtection="1">
      <alignment vertical="center"/>
    </xf>
    <xf numFmtId="164" fontId="0" fillId="0" borderId="0" xfId="0" applyNumberFormat="1" applyAlignment="1" applyProtection="1">
      <alignment horizontal="right" vertical="center"/>
    </xf>
    <xf numFmtId="0" fontId="4" fillId="0" borderId="0" xfId="0" applyFont="1" applyAlignment="1" applyProtection="1">
      <alignment vertical="center"/>
    </xf>
    <xf numFmtId="164" fontId="4" fillId="2" borderId="5" xfId="0" applyNumberFormat="1" applyFont="1" applyFill="1" applyBorder="1" applyAlignment="1" applyProtection="1">
      <alignment horizontal="right" vertical="center"/>
      <protection locked="0"/>
    </xf>
    <xf numFmtId="0" fontId="4" fillId="0" borderId="0" xfId="0" applyFont="1" applyBorder="1" applyAlignment="1" applyProtection="1">
      <alignment vertical="center"/>
    </xf>
    <xf numFmtId="164" fontId="4" fillId="0" borderId="0" xfId="0" applyNumberFormat="1" applyFont="1" applyAlignment="1" applyProtection="1">
      <alignment horizontal="right" vertical="center"/>
    </xf>
    <xf numFmtId="164" fontId="4" fillId="0" borderId="0" xfId="0" applyNumberFormat="1" applyFont="1" applyFill="1" applyBorder="1" applyAlignment="1" applyProtection="1">
      <alignment horizontal="right" vertical="center"/>
    </xf>
    <xf numFmtId="0" fontId="4" fillId="0" borderId="0" xfId="0" applyFont="1" applyFill="1" applyBorder="1" applyAlignment="1" applyProtection="1">
      <alignment vertical="center"/>
    </xf>
    <xf numFmtId="0" fontId="4" fillId="0" borderId="0" xfId="0" applyFont="1" applyFill="1" applyAlignment="1" applyProtection="1">
      <alignment vertical="center"/>
    </xf>
    <xf numFmtId="164" fontId="0" fillId="3" borderId="5" xfId="0" applyNumberFormat="1" applyFill="1" applyBorder="1" applyAlignment="1" applyProtection="1">
      <alignment horizontal="right" vertical="center"/>
    </xf>
    <xf numFmtId="164" fontId="0" fillId="0" borderId="5" xfId="0" applyNumberFormat="1" applyBorder="1" applyAlignment="1" applyProtection="1">
      <alignment horizontal="right" vertical="center"/>
    </xf>
    <xf numFmtId="164" fontId="0" fillId="4" borderId="5" xfId="0" applyNumberFormat="1" applyFill="1" applyBorder="1" applyAlignment="1" applyProtection="1">
      <alignment horizontal="right" vertical="center"/>
    </xf>
    <xf numFmtId="0" fontId="8" fillId="0" borderId="0" xfId="0" applyFont="1" applyAlignment="1" applyProtection="1">
      <alignment vertical="center"/>
    </xf>
    <xf numFmtId="164" fontId="0" fillId="2" borderId="6" xfId="0" applyNumberFormat="1" applyFill="1" applyBorder="1" applyAlignment="1" applyProtection="1">
      <alignment horizontal="right" vertical="center"/>
      <protection locked="0"/>
    </xf>
    <xf numFmtId="0" fontId="0" fillId="0" borderId="0" xfId="0" applyAlignment="1" applyProtection="1">
      <alignment horizontal="right" vertical="center"/>
      <protection locked="0"/>
    </xf>
    <xf numFmtId="0" fontId="9" fillId="0" borderId="0" xfId="0" applyFont="1" applyAlignment="1" applyProtection="1">
      <alignment vertical="center"/>
    </xf>
    <xf numFmtId="2" fontId="0" fillId="2" borderId="5" xfId="0" applyNumberFormat="1" applyFill="1" applyBorder="1" applyAlignment="1" applyProtection="1">
      <alignment horizontal="right" vertical="center"/>
      <protection locked="0"/>
    </xf>
    <xf numFmtId="2" fontId="0" fillId="3" borderId="5" xfId="0" applyNumberFormat="1" applyFill="1" applyBorder="1" applyAlignment="1" applyProtection="1">
      <alignment horizontal="right" vertical="center"/>
    </xf>
    <xf numFmtId="0" fontId="0" fillId="2" borderId="5" xfId="0" applyFill="1" applyBorder="1" applyAlignment="1" applyProtection="1">
      <alignment horizontal="right" vertical="center"/>
      <protection locked="0"/>
    </xf>
    <xf numFmtId="0" fontId="1" fillId="0" borderId="0" xfId="0" applyFont="1" applyFill="1" applyBorder="1" applyAlignment="1" applyProtection="1">
      <alignment horizontal="right" vertical="center"/>
    </xf>
    <xf numFmtId="2" fontId="0" fillId="3" borderId="0" xfId="0" applyNumberFormat="1" applyFill="1" applyBorder="1" applyAlignment="1" applyProtection="1">
      <alignment horizontal="right" vertical="center"/>
    </xf>
    <xf numFmtId="0" fontId="5" fillId="0" borderId="0" xfId="0" applyFont="1" applyFill="1" applyBorder="1" applyAlignment="1" applyProtection="1">
      <alignment vertical="center"/>
    </xf>
    <xf numFmtId="0" fontId="0" fillId="2" borderId="5" xfId="0" applyFill="1" applyBorder="1" applyAlignment="1" applyProtection="1">
      <alignment vertical="center"/>
      <protection locked="0"/>
    </xf>
    <xf numFmtId="0" fontId="0" fillId="0" borderId="0" xfId="0" applyBorder="1" applyAlignment="1">
      <alignment vertical="center"/>
    </xf>
    <xf numFmtId="0" fontId="0" fillId="0" borderId="0" xfId="0" applyBorder="1" applyAlignment="1" applyProtection="1">
      <alignment vertical="center"/>
      <protection locked="0"/>
    </xf>
    <xf numFmtId="0" fontId="2" fillId="0" borderId="0" xfId="0" applyFont="1" applyAlignment="1" applyProtection="1">
      <alignment horizontal="left" vertical="center"/>
    </xf>
    <xf numFmtId="0" fontId="2" fillId="0" borderId="11" xfId="0" applyFont="1" applyBorder="1" applyAlignment="1" applyProtection="1">
      <alignment horizontal="center" vertical="center"/>
    </xf>
    <xf numFmtId="0" fontId="1" fillId="0" borderId="18" xfId="0" applyFont="1" applyBorder="1" applyAlignment="1" applyProtection="1">
      <alignment vertical="center"/>
    </xf>
    <xf numFmtId="0" fontId="1" fillId="0" borderId="5" xfId="0" applyFont="1" applyBorder="1" applyAlignment="1" applyProtection="1">
      <alignment vertical="center"/>
    </xf>
    <xf numFmtId="0" fontId="1" fillId="0" borderId="0" xfId="0" applyFont="1" applyAlignment="1">
      <alignment vertical="center"/>
    </xf>
    <xf numFmtId="0" fontId="2" fillId="0" borderId="0" xfId="0" applyFont="1" applyFill="1" applyBorder="1" applyAlignment="1" applyProtection="1">
      <alignment horizontal="left" vertical="center"/>
    </xf>
    <xf numFmtId="0" fontId="0" fillId="0" borderId="0" xfId="0" applyAlignment="1" applyProtection="1">
      <alignment horizontal="left"/>
    </xf>
    <xf numFmtId="0" fontId="0" fillId="0" borderId="0" xfId="0" applyAlignment="1" applyProtection="1">
      <alignment horizontal="left" vertical="center"/>
    </xf>
    <xf numFmtId="0" fontId="1" fillId="0" borderId="5" xfId="0" quotePrefix="1" applyFont="1" applyBorder="1" applyAlignment="1" applyProtection="1">
      <alignment horizontal="center" vertical="center"/>
    </xf>
    <xf numFmtId="0" fontId="1" fillId="0" borderId="5" xfId="0" quotePrefix="1" applyFont="1" applyBorder="1" applyAlignment="1" applyProtection="1">
      <alignment vertical="center"/>
    </xf>
    <xf numFmtId="0" fontId="1" fillId="0" borderId="0" xfId="0" applyFont="1" applyBorder="1" applyAlignment="1">
      <alignment vertical="center" wrapText="1"/>
    </xf>
    <xf numFmtId="0" fontId="20" fillId="0" borderId="0"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vertical="center" wrapText="1"/>
    </xf>
    <xf numFmtId="0" fontId="2" fillId="0" borderId="20" xfId="0" applyFont="1" applyBorder="1" applyAlignment="1">
      <alignment horizontal="right" vertical="center" wrapText="1"/>
    </xf>
    <xf numFmtId="0" fontId="1" fillId="0" borderId="21" xfId="0" applyFont="1" applyBorder="1" applyAlignment="1">
      <alignment horizontal="right" vertical="center" wrapText="1"/>
    </xf>
    <xf numFmtId="0" fontId="2" fillId="0" borderId="14" xfId="0" applyFont="1" applyBorder="1" applyAlignment="1">
      <alignment horizontal="right" vertical="center" wrapText="1"/>
    </xf>
    <xf numFmtId="0" fontId="1" fillId="0" borderId="22" xfId="0" applyFont="1" applyBorder="1" applyAlignment="1">
      <alignment horizontal="right" vertical="center" wrapText="1"/>
    </xf>
    <xf numFmtId="14" fontId="1" fillId="0" borderId="22" xfId="0" applyNumberFormat="1" applyFont="1" applyBorder="1" applyAlignment="1">
      <alignment horizontal="right" vertical="center" wrapText="1"/>
    </xf>
    <xf numFmtId="0" fontId="2" fillId="0" borderId="15" xfId="0" applyFont="1" applyBorder="1" applyAlignment="1">
      <alignment horizontal="right" vertical="center" wrapText="1"/>
    </xf>
    <xf numFmtId="0" fontId="1" fillId="0" borderId="23" xfId="0" applyFont="1" applyBorder="1" applyAlignment="1">
      <alignment horizontal="right" vertical="center" wrapText="1"/>
    </xf>
    <xf numFmtId="0" fontId="0" fillId="0" borderId="19" xfId="0" applyBorder="1" applyAlignment="1">
      <alignment vertical="center"/>
    </xf>
    <xf numFmtId="0" fontId="0" fillId="0" borderId="0" xfId="0" applyAlignment="1" applyProtection="1">
      <alignment vertical="center"/>
      <protection locked="0"/>
    </xf>
    <xf numFmtId="0" fontId="21" fillId="0" borderId="20" xfId="0" applyFont="1" applyBorder="1" applyAlignment="1" applyProtection="1">
      <alignment horizontal="right" vertical="center" wrapText="1"/>
    </xf>
    <xf numFmtId="0" fontId="19" fillId="0" borderId="21" xfId="0" applyFont="1" applyBorder="1" applyAlignment="1" applyProtection="1">
      <alignment horizontal="right" vertical="center" wrapText="1"/>
    </xf>
    <xf numFmtId="0" fontId="21" fillId="0" borderId="14" xfId="0" applyFont="1" applyBorder="1" applyAlignment="1" applyProtection="1">
      <alignment horizontal="right" vertical="center" wrapText="1"/>
    </xf>
    <xf numFmtId="0" fontId="19" fillId="0" borderId="22" xfId="0" applyFont="1" applyBorder="1" applyAlignment="1" applyProtection="1">
      <alignment horizontal="right" vertical="center" wrapText="1"/>
    </xf>
    <xf numFmtId="14" fontId="19" fillId="0" borderId="22" xfId="0" applyNumberFormat="1" applyFont="1" applyBorder="1" applyAlignment="1" applyProtection="1">
      <alignment horizontal="right" vertical="center" wrapText="1"/>
    </xf>
    <xf numFmtId="0" fontId="21" fillId="0" borderId="15" xfId="0" applyFont="1" applyBorder="1" applyAlignment="1" applyProtection="1">
      <alignment horizontal="right" vertical="center" wrapText="1"/>
    </xf>
    <xf numFmtId="0" fontId="19" fillId="0" borderId="23" xfId="0" applyFont="1" applyBorder="1" applyAlignment="1" applyProtection="1">
      <alignment horizontal="right" vertical="center" wrapText="1"/>
    </xf>
    <xf numFmtId="0" fontId="0" fillId="0" borderId="16" xfId="0" applyBorder="1" applyAlignment="1" applyProtection="1">
      <alignment vertical="center"/>
    </xf>
    <xf numFmtId="0" fontId="2" fillId="0" borderId="4" xfId="0" applyFont="1" applyBorder="1" applyAlignment="1" applyProtection="1">
      <alignment vertical="center"/>
      <protection locked="0"/>
    </xf>
    <xf numFmtId="0" fontId="2" fillId="0" borderId="4" xfId="0" applyFont="1" applyBorder="1" applyProtection="1">
      <protection locked="0"/>
    </xf>
    <xf numFmtId="165" fontId="0" fillId="2" borderId="5" xfId="0" applyNumberFormat="1" applyFill="1" applyBorder="1" applyAlignment="1" applyProtection="1">
      <alignment horizontal="center" vertical="center"/>
    </xf>
    <xf numFmtId="0" fontId="16" fillId="0" borderId="0" xfId="0" applyFont="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0" fillId="0" borderId="0" xfId="0" applyAlignment="1" applyProtection="1">
      <alignment horizontal="center" vertical="center"/>
    </xf>
    <xf numFmtId="0" fontId="0" fillId="0" borderId="0" xfId="0" applyAlignment="1" applyProtection="1">
      <alignment horizontal="center" vertical="center"/>
    </xf>
    <xf numFmtId="0" fontId="18" fillId="0" borderId="26" xfId="0" applyFont="1" applyFill="1" applyBorder="1" applyAlignment="1" applyProtection="1">
      <alignment horizontal="right" vertical="center" wrapText="1"/>
    </xf>
    <xf numFmtId="0" fontId="18" fillId="0" borderId="9" xfId="0" applyFont="1" applyFill="1" applyBorder="1" applyAlignment="1" applyProtection="1">
      <alignment horizontal="right" vertical="center" wrapText="1"/>
    </xf>
    <xf numFmtId="165" fontId="0" fillId="2" borderId="5" xfId="0" applyNumberFormat="1" applyFill="1" applyBorder="1" applyAlignment="1" applyProtection="1">
      <alignment horizontal="center" vertical="center" wrapText="1"/>
      <protection locked="0"/>
    </xf>
    <xf numFmtId="167" fontId="0" fillId="0" borderId="6" xfId="0" applyNumberFormat="1" applyBorder="1" applyAlignment="1" applyProtection="1">
      <alignment vertical="center"/>
    </xf>
    <xf numFmtId="167" fontId="0" fillId="0" borderId="5" xfId="0" applyNumberFormat="1" applyBorder="1" applyAlignment="1" applyProtection="1">
      <alignment vertical="center"/>
    </xf>
    <xf numFmtId="0" fontId="0" fillId="5" borderId="5" xfId="0" applyFill="1" applyBorder="1" applyAlignment="1" applyProtection="1">
      <alignment vertical="center"/>
      <protection locked="0"/>
    </xf>
    <xf numFmtId="0" fontId="0" fillId="5" borderId="5" xfId="0" applyFill="1" applyBorder="1" applyAlignment="1" applyProtection="1">
      <alignment horizontal="center" vertical="center"/>
      <protection locked="0"/>
    </xf>
    <xf numFmtId="2" fontId="4" fillId="0" borderId="5" xfId="0" applyNumberFormat="1" applyFont="1" applyBorder="1" applyAlignment="1" applyProtection="1">
      <alignment horizontal="right" vertical="center"/>
    </xf>
    <xf numFmtId="164" fontId="0" fillId="0" borderId="5" xfId="0" applyNumberFormat="1" applyFill="1" applyBorder="1" applyAlignment="1" applyProtection="1">
      <alignment horizontal="right" vertical="center"/>
    </xf>
    <xf numFmtId="164" fontId="0" fillId="0" borderId="5" xfId="0" applyNumberFormat="1" applyFill="1" applyBorder="1" applyAlignment="1" applyProtection="1">
      <alignment vertical="center"/>
    </xf>
    <xf numFmtId="14" fontId="1" fillId="2" borderId="5" xfId="0" applyNumberFormat="1" applyFont="1" applyFill="1" applyBorder="1" applyAlignment="1" applyProtection="1">
      <alignment horizontal="center" vertical="center"/>
      <protection locked="0"/>
    </xf>
    <xf numFmtId="0" fontId="2" fillId="0" borderId="17" xfId="0" applyFont="1" applyBorder="1" applyAlignment="1" applyProtection="1">
      <alignment horizontal="center" vertical="center"/>
    </xf>
    <xf numFmtId="165" fontId="1" fillId="2" borderId="5" xfId="0" applyNumberFormat="1" applyFont="1" applyFill="1" applyBorder="1" applyAlignment="1" applyProtection="1">
      <alignment horizontal="left" vertical="center"/>
    </xf>
    <xf numFmtId="2" fontId="0" fillId="0" borderId="5" xfId="0" applyNumberFormat="1" applyFill="1" applyBorder="1" applyAlignment="1" applyProtection="1">
      <alignment horizontal="center" vertical="center"/>
    </xf>
    <xf numFmtId="2" fontId="1" fillId="0" borderId="5" xfId="0" quotePrefix="1" applyNumberFormat="1" applyFont="1" applyFill="1" applyBorder="1" applyAlignment="1" applyProtection="1">
      <alignment horizontal="center" vertical="center"/>
    </xf>
    <xf numFmtId="0" fontId="0" fillId="5" borderId="5" xfId="0" applyFill="1" applyBorder="1" applyAlignment="1" applyProtection="1">
      <alignment horizontal="center" vertical="center"/>
      <protection locked="0"/>
    </xf>
    <xf numFmtId="0" fontId="4" fillId="0" borderId="0" xfId="0" applyFont="1" applyAlignment="1" applyProtection="1">
      <alignment horizontal="right" vertical="center"/>
    </xf>
    <xf numFmtId="0" fontId="2" fillId="0" borderId="0" xfId="0" applyFont="1" applyFill="1" applyBorder="1" applyAlignment="1" applyProtection="1">
      <alignment horizontal="right" vertical="center"/>
    </xf>
    <xf numFmtId="0" fontId="0" fillId="0" borderId="0" xfId="0" applyAlignment="1" applyProtection="1">
      <alignment horizontal="right" vertical="center"/>
    </xf>
    <xf numFmtId="0" fontId="0" fillId="0" borderId="28" xfId="0" applyBorder="1" applyAlignment="1" applyProtection="1">
      <alignment vertical="center"/>
    </xf>
    <xf numFmtId="0" fontId="5" fillId="0" borderId="28" xfId="0" applyFont="1" applyBorder="1" applyAlignment="1" applyProtection="1">
      <alignment vertical="center"/>
    </xf>
    <xf numFmtId="0" fontId="0" fillId="0" borderId="28" xfId="0" applyBorder="1" applyProtection="1"/>
    <xf numFmtId="0" fontId="0" fillId="0" borderId="16" xfId="0" applyBorder="1" applyAlignment="1">
      <alignment vertical="center"/>
    </xf>
    <xf numFmtId="0" fontId="0" fillId="0" borderId="5" xfId="0" applyBorder="1" applyAlignment="1" applyProtection="1">
      <alignment vertical="center"/>
      <protection locked="0"/>
    </xf>
    <xf numFmtId="0" fontId="1" fillId="0" borderId="5" xfId="0" applyFont="1" applyBorder="1" applyAlignment="1" applyProtection="1">
      <alignment horizontal="right" vertical="center"/>
    </xf>
    <xf numFmtId="167" fontId="1" fillId="0" borderId="5" xfId="0" applyNumberFormat="1" applyFont="1" applyBorder="1" applyAlignment="1" applyProtection="1">
      <alignment horizontal="right" vertical="center"/>
    </xf>
    <xf numFmtId="164" fontId="1" fillId="2" borderId="5" xfId="0" applyNumberFormat="1" applyFont="1" applyFill="1" applyBorder="1" applyAlignment="1" applyProtection="1">
      <alignment horizontal="right" vertical="center"/>
      <protection locked="0"/>
    </xf>
    <xf numFmtId="0" fontId="0" fillId="5" borderId="5" xfId="0"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xf>
    <xf numFmtId="0" fontId="1" fillId="0" borderId="5" xfId="0" applyFont="1" applyBorder="1" applyAlignment="1" applyProtection="1">
      <alignment horizontal="left" vertical="center" wrapText="1"/>
    </xf>
    <xf numFmtId="0" fontId="1" fillId="5" borderId="5" xfId="0" quotePrefix="1" applyFont="1" applyFill="1" applyBorder="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18" fillId="0" borderId="0" xfId="0" applyFont="1" applyAlignment="1" applyProtection="1">
      <alignment horizontal="center" vertical="center"/>
      <protection locked="0"/>
    </xf>
    <xf numFmtId="0" fontId="0" fillId="0" borderId="0" xfId="0" applyAlignment="1" applyProtection="1">
      <alignment horizontal="left" vertical="center"/>
    </xf>
    <xf numFmtId="0" fontId="22" fillId="0" borderId="17" xfId="0" applyFont="1" applyBorder="1" applyAlignment="1">
      <alignment horizontal="center" vertical="center" wrapText="1"/>
    </xf>
    <xf numFmtId="0" fontId="13" fillId="0" borderId="6" xfId="0" applyFont="1" applyBorder="1" applyAlignment="1" applyProtection="1">
      <alignment horizontal="center" vertical="center" wrapText="1"/>
      <protection locked="0"/>
    </xf>
    <xf numFmtId="0" fontId="13" fillId="5" borderId="6" xfId="0" applyFont="1" applyFill="1" applyBorder="1" applyAlignment="1" applyProtection="1">
      <alignment horizontal="center" vertical="center" wrapText="1"/>
      <protection locked="0"/>
    </xf>
    <xf numFmtId="0" fontId="13" fillId="0" borderId="5" xfId="0" applyFont="1" applyBorder="1" applyAlignment="1" applyProtection="1">
      <alignment horizontal="center" vertical="center" wrapText="1"/>
      <protection locked="0"/>
    </xf>
    <xf numFmtId="0" fontId="13" fillId="5" borderId="5" xfId="0" applyFont="1" applyFill="1" applyBorder="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13" fillId="0" borderId="5" xfId="0" applyFont="1" applyBorder="1" applyAlignment="1" applyProtection="1">
      <alignment vertical="center" wrapText="1"/>
      <protection locked="0"/>
    </xf>
    <xf numFmtId="0" fontId="13" fillId="5" borderId="5" xfId="0" applyFont="1" applyFill="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0" xfId="0" applyFont="1" applyBorder="1" applyAlignment="1" applyProtection="1">
      <alignment horizontal="center" vertical="center" wrapText="1"/>
      <protection locked="0"/>
    </xf>
    <xf numFmtId="0" fontId="13" fillId="0" borderId="0" xfId="0" applyFont="1" applyBorder="1" applyAlignment="1" applyProtection="1">
      <alignment vertical="center"/>
      <protection locked="0"/>
    </xf>
    <xf numFmtId="0" fontId="10" fillId="0" borderId="0" xfId="0" applyFont="1" applyAlignment="1" applyProtection="1">
      <alignment horizontal="left" vertical="center"/>
      <protection locked="0"/>
    </xf>
    <xf numFmtId="0" fontId="16" fillId="0" borderId="0" xfId="0" applyFont="1" applyAlignment="1" applyProtection="1">
      <alignment horizontal="right" vertical="center"/>
    </xf>
    <xf numFmtId="0" fontId="15" fillId="0" borderId="0" xfId="0" applyNumberFormat="1" applyFont="1" applyBorder="1" applyAlignment="1" applyProtection="1">
      <alignment horizontal="right" vertical="center"/>
    </xf>
    <xf numFmtId="0" fontId="19" fillId="0" borderId="0" xfId="0" applyFont="1" applyAlignment="1" applyProtection="1">
      <alignment horizontal="left" vertical="center"/>
    </xf>
    <xf numFmtId="0" fontId="15" fillId="0" borderId="0" xfId="0" applyFont="1" applyAlignment="1" applyProtection="1">
      <alignment horizontal="right" vertical="center"/>
    </xf>
    <xf numFmtId="0" fontId="15" fillId="0" borderId="0" xfId="0" applyFont="1" applyAlignment="1" applyProtection="1">
      <alignment horizontal="center" vertical="center"/>
    </xf>
    <xf numFmtId="0" fontId="15" fillId="0" borderId="0" xfId="0" applyFont="1" applyAlignment="1" applyProtection="1">
      <alignment vertical="center"/>
    </xf>
    <xf numFmtId="14" fontId="15" fillId="0" borderId="0" xfId="0" applyNumberFormat="1" applyFont="1" applyAlignment="1" applyProtection="1">
      <alignment horizontal="right" vertical="center"/>
    </xf>
    <xf numFmtId="0" fontId="16" fillId="0" borderId="0" xfId="0" applyFont="1" applyAlignment="1" applyProtection="1">
      <alignment horizontal="right" vertical="center" wrapText="1"/>
    </xf>
    <xf numFmtId="166" fontId="15" fillId="0" borderId="0" xfId="0" applyNumberFormat="1" applyFont="1" applyAlignment="1" applyProtection="1">
      <alignment horizontal="right" vertical="center"/>
    </xf>
    <xf numFmtId="2" fontId="15" fillId="0" borderId="0" xfId="0" applyNumberFormat="1" applyFont="1" applyAlignment="1" applyProtection="1">
      <alignment horizontal="center" vertical="center"/>
    </xf>
    <xf numFmtId="0" fontId="16" fillId="0" borderId="0" xfId="0" quotePrefix="1" applyFont="1" applyAlignment="1" applyProtection="1">
      <alignment vertical="center"/>
    </xf>
    <xf numFmtId="0" fontId="16" fillId="0" borderId="0" xfId="0" applyFont="1" applyAlignment="1" applyProtection="1">
      <alignment vertical="center"/>
    </xf>
    <xf numFmtId="2" fontId="15" fillId="0" borderId="0" xfId="0" applyNumberFormat="1" applyFont="1" applyAlignment="1" applyProtection="1">
      <alignment horizontal="right" vertical="center"/>
    </xf>
    <xf numFmtId="2" fontId="16" fillId="0" borderId="0" xfId="0" applyNumberFormat="1" applyFont="1" applyAlignment="1" applyProtection="1">
      <alignment horizontal="right" vertical="center"/>
    </xf>
    <xf numFmtId="0" fontId="16" fillId="0" borderId="5" xfId="0" applyFont="1" applyBorder="1" applyAlignment="1" applyProtection="1">
      <alignment vertical="center"/>
    </xf>
    <xf numFmtId="2" fontId="15" fillId="0" borderId="5" xfId="0" applyNumberFormat="1" applyFont="1" applyBorder="1" applyAlignment="1" applyProtection="1">
      <alignment vertical="center"/>
    </xf>
    <xf numFmtId="164" fontId="15" fillId="0" borderId="5" xfId="0" applyNumberFormat="1" applyFont="1" applyBorder="1" applyAlignment="1" applyProtection="1">
      <alignment vertical="center"/>
    </xf>
    <xf numFmtId="0" fontId="14" fillId="0" borderId="16" xfId="0" applyFont="1" applyBorder="1" applyAlignment="1" applyProtection="1">
      <alignment horizontal="left" vertical="center"/>
    </xf>
    <xf numFmtId="0" fontId="17" fillId="0" borderId="0" xfId="0" applyFont="1" applyAlignment="1" applyProtection="1">
      <alignment vertical="center" wrapText="1"/>
      <protection locked="0"/>
    </xf>
    <xf numFmtId="0" fontId="18" fillId="0" borderId="0" xfId="0" applyFont="1" applyAlignment="1" applyProtection="1">
      <alignment vertical="center"/>
      <protection locked="0"/>
    </xf>
    <xf numFmtId="0" fontId="17" fillId="0" borderId="0" xfId="0" applyFont="1" applyAlignment="1" applyProtection="1">
      <alignment horizontal="center" vertical="center"/>
      <protection locked="0"/>
    </xf>
    <xf numFmtId="0" fontId="22" fillId="0" borderId="0" xfId="0" applyFont="1" applyAlignment="1" applyProtection="1">
      <alignment horizontal="left" vertical="center" wrapText="1"/>
      <protection locked="0"/>
    </xf>
    <xf numFmtId="0" fontId="23" fillId="0" borderId="0" xfId="0" applyFont="1" applyAlignment="1" applyProtection="1">
      <alignment horizontal="right" vertical="center"/>
      <protection locked="0"/>
    </xf>
    <xf numFmtId="0" fontId="23" fillId="0" borderId="0" xfId="0" applyFont="1" applyAlignment="1" applyProtection="1">
      <alignment horizontal="center" vertical="center"/>
      <protection locked="0"/>
    </xf>
    <xf numFmtId="0" fontId="22" fillId="0" borderId="0" xfId="0" applyFont="1" applyAlignment="1" applyProtection="1">
      <alignment horizontal="left" vertical="center" wrapText="1" indent="3"/>
      <protection locked="0"/>
    </xf>
    <xf numFmtId="0" fontId="16" fillId="0" borderId="0" xfId="0" applyFont="1" applyBorder="1" applyAlignment="1" applyProtection="1">
      <alignment vertical="center"/>
    </xf>
    <xf numFmtId="164" fontId="15" fillId="0" borderId="0" xfId="0" applyNumberFormat="1" applyFont="1" applyBorder="1" applyAlignment="1" applyProtection="1">
      <alignment vertical="center"/>
    </xf>
    <xf numFmtId="0" fontId="13" fillId="6" borderId="16" xfId="0" applyFont="1" applyFill="1" applyBorder="1" applyAlignment="1">
      <alignment horizontal="left" vertical="center"/>
    </xf>
    <xf numFmtId="0" fontId="0" fillId="6" borderId="16" xfId="0" applyFill="1" applyBorder="1" applyAlignment="1">
      <alignment horizontal="left" vertical="center"/>
    </xf>
    <xf numFmtId="0" fontId="0" fillId="0" borderId="16" xfId="0" applyFill="1" applyBorder="1" applyAlignment="1" applyProtection="1">
      <alignment vertical="center"/>
      <protection locked="0"/>
    </xf>
    <xf numFmtId="0" fontId="17" fillId="0" borderId="16" xfId="0" applyFont="1" applyFill="1" applyBorder="1" applyAlignment="1" applyProtection="1">
      <alignment horizontal="center" vertical="center" wrapText="1"/>
      <protection locked="0"/>
    </xf>
    <xf numFmtId="0" fontId="18" fillId="0" borderId="16" xfId="0" applyFont="1" applyFill="1" applyBorder="1" applyAlignment="1" applyProtection="1">
      <alignment horizontal="center" vertical="center"/>
      <protection locked="0"/>
    </xf>
    <xf numFmtId="0" fontId="13" fillId="0" borderId="0" xfId="0" applyFont="1" applyAlignment="1" applyProtection="1">
      <alignment horizontal="left" vertical="center"/>
      <protection locked="0"/>
    </xf>
    <xf numFmtId="0" fontId="13" fillId="0" borderId="5" xfId="0" applyFont="1" applyBorder="1" applyAlignment="1" applyProtection="1">
      <alignment horizontal="center" vertical="center"/>
      <protection locked="0"/>
    </xf>
    <xf numFmtId="0" fontId="2" fillId="0" borderId="0" xfId="0" applyFont="1" applyAlignment="1" applyProtection="1">
      <alignment horizontal="left" vertical="center"/>
    </xf>
    <xf numFmtId="0" fontId="2" fillId="0" borderId="0" xfId="0" applyFont="1" applyBorder="1" applyAlignment="1" applyProtection="1">
      <alignment horizontal="left" vertical="center"/>
    </xf>
    <xf numFmtId="0" fontId="13" fillId="0" borderId="0" xfId="0" applyFont="1" applyBorder="1" applyAlignment="1" applyProtection="1">
      <alignment horizontal="center" vertical="center"/>
      <protection locked="0"/>
    </xf>
    <xf numFmtId="0" fontId="2" fillId="0" borderId="0" xfId="0" applyFont="1" applyBorder="1" applyProtection="1">
      <protection locked="0"/>
    </xf>
    <xf numFmtId="0" fontId="2" fillId="0" borderId="3" xfId="0" applyFont="1" applyBorder="1" applyAlignment="1" applyProtection="1">
      <alignment horizontal="center" vertical="center" textRotation="90" wrapText="1"/>
    </xf>
    <xf numFmtId="0" fontId="2" fillId="0" borderId="0" xfId="0" applyFont="1" applyBorder="1" applyAlignment="1" applyProtection="1">
      <alignment vertical="center"/>
      <protection locked="0"/>
    </xf>
    <xf numFmtId="0" fontId="13" fillId="0" borderId="0" xfId="0" applyFont="1" applyFill="1" applyBorder="1" applyAlignment="1" applyProtection="1">
      <alignment horizontal="center" vertical="center"/>
      <protection locked="0"/>
    </xf>
    <xf numFmtId="0" fontId="18" fillId="0" borderId="27" xfId="0" applyFont="1" applyFill="1" applyBorder="1" applyAlignment="1" applyProtection="1">
      <alignment horizontal="right" vertical="center" wrapText="1"/>
      <protection locked="0"/>
    </xf>
    <xf numFmtId="165" fontId="0" fillId="2" borderId="5" xfId="0" applyNumberFormat="1" applyFill="1" applyBorder="1" applyAlignment="1" applyProtection="1">
      <alignment horizontal="center" vertical="center"/>
      <protection locked="0"/>
    </xf>
    <xf numFmtId="0" fontId="2" fillId="0" borderId="2" xfId="0" applyFont="1" applyBorder="1" applyAlignment="1" applyProtection="1">
      <alignment horizontal="center" vertical="center" textRotation="90" wrapText="1"/>
    </xf>
    <xf numFmtId="0" fontId="0" fillId="0" borderId="5" xfId="0" applyBorder="1" applyAlignment="1">
      <alignment horizontal="center" vertical="center"/>
    </xf>
    <xf numFmtId="0" fontId="0" fillId="0" borderId="5" xfId="0" applyBorder="1" applyAlignment="1">
      <alignment vertical="center"/>
    </xf>
    <xf numFmtId="0" fontId="2" fillId="0" borderId="11" xfId="0" applyFont="1"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vertical="center"/>
    </xf>
    <xf numFmtId="0" fontId="1" fillId="0" borderId="18" xfId="0" applyFont="1" applyBorder="1" applyAlignment="1">
      <alignment vertical="center"/>
    </xf>
    <xf numFmtId="0" fontId="1" fillId="0" borderId="5" xfId="0" applyFont="1" applyBorder="1" applyAlignment="1">
      <alignment vertical="center"/>
    </xf>
    <xf numFmtId="0" fontId="13" fillId="0" borderId="5" xfId="0" applyFont="1" applyFill="1" applyBorder="1" applyAlignment="1" applyProtection="1">
      <alignment horizontal="center" vertical="center" wrapText="1"/>
      <protection locked="0"/>
    </xf>
    <xf numFmtId="0" fontId="2" fillId="0" borderId="0" xfId="0" applyFont="1" applyAlignment="1" applyProtection="1">
      <alignment horizontal="left" vertical="center"/>
    </xf>
    <xf numFmtId="0" fontId="2" fillId="0" borderId="9" xfId="0" applyFont="1" applyBorder="1" applyAlignment="1" applyProtection="1">
      <alignment horizontal="left" vertical="center"/>
    </xf>
    <xf numFmtId="0" fontId="2" fillId="0" borderId="0" xfId="0" applyFont="1" applyFill="1" applyBorder="1" applyAlignment="1" applyProtection="1">
      <alignment horizontal="left" vertical="center"/>
    </xf>
    <xf numFmtId="0" fontId="2" fillId="0" borderId="0" xfId="0" applyFont="1" applyAlignment="1" applyProtection="1">
      <alignment horizontal="left" vertical="center" wrapText="1"/>
    </xf>
    <xf numFmtId="0" fontId="2" fillId="0" borderId="9" xfId="0" applyFont="1" applyBorder="1" applyAlignment="1" applyProtection="1">
      <alignment horizontal="left" vertical="center" wrapText="1"/>
    </xf>
    <xf numFmtId="0" fontId="1" fillId="0" borderId="5" xfId="0" applyFont="1" applyBorder="1" applyAlignment="1" applyProtection="1">
      <alignment horizontal="center" vertical="center"/>
    </xf>
    <xf numFmtId="0" fontId="2" fillId="0" borderId="9" xfId="0" applyFont="1" applyBorder="1" applyAlignment="1" applyProtection="1">
      <alignment horizontal="right" vertical="center"/>
    </xf>
    <xf numFmtId="0" fontId="2" fillId="0" borderId="12" xfId="0" applyFont="1" applyBorder="1" applyAlignment="1" applyProtection="1">
      <alignment horizontal="right" vertical="center"/>
    </xf>
    <xf numFmtId="0" fontId="0" fillId="5" borderId="5" xfId="0" applyFill="1" applyBorder="1" applyAlignment="1" applyProtection="1">
      <alignment horizontal="center" vertical="center"/>
      <protection locked="0"/>
    </xf>
    <xf numFmtId="0" fontId="1" fillId="5" borderId="5" xfId="0" applyFont="1" applyFill="1" applyBorder="1" applyAlignment="1" applyProtection="1">
      <alignment horizontal="center" vertical="center"/>
      <protection locked="0"/>
    </xf>
    <xf numFmtId="0" fontId="2" fillId="0" borderId="9" xfId="0" applyFont="1" applyFill="1" applyBorder="1" applyAlignment="1" applyProtection="1">
      <alignment horizontal="left" vertical="center"/>
    </xf>
    <xf numFmtId="0" fontId="1" fillId="0" borderId="0" xfId="0" applyFont="1" applyAlignment="1" applyProtection="1">
      <alignment horizontal="left" vertical="center" wrapText="1"/>
    </xf>
    <xf numFmtId="0" fontId="2" fillId="0" borderId="0" xfId="0" applyFont="1" applyAlignment="1" applyProtection="1">
      <alignment horizontal="right" vertical="center"/>
    </xf>
    <xf numFmtId="0" fontId="0" fillId="0" borderId="0" xfId="0" applyAlignment="1" applyProtection="1">
      <alignment horizontal="left" vertical="center"/>
    </xf>
    <xf numFmtId="0" fontId="2" fillId="0" borderId="0" xfId="0" applyFont="1" applyFill="1" applyBorder="1" applyAlignment="1" applyProtection="1">
      <alignment horizontal="right" vertical="center"/>
    </xf>
    <xf numFmtId="0" fontId="2" fillId="0" borderId="9" xfId="0" applyFont="1" applyFill="1" applyBorder="1" applyAlignment="1" applyProtection="1">
      <alignment horizontal="right" vertical="center"/>
    </xf>
    <xf numFmtId="0" fontId="2" fillId="0" borderId="0" xfId="0" applyFont="1" applyAlignment="1" applyProtection="1">
      <alignment horizontal="right" vertical="center" wrapText="1"/>
    </xf>
    <xf numFmtId="0" fontId="2" fillId="0" borderId="9" xfId="0" applyFont="1" applyBorder="1" applyAlignment="1" applyProtection="1">
      <alignment horizontal="right" vertical="center" wrapText="1"/>
    </xf>
    <xf numFmtId="0" fontId="0" fillId="0" borderId="0" xfId="0" applyAlignment="1" applyProtection="1">
      <alignment horizontal="right" vertical="center"/>
    </xf>
    <xf numFmtId="0" fontId="2" fillId="0" borderId="0" xfId="0" applyFont="1" applyBorder="1" applyAlignment="1" applyProtection="1">
      <alignment horizontal="right" vertical="center" wrapText="1"/>
    </xf>
    <xf numFmtId="0" fontId="1" fillId="5" borderId="24" xfId="0" applyFont="1"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2" fillId="0" borderId="1" xfId="0" applyFont="1" applyBorder="1" applyAlignment="1" applyProtection="1">
      <alignment horizontal="center" vertical="center" textRotation="90" wrapText="1"/>
    </xf>
    <xf numFmtId="0" fontId="2" fillId="0" borderId="2" xfId="0" applyFont="1" applyBorder="1" applyAlignment="1" applyProtection="1">
      <alignment horizontal="center" vertical="center" textRotation="90" wrapText="1"/>
    </xf>
    <xf numFmtId="0" fontId="1" fillId="0" borderId="19" xfId="0" applyFont="1" applyBorder="1" applyAlignment="1" applyProtection="1">
      <alignment horizontal="center" vertical="center"/>
    </xf>
    <xf numFmtId="0" fontId="1" fillId="0" borderId="0" xfId="0" applyFont="1" applyBorder="1" applyAlignment="1" applyProtection="1">
      <alignment horizontal="right" vertical="center"/>
    </xf>
    <xf numFmtId="0" fontId="5" fillId="0" borderId="0" xfId="0" applyFont="1" applyBorder="1" applyAlignment="1" applyProtection="1">
      <alignment horizontal="left" vertical="center"/>
    </xf>
    <xf numFmtId="0" fontId="1" fillId="0" borderId="0" xfId="0" applyFont="1" applyAlignment="1" applyProtection="1">
      <alignment horizontal="left" vertical="center"/>
    </xf>
    <xf numFmtId="0" fontId="15" fillId="0" borderId="0" xfId="0" applyFont="1" applyAlignment="1">
      <alignment horizontal="center" vertical="center" wrapText="1"/>
    </xf>
    <xf numFmtId="0" fontId="13" fillId="0" borderId="0" xfId="0"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0" fontId="5" fillId="0" borderId="0" xfId="0" applyFont="1" applyAlignment="1" applyProtection="1">
      <alignment horizontal="center" vertical="center"/>
    </xf>
    <xf numFmtId="0" fontId="16" fillId="0" borderId="29" xfId="0" applyFont="1" applyBorder="1"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2" fillId="0" borderId="5" xfId="0" applyFont="1" applyFill="1" applyBorder="1" applyAlignment="1" applyProtection="1">
      <alignment horizontal="center" vertical="center"/>
    </xf>
    <xf numFmtId="0" fontId="2" fillId="0" borderId="5" xfId="0" applyFont="1" applyBorder="1" applyAlignment="1" applyProtection="1">
      <alignment horizontal="center" vertical="center"/>
    </xf>
    <xf numFmtId="0" fontId="2" fillId="0" borderId="17" xfId="0" applyFont="1" applyBorder="1" applyAlignment="1" applyProtection="1">
      <alignment horizontal="center" vertical="center"/>
    </xf>
    <xf numFmtId="0" fontId="2" fillId="0" borderId="17" xfId="0" applyFont="1" applyFill="1" applyBorder="1" applyAlignment="1" applyProtection="1">
      <alignment horizontal="center" vertical="center"/>
    </xf>
    <xf numFmtId="0" fontId="0" fillId="0" borderId="5" xfId="0" applyBorder="1" applyAlignment="1" applyProtection="1">
      <alignment horizontal="center" vertical="center"/>
    </xf>
    <xf numFmtId="0" fontId="0" fillId="0" borderId="17" xfId="0" applyBorder="1" applyAlignment="1" applyProtection="1">
      <alignment horizontal="center" vertical="center"/>
    </xf>
    <xf numFmtId="0" fontId="25" fillId="0" borderId="0" xfId="0" applyFont="1"/>
    <xf numFmtId="0" fontId="25" fillId="0" borderId="0" xfId="0" applyFont="1" applyAlignment="1">
      <alignment horizontal="center"/>
    </xf>
    <xf numFmtId="0" fontId="25" fillId="0" borderId="0" xfId="0" applyFont="1" applyAlignment="1">
      <alignment horizontal="center"/>
    </xf>
    <xf numFmtId="0" fontId="25" fillId="7" borderId="1" xfId="0" applyFont="1" applyFill="1" applyBorder="1" applyAlignment="1">
      <alignment horizontal="center"/>
    </xf>
    <xf numFmtId="0" fontId="26" fillId="8" borderId="30" xfId="0" applyFont="1" applyFill="1" applyBorder="1" applyAlignment="1">
      <alignment horizontal="center" vertical="center" textRotation="90"/>
    </xf>
    <xf numFmtId="0" fontId="0" fillId="8" borderId="31" xfId="0" applyFill="1" applyBorder="1" applyAlignment="1">
      <alignment horizontal="left" vertical="center"/>
    </xf>
    <xf numFmtId="0" fontId="0" fillId="0" borderId="32" xfId="0" applyBorder="1" applyAlignment="1">
      <alignment horizontal="center"/>
    </xf>
    <xf numFmtId="0" fontId="0" fillId="0" borderId="33" xfId="0" applyBorder="1" applyAlignment="1">
      <alignment horizontal="center"/>
    </xf>
    <xf numFmtId="0" fontId="9" fillId="0" borderId="34" xfId="0" applyFont="1" applyBorder="1" applyAlignment="1">
      <alignment horizontal="center" vertical="center"/>
    </xf>
    <xf numFmtId="0" fontId="26" fillId="8" borderId="35" xfId="0" applyFont="1" applyFill="1" applyBorder="1" applyAlignment="1">
      <alignment horizontal="center" vertical="center" textRotation="90"/>
    </xf>
    <xf numFmtId="0" fontId="0" fillId="8" borderId="0" xfId="0" applyFill="1" applyAlignment="1">
      <alignment horizontal="left" vertical="center"/>
    </xf>
    <xf numFmtId="0" fontId="9" fillId="0" borderId="13" xfId="0" applyFont="1" applyBorder="1" applyAlignment="1">
      <alignment horizontal="center" vertical="center"/>
    </xf>
    <xf numFmtId="0" fontId="24" fillId="8" borderId="0" xfId="0" applyFont="1" applyFill="1" applyAlignment="1">
      <alignment horizontal="left" vertical="center"/>
    </xf>
    <xf numFmtId="0" fontId="25" fillId="7" borderId="7" xfId="0" applyFont="1" applyFill="1" applyBorder="1" applyAlignment="1">
      <alignment horizontal="center"/>
    </xf>
    <xf numFmtId="0" fontId="26" fillId="8" borderId="36" xfId="0" applyFont="1" applyFill="1" applyBorder="1" applyAlignment="1">
      <alignment horizontal="center" vertical="center" textRotation="90"/>
    </xf>
    <xf numFmtId="0" fontId="24" fillId="8" borderId="37" xfId="0" applyFont="1" applyFill="1" applyBorder="1" applyAlignment="1">
      <alignment horizontal="left" vertical="center"/>
    </xf>
    <xf numFmtId="0" fontId="26" fillId="9" borderId="30" xfId="0" applyFont="1" applyFill="1" applyBorder="1" applyAlignment="1">
      <alignment horizontal="center" vertical="center" textRotation="90"/>
    </xf>
    <xf numFmtId="0" fontId="1" fillId="9" borderId="31" xfId="0" applyFont="1" applyFill="1" applyBorder="1" applyAlignment="1">
      <alignment horizontal="left" vertical="center"/>
    </xf>
    <xf numFmtId="14" fontId="9" fillId="0" borderId="11" xfId="0" applyNumberFormat="1" applyFont="1" applyBorder="1" applyAlignment="1">
      <alignment horizontal="center" vertical="center"/>
    </xf>
    <xf numFmtId="0" fontId="26" fillId="9" borderId="35" xfId="0" applyFont="1" applyFill="1" applyBorder="1" applyAlignment="1">
      <alignment horizontal="center" vertical="center" textRotation="90"/>
    </xf>
    <xf numFmtId="0" fontId="0" fillId="9" borderId="0" xfId="0" applyFill="1" applyAlignment="1">
      <alignment horizontal="left" vertical="center"/>
    </xf>
    <xf numFmtId="14" fontId="9" fillId="0" borderId="6" xfId="0" applyNumberFormat="1" applyFont="1" applyBorder="1" applyAlignment="1">
      <alignment horizontal="center" vertical="center"/>
    </xf>
    <xf numFmtId="0" fontId="26" fillId="9" borderId="36" xfId="0" applyFont="1" applyFill="1" applyBorder="1" applyAlignment="1">
      <alignment horizontal="center" vertical="center" textRotation="90"/>
    </xf>
    <xf numFmtId="0" fontId="24" fillId="9" borderId="37" xfId="0" applyFont="1" applyFill="1" applyBorder="1" applyAlignment="1">
      <alignment horizontal="left" vertical="center"/>
    </xf>
    <xf numFmtId="0" fontId="26" fillId="10" borderId="30" xfId="0" applyFont="1" applyFill="1" applyBorder="1" applyAlignment="1">
      <alignment horizontal="center" vertical="center" textRotation="90"/>
    </xf>
    <xf numFmtId="0" fontId="0" fillId="10" borderId="31" xfId="0" applyFill="1" applyBorder="1" applyAlignment="1">
      <alignment horizontal="left" vertical="center"/>
    </xf>
    <xf numFmtId="0" fontId="26" fillId="10" borderId="35" xfId="0" applyFont="1" applyFill="1" applyBorder="1" applyAlignment="1">
      <alignment horizontal="center" vertical="center" textRotation="90"/>
    </xf>
    <xf numFmtId="0" fontId="0" fillId="10" borderId="0" xfId="0" applyFill="1" applyAlignment="1">
      <alignment horizontal="left" vertical="center"/>
    </xf>
    <xf numFmtId="0" fontId="9" fillId="0" borderId="38" xfId="0" applyFont="1" applyBorder="1" applyAlignment="1">
      <alignment horizontal="center" vertical="center"/>
    </xf>
    <xf numFmtId="0" fontId="0" fillId="10" borderId="39" xfId="0" applyFill="1" applyBorder="1" applyAlignment="1">
      <alignment horizontal="left" vertical="center"/>
    </xf>
    <xf numFmtId="0" fontId="0" fillId="0" borderId="0" xfId="0" applyAlignment="1">
      <alignment horizontal="center"/>
    </xf>
    <xf numFmtId="0" fontId="26" fillId="2" borderId="30" xfId="0" applyFont="1" applyFill="1" applyBorder="1" applyAlignment="1">
      <alignment horizontal="center" vertical="center" textRotation="90" wrapText="1"/>
    </xf>
    <xf numFmtId="0" fontId="0" fillId="2" borderId="31" xfId="0" applyFill="1" applyBorder="1" applyAlignment="1">
      <alignment horizontal="left" vertical="center"/>
    </xf>
    <xf numFmtId="0" fontId="26" fillId="2" borderId="35" xfId="0" applyFont="1" applyFill="1" applyBorder="1" applyAlignment="1">
      <alignment horizontal="center" vertical="center" textRotation="90" wrapText="1"/>
    </xf>
    <xf numFmtId="0" fontId="1" fillId="2" borderId="0" xfId="0" applyFont="1" applyFill="1" applyAlignment="1">
      <alignment horizontal="left" vertical="center"/>
    </xf>
    <xf numFmtId="0" fontId="26" fillId="2" borderId="36" xfId="0" applyFont="1" applyFill="1" applyBorder="1" applyAlignment="1">
      <alignment horizontal="center" vertical="center" textRotation="90" wrapText="1"/>
    </xf>
    <xf numFmtId="0" fontId="1" fillId="2" borderId="37" xfId="0" applyFont="1" applyFill="1" applyBorder="1" applyAlignment="1">
      <alignment horizontal="left" vertical="center"/>
    </xf>
    <xf numFmtId="0" fontId="26" fillId="0" borderId="0" xfId="0" applyFont="1" applyAlignment="1">
      <alignment horizontal="center" vertical="center" textRotation="90" wrapText="1"/>
    </xf>
    <xf numFmtId="0" fontId="1" fillId="0" borderId="0" xfId="0" applyFont="1" applyAlignment="1">
      <alignment horizontal="left" vertical="center"/>
    </xf>
    <xf numFmtId="0" fontId="0" fillId="0" borderId="0" xfId="0" applyAlignment="1">
      <alignment horizontal="center" vertical="center"/>
    </xf>
    <xf numFmtId="0" fontId="26" fillId="11" borderId="24" xfId="0" applyFont="1" applyFill="1" applyBorder="1" applyAlignment="1">
      <alignment horizontal="center" vertical="center" wrapText="1"/>
    </xf>
    <xf numFmtId="0" fontId="26" fillId="11" borderId="25" xfId="0" applyFont="1" applyFill="1" applyBorder="1" applyAlignment="1">
      <alignment horizontal="center" vertical="center" wrapText="1"/>
    </xf>
    <xf numFmtId="0" fontId="0" fillId="6" borderId="5" xfId="0" applyFill="1" applyBorder="1" applyAlignment="1">
      <alignment horizontal="center" vertical="center"/>
    </xf>
    <xf numFmtId="0" fontId="21" fillId="7" borderId="40" xfId="0" applyFont="1" applyFill="1" applyBorder="1" applyAlignment="1">
      <alignment horizontal="center" wrapText="1"/>
    </xf>
    <xf numFmtId="0" fontId="21" fillId="7" borderId="41" xfId="0" applyFont="1" applyFill="1" applyBorder="1" applyAlignment="1">
      <alignment horizontal="center" wrapText="1"/>
    </xf>
    <xf numFmtId="0" fontId="21" fillId="7" borderId="42" xfId="0" applyFont="1" applyFill="1" applyBorder="1" applyAlignment="1">
      <alignment horizontal="center" wrapText="1"/>
    </xf>
    <xf numFmtId="0" fontId="21" fillId="7" borderId="43" xfId="0" applyFont="1" applyFill="1" applyBorder="1" applyAlignment="1">
      <alignment horizontal="center" wrapText="1"/>
    </xf>
    <xf numFmtId="0" fontId="21" fillId="7" borderId="42" xfId="0" applyFont="1" applyFill="1" applyBorder="1" applyAlignment="1">
      <alignment horizontal="center"/>
    </xf>
    <xf numFmtId="0" fontId="21" fillId="7" borderId="44" xfId="0" applyFont="1" applyFill="1" applyBorder="1"/>
    <xf numFmtId="0" fontId="21" fillId="7" borderId="45" xfId="0" applyFont="1" applyFill="1" applyBorder="1" applyAlignment="1">
      <alignment horizontal="center"/>
    </xf>
    <xf numFmtId="0" fontId="24" fillId="0" borderId="0" xfId="0" applyFont="1" applyAlignment="1">
      <alignment horizontal="left" wrapText="1"/>
    </xf>
    <xf numFmtId="0" fontId="19" fillId="0" borderId="46" xfId="0" applyFont="1" applyBorder="1" applyAlignment="1">
      <alignment horizontal="left" wrapText="1"/>
    </xf>
    <xf numFmtId="2" fontId="19" fillId="12" borderId="47" xfId="0" applyNumberFormat="1" applyFont="1" applyFill="1" applyBorder="1" applyAlignment="1">
      <alignment horizontal="center" wrapText="1"/>
    </xf>
    <xf numFmtId="167" fontId="19" fillId="12" borderId="48" xfId="0" applyNumberFormat="1" applyFont="1" applyFill="1" applyBorder="1" applyAlignment="1">
      <alignment horizontal="center" wrapText="1"/>
    </xf>
    <xf numFmtId="0" fontId="19" fillId="0" borderId="46" xfId="0" applyFont="1" applyBorder="1"/>
    <xf numFmtId="0" fontId="19" fillId="12" borderId="49" xfId="0" applyFont="1" applyFill="1" applyBorder="1" applyAlignment="1">
      <alignment horizontal="center"/>
    </xf>
    <xf numFmtId="166" fontId="19" fillId="0" borderId="48" xfId="0" applyNumberFormat="1" applyFont="1" applyBorder="1" applyAlignment="1">
      <alignment horizontal="center"/>
    </xf>
    <xf numFmtId="2" fontId="19" fillId="12" borderId="47" xfId="0" applyNumberFormat="1" applyFont="1" applyFill="1" applyBorder="1" applyAlignment="1">
      <alignment horizontal="center"/>
    </xf>
    <xf numFmtId="167" fontId="19" fillId="8" borderId="48" xfId="0" applyNumberFormat="1" applyFont="1" applyFill="1" applyBorder="1" applyAlignment="1">
      <alignment horizontal="center" wrapText="1"/>
    </xf>
    <xf numFmtId="2" fontId="19" fillId="8" borderId="48" xfId="0" applyNumberFormat="1" applyFont="1" applyFill="1" applyBorder="1" applyAlignment="1">
      <alignment horizontal="center" wrapText="1"/>
    </xf>
    <xf numFmtId="0" fontId="19" fillId="8" borderId="49" xfId="0" applyFont="1" applyFill="1" applyBorder="1" applyAlignment="1">
      <alignment horizontal="center"/>
    </xf>
    <xf numFmtId="0" fontId="21" fillId="7" borderId="46" xfId="0" applyFont="1" applyFill="1" applyBorder="1" applyAlignment="1">
      <alignment horizontal="center" wrapText="1"/>
    </xf>
    <xf numFmtId="0" fontId="21" fillId="7" borderId="47" xfId="0" applyFont="1" applyFill="1" applyBorder="1" applyAlignment="1">
      <alignment horizontal="center" wrapText="1"/>
    </xf>
    <xf numFmtId="0" fontId="21" fillId="7" borderId="50" xfId="0" applyFont="1" applyFill="1" applyBorder="1" applyAlignment="1">
      <alignment horizontal="center" wrapText="1"/>
    </xf>
    <xf numFmtId="0" fontId="21" fillId="7" borderId="51" xfId="0" applyFont="1" applyFill="1" applyBorder="1" applyAlignment="1">
      <alignment horizontal="center" wrapText="1"/>
    </xf>
    <xf numFmtId="0" fontId="19" fillId="0" borderId="48" xfId="0" applyFont="1" applyBorder="1" applyAlignment="1">
      <alignment horizontal="center"/>
    </xf>
    <xf numFmtId="166" fontId="19" fillId="8" borderId="48" xfId="0" applyNumberFormat="1" applyFont="1" applyFill="1" applyBorder="1" applyAlignment="1">
      <alignment horizontal="center" wrapText="1"/>
    </xf>
    <xf numFmtId="0" fontId="24" fillId="0" borderId="0" xfId="0" applyFont="1" applyAlignment="1">
      <alignment horizontal="left"/>
    </xf>
    <xf numFmtId="0" fontId="19" fillId="0" borderId="52" xfId="0" applyFont="1" applyBorder="1" applyAlignment="1">
      <alignment horizontal="left" wrapText="1"/>
    </xf>
    <xf numFmtId="2" fontId="19" fillId="12" borderId="53" xfId="0" applyNumberFormat="1" applyFont="1" applyFill="1" applyBorder="1" applyAlignment="1">
      <alignment horizontal="center"/>
    </xf>
    <xf numFmtId="0" fontId="19" fillId="0" borderId="29" xfId="0" applyFont="1" applyBorder="1" applyAlignment="1">
      <alignment horizontal="left"/>
    </xf>
    <xf numFmtId="11" fontId="19" fillId="13" borderId="9" xfId="0" applyNumberFormat="1" applyFont="1" applyFill="1" applyBorder="1" applyAlignment="1">
      <alignment horizontal="center" vertical="center"/>
    </xf>
    <xf numFmtId="0" fontId="0" fillId="0" borderId="0" xfId="0" applyAlignment="1">
      <alignment horizontal="left"/>
    </xf>
    <xf numFmtId="0" fontId="19" fillId="0" borderId="0" xfId="0" applyFont="1"/>
    <xf numFmtId="11" fontId="19" fillId="0" borderId="0" xfId="0" applyNumberFormat="1" applyFont="1"/>
    <xf numFmtId="0" fontId="19" fillId="0" borderId="29" xfId="0" applyFont="1" applyBorder="1" applyAlignment="1">
      <alignment horizontal="right"/>
    </xf>
    <xf numFmtId="11" fontId="19" fillId="14" borderId="9" xfId="0" applyNumberFormat="1" applyFont="1" applyFill="1" applyBorder="1" applyAlignment="1">
      <alignment horizontal="center"/>
    </xf>
    <xf numFmtId="0" fontId="21" fillId="0" borderId="52" xfId="0" applyFont="1" applyBorder="1"/>
    <xf numFmtId="166" fontId="21" fillId="8" borderId="54" xfId="0" applyNumberFormat="1" applyFont="1" applyFill="1" applyBorder="1" applyAlignment="1">
      <alignment horizontal="center"/>
    </xf>
    <xf numFmtId="0" fontId="19" fillId="0" borderId="55" xfId="0" applyFont="1" applyBorder="1" applyAlignment="1">
      <alignment horizontal="center"/>
    </xf>
    <xf numFmtId="0" fontId="27" fillId="15" borderId="24" xfId="0" applyFont="1" applyFill="1" applyBorder="1" applyAlignment="1">
      <alignment vertical="center" wrapText="1"/>
    </xf>
    <xf numFmtId="167" fontId="21" fillId="15" borderId="25" xfId="0" applyNumberFormat="1" applyFont="1" applyFill="1" applyBorder="1" applyAlignment="1">
      <alignment horizontal="center" vertical="center" wrapText="1"/>
    </xf>
    <xf numFmtId="0" fontId="19" fillId="0" borderId="56" xfId="0" applyFont="1" applyBorder="1" applyAlignment="1">
      <alignment horizontal="right"/>
    </xf>
    <xf numFmtId="11" fontId="19" fillId="14" borderId="10" xfId="0" applyNumberFormat="1" applyFont="1" applyFill="1" applyBorder="1" applyAlignment="1">
      <alignment horizontal="center"/>
    </xf>
    <xf numFmtId="0" fontId="21" fillId="7" borderId="24" xfId="0" applyFont="1" applyFill="1" applyBorder="1" applyAlignment="1">
      <alignment horizontal="center"/>
    </xf>
    <xf numFmtId="0" fontId="21" fillId="7" borderId="57" xfId="0" applyFont="1" applyFill="1" applyBorder="1" applyAlignment="1">
      <alignment horizontal="center"/>
    </xf>
    <xf numFmtId="0" fontId="21" fillId="7" borderId="25" xfId="0" applyFont="1" applyFill="1" applyBorder="1" applyAlignment="1">
      <alignment horizontal="center"/>
    </xf>
    <xf numFmtId="0" fontId="21" fillId="16" borderId="24" xfId="0" applyFont="1" applyFill="1" applyBorder="1" applyAlignment="1">
      <alignment horizontal="center"/>
    </xf>
    <xf numFmtId="0" fontId="21" fillId="16" borderId="25" xfId="0" applyFont="1" applyFill="1" applyBorder="1" applyAlignment="1">
      <alignment horizontal="center"/>
    </xf>
    <xf numFmtId="0" fontId="21" fillId="17" borderId="24" xfId="0" applyFont="1" applyFill="1" applyBorder="1" applyAlignment="1">
      <alignment horizontal="center" vertical="center" wrapText="1"/>
    </xf>
    <xf numFmtId="0" fontId="21" fillId="17" borderId="25" xfId="0" applyFont="1" applyFill="1" applyBorder="1" applyAlignment="1">
      <alignment horizontal="center" vertical="center" wrapText="1"/>
    </xf>
    <xf numFmtId="0" fontId="19" fillId="0" borderId="0" xfId="0" applyFont="1" applyAlignment="1">
      <alignment horizontal="left"/>
    </xf>
    <xf numFmtId="0" fontId="24" fillId="0" borderId="9" xfId="0" applyFont="1" applyBorder="1" applyAlignment="1">
      <alignment horizontal="left"/>
    </xf>
    <xf numFmtId="0" fontId="19" fillId="16" borderId="58" xfId="0" applyFont="1" applyFill="1" applyBorder="1" applyAlignment="1">
      <alignment horizontal="left" wrapText="1"/>
    </xf>
    <xf numFmtId="166" fontId="19" fillId="16" borderId="45" xfId="0" applyNumberFormat="1" applyFont="1" applyFill="1" applyBorder="1" applyAlignment="1">
      <alignment horizontal="center" wrapText="1"/>
    </xf>
    <xf numFmtId="0" fontId="26" fillId="17" borderId="58" xfId="0" applyFont="1" applyFill="1" applyBorder="1" applyAlignment="1">
      <alignment horizontal="center" wrapText="1"/>
    </xf>
    <xf numFmtId="166" fontId="19" fillId="17" borderId="59" xfId="0" applyNumberFormat="1" applyFont="1" applyFill="1" applyBorder="1" applyAlignment="1">
      <alignment horizontal="center" wrapText="1"/>
    </xf>
    <xf numFmtId="0" fontId="18" fillId="0" borderId="29" xfId="0" applyFont="1" applyBorder="1" applyAlignment="1">
      <alignment horizontal="left"/>
    </xf>
    <xf numFmtId="0" fontId="19" fillId="16" borderId="50" xfId="0" applyFont="1" applyFill="1" applyBorder="1" applyAlignment="1">
      <alignment horizontal="left" wrapText="1"/>
    </xf>
    <xf numFmtId="166" fontId="19" fillId="16" borderId="48" xfId="0" applyNumberFormat="1" applyFont="1" applyFill="1" applyBorder="1" applyAlignment="1">
      <alignment horizontal="center" wrapText="1"/>
    </xf>
    <xf numFmtId="0" fontId="26" fillId="17" borderId="60" xfId="0" applyFont="1" applyFill="1" applyBorder="1"/>
    <xf numFmtId="166" fontId="21" fillId="17" borderId="55" xfId="0" applyNumberFormat="1" applyFont="1" applyFill="1" applyBorder="1" applyAlignment="1">
      <alignment horizontal="center"/>
    </xf>
    <xf numFmtId="0" fontId="1" fillId="16" borderId="50" xfId="0" applyFont="1" applyFill="1" applyBorder="1" applyAlignment="1">
      <alignment horizontal="left" wrapText="1"/>
    </xf>
    <xf numFmtId="166" fontId="19" fillId="13" borderId="48" xfId="0" applyNumberFormat="1" applyFont="1" applyFill="1" applyBorder="1" applyAlignment="1">
      <alignment horizontal="center" wrapText="1"/>
    </xf>
    <xf numFmtId="0" fontId="0" fillId="0" borderId="9" xfId="0" applyBorder="1"/>
    <xf numFmtId="0" fontId="19" fillId="16" borderId="60" xfId="0" applyFont="1" applyFill="1" applyBorder="1" applyAlignment="1">
      <alignment horizontal="left" wrapText="1"/>
    </xf>
    <xf numFmtId="166" fontId="21" fillId="16" borderId="55" xfId="0" applyNumberFormat="1" applyFont="1" applyFill="1" applyBorder="1" applyAlignment="1">
      <alignment horizontal="center" wrapText="1"/>
    </xf>
    <xf numFmtId="0" fontId="19" fillId="0" borderId="29" xfId="0" applyFont="1" applyBorder="1"/>
    <xf numFmtId="0" fontId="0" fillId="0" borderId="37" xfId="0" applyBorder="1"/>
    <xf numFmtId="0" fontId="0" fillId="0" borderId="10" xfId="0" applyBorder="1"/>
    <xf numFmtId="0" fontId="1" fillId="0" borderId="0" xfId="0" applyFont="1"/>
    <xf numFmtId="0" fontId="19" fillId="0" borderId="56" xfId="0" applyFont="1" applyBorder="1" applyAlignment="1">
      <alignment horizontal="left"/>
    </xf>
    <xf numFmtId="0" fontId="28" fillId="0" borderId="61" xfId="0" applyFont="1" applyBorder="1" applyAlignment="1">
      <alignment wrapText="1"/>
    </xf>
    <xf numFmtId="0" fontId="28" fillId="0" borderId="62" xfId="0" applyFont="1" applyBorder="1" applyAlignment="1">
      <alignment vertical="center"/>
    </xf>
    <xf numFmtId="0" fontId="28" fillId="0" borderId="63" xfId="0" applyFont="1" applyBorder="1" applyAlignment="1">
      <alignment wrapText="1"/>
    </xf>
    <xf numFmtId="0" fontId="0" fillId="0" borderId="32" xfId="0" applyBorder="1"/>
    <xf numFmtId="0" fontId="1" fillId="0" borderId="0" xfId="0" applyFont="1" applyAlignment="1">
      <alignment horizontal="right"/>
    </xf>
    <xf numFmtId="0" fontId="1" fillId="0" borderId="37" xfId="0" applyFont="1" applyBorder="1"/>
    <xf numFmtId="0" fontId="1" fillId="0" borderId="57" xfId="0" applyFont="1" applyBorder="1"/>
    <xf numFmtId="0" fontId="0" fillId="0" borderId="0" xfId="0" applyAlignment="1">
      <alignment horizontal="right"/>
    </xf>
    <xf numFmtId="0" fontId="0" fillId="0" borderId="57" xfId="0" applyBorder="1"/>
    <xf numFmtId="0" fontId="2" fillId="0" borderId="0" xfId="0" applyFont="1"/>
    <xf numFmtId="0" fontId="1" fillId="0" borderId="0" xfId="0" applyFont="1" applyAlignment="1">
      <alignment horizontal="right" wrapText="1"/>
    </xf>
    <xf numFmtId="0" fontId="2" fillId="0" borderId="0" xfId="0" applyFont="1" applyAlignment="1">
      <alignment horizontal="center" vertical="center"/>
    </xf>
    <xf numFmtId="0" fontId="1" fillId="14" borderId="64" xfId="0" applyFont="1" applyFill="1" applyBorder="1" applyAlignment="1">
      <alignment horizontal="center" vertical="center"/>
    </xf>
    <xf numFmtId="0" fontId="1" fillId="14" borderId="65" xfId="0" applyFont="1" applyFill="1" applyBorder="1" applyAlignment="1">
      <alignment horizontal="center" vertical="center"/>
    </xf>
    <xf numFmtId="0" fontId="1" fillId="14" borderId="66" xfId="0" applyFont="1" applyFill="1" applyBorder="1" applyAlignment="1">
      <alignment horizontal="center" vertical="center"/>
    </xf>
    <xf numFmtId="0" fontId="0" fillId="0" borderId="67" xfId="0" applyBorder="1"/>
    <xf numFmtId="0" fontId="2" fillId="0" borderId="67" xfId="0" applyFont="1" applyBorder="1"/>
    <xf numFmtId="0" fontId="2" fillId="0" borderId="0" xfId="0" applyFont="1" applyAlignment="1">
      <alignment horizontal="right"/>
    </xf>
    <xf numFmtId="0" fontId="21" fillId="0" borderId="37" xfId="0" applyFont="1" applyBorder="1" applyAlignment="1">
      <alignment horizontal="right"/>
    </xf>
    <xf numFmtId="0" fontId="5" fillId="0" borderId="0" xfId="0" applyFont="1" applyAlignment="1">
      <alignment horizontal="left"/>
    </xf>
    <xf numFmtId="0" fontId="5" fillId="0" borderId="0" xfId="0" applyFont="1" applyAlignment="1">
      <alignment horizontal="right"/>
    </xf>
    <xf numFmtId="0" fontId="29" fillId="0" borderId="0" xfId="0" applyFont="1" applyAlignment="1">
      <alignment horizontal="center" vertical="center"/>
    </xf>
    <xf numFmtId="0" fontId="29" fillId="0" borderId="37" xfId="0" applyFont="1" applyBorder="1" applyAlignment="1">
      <alignment horizontal="center" vertical="center"/>
    </xf>
    <xf numFmtId="0" fontId="2" fillId="18" borderId="68" xfId="0" applyFont="1" applyFill="1" applyBorder="1" applyAlignment="1">
      <alignment horizontal="center" vertical="center"/>
    </xf>
    <xf numFmtId="0" fontId="2" fillId="18" borderId="8" xfId="0" applyFont="1" applyFill="1" applyBorder="1" applyAlignment="1">
      <alignment horizontal="center" vertical="center"/>
    </xf>
    <xf numFmtId="0" fontId="2" fillId="19" borderId="68" xfId="0" applyFont="1" applyFill="1" applyBorder="1" applyAlignment="1">
      <alignment horizontal="center" vertical="top" wrapText="1"/>
    </xf>
    <xf numFmtId="0" fontId="2" fillId="19" borderId="8" xfId="0" applyFont="1" applyFill="1" applyBorder="1" applyAlignment="1">
      <alignment horizontal="center" vertical="top" wrapText="1"/>
    </xf>
    <xf numFmtId="0" fontId="2" fillId="20" borderId="68" xfId="0" applyFont="1" applyFill="1" applyBorder="1" applyAlignment="1">
      <alignment horizontal="center" vertical="top" wrapText="1"/>
    </xf>
    <xf numFmtId="0" fontId="2" fillId="20" borderId="8" xfId="0" applyFont="1" applyFill="1" applyBorder="1" applyAlignment="1">
      <alignment horizontal="center" vertical="top" wrapText="1"/>
    </xf>
    <xf numFmtId="0" fontId="2" fillId="21" borderId="68" xfId="0" applyFont="1" applyFill="1" applyBorder="1" applyAlignment="1">
      <alignment horizontal="center" vertical="center"/>
    </xf>
    <xf numFmtId="0" fontId="2" fillId="21" borderId="8" xfId="0" applyFont="1" applyFill="1" applyBorder="1" applyAlignment="1">
      <alignment horizontal="center" vertical="center"/>
    </xf>
    <xf numFmtId="0" fontId="2" fillId="18" borderId="56" xfId="0" applyFont="1" applyFill="1" applyBorder="1" applyAlignment="1">
      <alignment horizontal="center" vertical="center"/>
    </xf>
    <xf numFmtId="0" fontId="2" fillId="18" borderId="10" xfId="0" applyFont="1" applyFill="1" applyBorder="1" applyAlignment="1">
      <alignment horizontal="center" vertical="center"/>
    </xf>
    <xf numFmtId="0" fontId="1" fillId="19" borderId="37" xfId="0" applyFont="1" applyFill="1" applyBorder="1" applyAlignment="1">
      <alignment horizontal="center" vertical="center" wrapText="1"/>
    </xf>
    <xf numFmtId="0" fontId="1" fillId="20" borderId="56" xfId="0" applyFont="1" applyFill="1" applyBorder="1" applyAlignment="1">
      <alignment horizontal="center" vertical="center" wrapText="1"/>
    </xf>
    <xf numFmtId="0" fontId="1" fillId="20" borderId="10" xfId="0" applyFont="1" applyFill="1" applyBorder="1" applyAlignment="1">
      <alignment horizontal="center" vertical="center" wrapText="1"/>
    </xf>
    <xf numFmtId="0" fontId="2" fillId="21" borderId="56" xfId="0" applyFont="1" applyFill="1" applyBorder="1" applyAlignment="1">
      <alignment horizontal="center" vertical="center"/>
    </xf>
    <xf numFmtId="0" fontId="2" fillId="21" borderId="10" xfId="0" applyFont="1" applyFill="1" applyBorder="1" applyAlignment="1">
      <alignment horizontal="center" vertical="center"/>
    </xf>
    <xf numFmtId="0" fontId="1" fillId="0" borderId="0" xfId="0" applyFont="1" applyAlignment="1">
      <alignment horizontal="center" vertical="center" wrapText="1"/>
    </xf>
    <xf numFmtId="0" fontId="2" fillId="0" borderId="29" xfId="0" applyFont="1" applyBorder="1" applyAlignment="1">
      <alignment horizontal="center"/>
    </xf>
    <xf numFmtId="0" fontId="2" fillId="0" borderId="0" xfId="0" applyFont="1" applyAlignment="1">
      <alignment horizontal="center"/>
    </xf>
    <xf numFmtId="0" fontId="2" fillId="0" borderId="9" xfId="0" applyFont="1" applyBorder="1"/>
    <xf numFmtId="0" fontId="1" fillId="0" borderId="0" xfId="0" applyFont="1" applyAlignment="1">
      <alignment horizontal="center"/>
    </xf>
    <xf numFmtId="0" fontId="0" fillId="22" borderId="24" xfId="0" applyFill="1" applyBorder="1" applyAlignment="1">
      <alignment horizontal="center"/>
    </xf>
    <xf numFmtId="0" fontId="0" fillId="22" borderId="57" xfId="0" applyFill="1" applyBorder="1" applyAlignment="1">
      <alignment horizontal="center"/>
    </xf>
    <xf numFmtId="0" fontId="0" fillId="22" borderId="25" xfId="0" applyFill="1" applyBorder="1" applyAlignment="1">
      <alignment horizontal="center"/>
    </xf>
    <xf numFmtId="0" fontId="9" fillId="23" borderId="0" xfId="0" applyFont="1" applyFill="1" applyAlignment="1">
      <alignment horizontal="center"/>
    </xf>
    <xf numFmtId="0" fontId="0" fillId="24" borderId="0" xfId="0" applyFill="1" applyAlignment="1">
      <alignment horizontal="center"/>
    </xf>
    <xf numFmtId="0" fontId="9" fillId="23" borderId="0" xfId="0" applyFont="1" applyFill="1" applyAlignment="1">
      <alignment horizontal="center" vertical="center"/>
    </xf>
    <xf numFmtId="0" fontId="0" fillId="25" borderId="0" xfId="0" applyFill="1" applyAlignment="1">
      <alignment horizontal="center"/>
    </xf>
    <xf numFmtId="0" fontId="9" fillId="22" borderId="0" xfId="0" applyFont="1" applyFill="1" applyAlignment="1">
      <alignment horizontal="center" vertical="center"/>
    </xf>
    <xf numFmtId="0" fontId="1" fillId="0" borderId="69" xfId="0" applyFont="1" applyBorder="1" applyAlignment="1">
      <alignment wrapText="1"/>
    </xf>
    <xf numFmtId="0" fontId="28" fillId="0" borderId="70" xfId="0" applyFont="1" applyBorder="1" applyAlignment="1">
      <alignment wrapText="1"/>
    </xf>
    <xf numFmtId="0" fontId="1" fillId="0" borderId="70" xfId="0" applyFont="1" applyBorder="1" applyAlignment="1">
      <alignment wrapText="1"/>
    </xf>
    <xf numFmtId="0" fontId="1" fillId="0" borderId="71" xfId="0" applyFont="1" applyBorder="1" applyAlignment="1">
      <alignment wrapText="1"/>
    </xf>
    <xf numFmtId="0" fontId="1" fillId="0" borderId="72" xfId="0" applyFont="1" applyBorder="1" applyAlignment="1">
      <alignment wrapText="1"/>
    </xf>
    <xf numFmtId="0" fontId="1" fillId="0" borderId="72" xfId="0" applyFont="1" applyBorder="1" applyAlignment="1">
      <alignment horizontal="right" wrapText="1"/>
    </xf>
    <xf numFmtId="0" fontId="28" fillId="0" borderId="69" xfId="0" applyFont="1" applyBorder="1" applyAlignment="1">
      <alignment vertical="center"/>
    </xf>
    <xf numFmtId="0" fontId="28" fillId="0" borderId="69" xfId="0" applyFont="1" applyBorder="1" applyAlignment="1">
      <alignment horizontal="right" wrapText="1"/>
    </xf>
  </cellXfs>
  <cellStyles count="1">
    <cellStyle name="Normal" xfId="0" builtinId="0"/>
  </cellStyles>
  <dxfs count="0"/>
  <tableStyles count="0" defaultTableStyle="TableStyleMedium9" defaultPivotStyle="PivotStyleLight16"/>
  <colors>
    <mruColors>
      <color rgb="FF99CCFF"/>
      <color rgb="FF2B4600"/>
      <color rgb="FF004600"/>
      <color rgb="FF005000"/>
      <color rgb="FF00330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fmlaLink="Constants!$E$15" lockText="1" noThreeD="1"/>
</file>

<file path=xl/ctrlProps/ctrlProp10.xml><?xml version="1.0" encoding="utf-8"?>
<formControlPr xmlns="http://schemas.microsoft.com/office/spreadsheetml/2009/9/main" objectType="CheckBox" fmlaLink="Constants!$E$21" lockText="1" noThreeD="1"/>
</file>

<file path=xl/ctrlProps/ctrlProp11.xml><?xml version="1.0" encoding="utf-8"?>
<formControlPr xmlns="http://schemas.microsoft.com/office/spreadsheetml/2009/9/main" objectType="CheckBox" fmlaLink="Constants!$E$17" lockText="1" noThreeD="1"/>
</file>

<file path=xl/ctrlProps/ctrlProp2.xml><?xml version="1.0" encoding="utf-8"?>
<formControlPr xmlns="http://schemas.microsoft.com/office/spreadsheetml/2009/9/main" objectType="CheckBox" fmlaLink="Constants!$E$13" lockText="1" noThreeD="1"/>
</file>

<file path=xl/ctrlProps/ctrlProp3.xml><?xml version="1.0" encoding="utf-8"?>
<formControlPr xmlns="http://schemas.microsoft.com/office/spreadsheetml/2009/9/main" objectType="CheckBox" fmlaLink="Constants!$E$16" lockText="1" noThreeD="1"/>
</file>

<file path=xl/ctrlProps/ctrlProp4.xml><?xml version="1.0" encoding="utf-8"?>
<formControlPr xmlns="http://schemas.microsoft.com/office/spreadsheetml/2009/9/main" objectType="CheckBox" fmlaLink="Constants!$E$11" lockText="1" noThreeD="1"/>
</file>

<file path=xl/ctrlProps/ctrlProp5.xml><?xml version="1.0" encoding="utf-8"?>
<formControlPr xmlns="http://schemas.microsoft.com/office/spreadsheetml/2009/9/main" objectType="CheckBox" fmlaLink="Constants!$E$12" lockText="1" noThreeD="1"/>
</file>

<file path=xl/ctrlProps/ctrlProp6.xml><?xml version="1.0" encoding="utf-8"?>
<formControlPr xmlns="http://schemas.microsoft.com/office/spreadsheetml/2009/9/main" objectType="CheckBox" fmlaLink="Constants!$E$14" lockText="1" noThreeD="1"/>
</file>

<file path=xl/ctrlProps/ctrlProp7.xml><?xml version="1.0" encoding="utf-8"?>
<formControlPr xmlns="http://schemas.microsoft.com/office/spreadsheetml/2009/9/main" objectType="CheckBox" fmlaLink="Constants!$E$19" lockText="1" noThreeD="1"/>
</file>

<file path=xl/ctrlProps/ctrlProp8.xml><?xml version="1.0" encoding="utf-8"?>
<formControlPr xmlns="http://schemas.microsoft.com/office/spreadsheetml/2009/9/main" objectType="CheckBox" fmlaLink="Constants!$E$18" lockText="1" noThreeD="1"/>
</file>

<file path=xl/ctrlProps/ctrlProp9.xml><?xml version="1.0" encoding="utf-8"?>
<formControlPr xmlns="http://schemas.microsoft.com/office/spreadsheetml/2009/9/main" objectType="CheckBox" fmlaLink="Constants!$E$20"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6</xdr:col>
      <xdr:colOff>215339</xdr:colOff>
      <xdr:row>40</xdr:row>
      <xdr:rowOff>190501</xdr:rowOff>
    </xdr:from>
    <xdr:to>
      <xdr:col>6</xdr:col>
      <xdr:colOff>828253</xdr:colOff>
      <xdr:row>41</xdr:row>
      <xdr:rowOff>231914</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6385882" y="8829262"/>
          <a:ext cx="612914"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Bottom</a:t>
          </a:r>
        </a:p>
      </xdr:txBody>
    </xdr:sp>
    <xdr:clientData/>
  </xdr:twoCellAnchor>
  <xdr:twoCellAnchor>
    <xdr:from>
      <xdr:col>6</xdr:col>
      <xdr:colOff>339577</xdr:colOff>
      <xdr:row>39</xdr:row>
      <xdr:rowOff>149086</xdr:rowOff>
    </xdr:from>
    <xdr:to>
      <xdr:col>6</xdr:col>
      <xdr:colOff>861398</xdr:colOff>
      <xdr:row>40</xdr:row>
      <xdr:rowOff>190499</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510120" y="8456543"/>
          <a:ext cx="521821"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Port</a:t>
          </a:r>
        </a:p>
      </xdr:txBody>
    </xdr:sp>
    <xdr:clientData/>
  </xdr:twoCellAnchor>
  <xdr:twoCellAnchor>
    <xdr:from>
      <xdr:col>6</xdr:col>
      <xdr:colOff>306440</xdr:colOff>
      <xdr:row>34</xdr:row>
      <xdr:rowOff>223624</xdr:rowOff>
    </xdr:from>
    <xdr:to>
      <xdr:col>7</xdr:col>
      <xdr:colOff>231912</xdr:colOff>
      <xdr:row>36</xdr:row>
      <xdr:rowOff>33124</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6476983" y="7371515"/>
          <a:ext cx="977364"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Starboard</a:t>
          </a:r>
        </a:p>
      </xdr:txBody>
    </xdr:sp>
    <xdr:clientData/>
  </xdr:twoCellAnchor>
  <xdr:twoCellAnchor>
    <xdr:from>
      <xdr:col>6</xdr:col>
      <xdr:colOff>231914</xdr:colOff>
      <xdr:row>34</xdr:row>
      <xdr:rowOff>41418</xdr:rowOff>
    </xdr:from>
    <xdr:to>
      <xdr:col>6</xdr:col>
      <xdr:colOff>695740</xdr:colOff>
      <xdr:row>35</xdr:row>
      <xdr:rowOff>82831</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6402457" y="7189309"/>
          <a:ext cx="463826"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a:t>
          </a:r>
        </a:p>
      </xdr:txBody>
    </xdr:sp>
    <xdr:clientData/>
  </xdr:twoCellAnchor>
  <xdr:twoCellAnchor>
    <xdr:from>
      <xdr:col>6</xdr:col>
      <xdr:colOff>215339</xdr:colOff>
      <xdr:row>36</xdr:row>
      <xdr:rowOff>41414</xdr:rowOff>
    </xdr:from>
    <xdr:to>
      <xdr:col>6</xdr:col>
      <xdr:colOff>828253</xdr:colOff>
      <xdr:row>37</xdr:row>
      <xdr:rowOff>82827</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6385882" y="7653131"/>
          <a:ext cx="612914"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Bottom</a:t>
          </a:r>
        </a:p>
      </xdr:txBody>
    </xdr:sp>
    <xdr:clientData/>
  </xdr:twoCellAnchor>
  <xdr:twoCellAnchor>
    <xdr:from>
      <xdr:col>6</xdr:col>
      <xdr:colOff>231914</xdr:colOff>
      <xdr:row>38</xdr:row>
      <xdr:rowOff>190505</xdr:rowOff>
    </xdr:from>
    <xdr:to>
      <xdr:col>6</xdr:col>
      <xdr:colOff>695740</xdr:colOff>
      <xdr:row>40</xdr:row>
      <xdr:rowOff>4</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6402457" y="8266048"/>
          <a:ext cx="463826"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a:t>
          </a:r>
        </a:p>
      </xdr:txBody>
    </xdr:sp>
    <xdr:clientData/>
  </xdr:twoCellAnchor>
  <xdr:twoCellAnchor>
    <xdr:from>
      <xdr:col>1</xdr:col>
      <xdr:colOff>66244</xdr:colOff>
      <xdr:row>34</xdr:row>
      <xdr:rowOff>223624</xdr:rowOff>
    </xdr:from>
    <xdr:to>
      <xdr:col>1</xdr:col>
      <xdr:colOff>1043608</xdr:colOff>
      <xdr:row>36</xdr:row>
      <xdr:rowOff>33124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32505" y="7371515"/>
          <a:ext cx="977364"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Starboard</a:t>
          </a:r>
        </a:p>
      </xdr:txBody>
    </xdr:sp>
    <xdr:clientData/>
  </xdr:twoCellAnchor>
  <xdr:twoCellAnchor>
    <xdr:from>
      <xdr:col>1</xdr:col>
      <xdr:colOff>372708</xdr:colOff>
      <xdr:row>39</xdr:row>
      <xdr:rowOff>132515</xdr:rowOff>
    </xdr:from>
    <xdr:to>
      <xdr:col>1</xdr:col>
      <xdr:colOff>894529</xdr:colOff>
      <xdr:row>40</xdr:row>
      <xdr:rowOff>173928</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438969" y="8439972"/>
          <a:ext cx="521821"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Port</a:t>
          </a:r>
        </a:p>
      </xdr:txBody>
    </xdr:sp>
    <xdr:clientData/>
  </xdr:twoCellAnchor>
  <xdr:twoCellAnchor>
    <xdr:from>
      <xdr:col>1</xdr:col>
      <xdr:colOff>612917</xdr:colOff>
      <xdr:row>38</xdr:row>
      <xdr:rowOff>182222</xdr:rowOff>
    </xdr:from>
    <xdr:to>
      <xdr:col>1</xdr:col>
      <xdr:colOff>1076743</xdr:colOff>
      <xdr:row>39</xdr:row>
      <xdr:rowOff>223634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679178" y="8257765"/>
          <a:ext cx="463826"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a:t>
          </a:r>
        </a:p>
      </xdr:txBody>
    </xdr:sp>
    <xdr:clientData/>
  </xdr:twoCellAnchor>
  <xdr:twoCellAnchor>
    <xdr:from>
      <xdr:col>1</xdr:col>
      <xdr:colOff>414124</xdr:colOff>
      <xdr:row>40</xdr:row>
      <xdr:rowOff>149085</xdr:rowOff>
    </xdr:from>
    <xdr:to>
      <xdr:col>1</xdr:col>
      <xdr:colOff>1027038</xdr:colOff>
      <xdr:row>41</xdr:row>
      <xdr:rowOff>190498</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480385" y="8688455"/>
          <a:ext cx="612914"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Bottom</a:t>
          </a:r>
        </a:p>
      </xdr:txBody>
    </xdr:sp>
    <xdr:clientData/>
  </xdr:twoCellAnchor>
  <xdr:twoCellAnchor>
    <xdr:from>
      <xdr:col>1</xdr:col>
      <xdr:colOff>670892</xdr:colOff>
      <xdr:row>33</xdr:row>
      <xdr:rowOff>223631</xdr:rowOff>
    </xdr:from>
    <xdr:to>
      <xdr:col>1</xdr:col>
      <xdr:colOff>1134718</xdr:colOff>
      <xdr:row>35</xdr:row>
      <xdr:rowOff>33131</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37153" y="7139609"/>
          <a:ext cx="463826"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a:t>
          </a:r>
        </a:p>
      </xdr:txBody>
    </xdr:sp>
    <xdr:clientData/>
  </xdr:twoCellAnchor>
  <xdr:twoCellAnchor>
    <xdr:from>
      <xdr:col>1</xdr:col>
      <xdr:colOff>455538</xdr:colOff>
      <xdr:row>36</xdr:row>
      <xdr:rowOff>41410</xdr:rowOff>
    </xdr:from>
    <xdr:to>
      <xdr:col>1</xdr:col>
      <xdr:colOff>1068452</xdr:colOff>
      <xdr:row>37</xdr:row>
      <xdr:rowOff>82823</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521799" y="7653127"/>
          <a:ext cx="612914"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Bottom</a:t>
          </a:r>
        </a:p>
      </xdr:txBody>
    </xdr:sp>
    <xdr:clientData/>
  </xdr:twoCellAnchor>
  <xdr:twoCellAnchor>
    <xdr:from>
      <xdr:col>1</xdr:col>
      <xdr:colOff>257175</xdr:colOff>
      <xdr:row>22</xdr:row>
      <xdr:rowOff>9525</xdr:rowOff>
    </xdr:from>
    <xdr:to>
      <xdr:col>2</xdr:col>
      <xdr:colOff>704850</xdr:colOff>
      <xdr:row>31</xdr:row>
      <xdr:rowOff>123825</xdr:rowOff>
    </xdr:to>
    <xdr:sp macro="" textlink="">
      <xdr:nvSpPr>
        <xdr:cNvPr id="10" name="Oval 9">
          <a:extLst>
            <a:ext uri="{FF2B5EF4-FFF2-40B4-BE49-F238E27FC236}">
              <a16:creationId xmlns:a16="http://schemas.microsoft.com/office/drawing/2014/main" id="{00000000-0008-0000-0100-00000A000000}"/>
            </a:ext>
          </a:extLst>
        </xdr:cNvPr>
        <xdr:cNvSpPr/>
      </xdr:nvSpPr>
      <xdr:spPr>
        <a:xfrm>
          <a:off x="322865" y="5336956"/>
          <a:ext cx="2168744" cy="2183524"/>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352425</xdr:colOff>
      <xdr:row>22</xdr:row>
      <xdr:rowOff>5912</xdr:rowOff>
    </xdr:from>
    <xdr:to>
      <xdr:col>6</xdr:col>
      <xdr:colOff>895350</xdr:colOff>
      <xdr:row>31</xdr:row>
      <xdr:rowOff>120212</xdr:rowOff>
    </xdr:to>
    <xdr:sp macro="" textlink="">
      <xdr:nvSpPr>
        <xdr:cNvPr id="2" name="Oval 1">
          <a:extLst>
            <a:ext uri="{FF2B5EF4-FFF2-40B4-BE49-F238E27FC236}">
              <a16:creationId xmlns:a16="http://schemas.microsoft.com/office/drawing/2014/main" id="{00000000-0008-0000-0100-000002000000}"/>
            </a:ext>
          </a:extLst>
        </xdr:cNvPr>
        <xdr:cNvSpPr/>
      </xdr:nvSpPr>
      <xdr:spPr>
        <a:xfrm>
          <a:off x="4891580" y="5333343"/>
          <a:ext cx="2172029" cy="2183524"/>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819150</xdr:colOff>
      <xdr:row>22</xdr:row>
      <xdr:rowOff>9525</xdr:rowOff>
    </xdr:from>
    <xdr:to>
      <xdr:col>5</xdr:col>
      <xdr:colOff>238125</xdr:colOff>
      <xdr:row>31</xdr:row>
      <xdr:rowOff>123825</xdr:rowOff>
    </xdr:to>
    <xdr:sp macro="" textlink="">
      <xdr:nvSpPr>
        <xdr:cNvPr id="9" name="Oval 8">
          <a:extLst>
            <a:ext uri="{FF2B5EF4-FFF2-40B4-BE49-F238E27FC236}">
              <a16:creationId xmlns:a16="http://schemas.microsoft.com/office/drawing/2014/main" id="{00000000-0008-0000-0100-000009000000}"/>
            </a:ext>
          </a:extLst>
        </xdr:cNvPr>
        <xdr:cNvSpPr/>
      </xdr:nvSpPr>
      <xdr:spPr>
        <a:xfrm>
          <a:off x="2609850" y="5314950"/>
          <a:ext cx="2171700" cy="2171700"/>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959069</xdr:colOff>
      <xdr:row>22</xdr:row>
      <xdr:rowOff>124810</xdr:rowOff>
    </xdr:from>
    <xdr:to>
      <xdr:col>1</xdr:col>
      <xdr:colOff>1707931</xdr:colOff>
      <xdr:row>24</xdr:row>
      <xdr:rowOff>210206</xdr:rowOff>
    </xdr:to>
    <xdr:sp macro="" textlink="" fLocksText="0">
      <xdr:nvSpPr>
        <xdr:cNvPr id="5" name="Trapezoid 4">
          <a:extLst>
            <a:ext uri="{FF2B5EF4-FFF2-40B4-BE49-F238E27FC236}">
              <a16:creationId xmlns:a16="http://schemas.microsoft.com/office/drawing/2014/main" id="{00000000-0008-0000-0100-000005000000}"/>
            </a:ext>
          </a:extLst>
        </xdr:cNvPr>
        <xdr:cNvSpPr/>
      </xdr:nvSpPr>
      <xdr:spPr>
        <a:xfrm rot="10800000">
          <a:off x="1024759" y="5452241"/>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1</xdr:col>
      <xdr:colOff>959069</xdr:colOff>
      <xdr:row>28</xdr:row>
      <xdr:rowOff>151086</xdr:rowOff>
    </xdr:from>
    <xdr:to>
      <xdr:col>1</xdr:col>
      <xdr:colOff>1707931</xdr:colOff>
      <xdr:row>31</xdr:row>
      <xdr:rowOff>6569</xdr:rowOff>
    </xdr:to>
    <xdr:sp macro="" textlink="" fLocksText="0">
      <xdr:nvSpPr>
        <xdr:cNvPr id="18" name="Trapezoid 17">
          <a:extLst>
            <a:ext uri="{FF2B5EF4-FFF2-40B4-BE49-F238E27FC236}">
              <a16:creationId xmlns:a16="http://schemas.microsoft.com/office/drawing/2014/main" id="{00000000-0008-0000-0100-000012000000}"/>
            </a:ext>
          </a:extLst>
        </xdr:cNvPr>
        <xdr:cNvSpPr/>
      </xdr:nvSpPr>
      <xdr:spPr>
        <a:xfrm>
          <a:off x="1024759" y="6858000"/>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2</xdr:col>
      <xdr:colOff>62406</xdr:colOff>
      <xdr:row>25</xdr:row>
      <xdr:rowOff>36131</xdr:rowOff>
    </xdr:from>
    <xdr:to>
      <xdr:col>2</xdr:col>
      <xdr:colOff>607630</xdr:colOff>
      <xdr:row>28</xdr:row>
      <xdr:rowOff>95251</xdr:rowOff>
    </xdr:to>
    <xdr:sp macro="" textlink="" fLocksText="0">
      <xdr:nvSpPr>
        <xdr:cNvPr id="19" name="Trapezoid 18">
          <a:extLst>
            <a:ext uri="{FF2B5EF4-FFF2-40B4-BE49-F238E27FC236}">
              <a16:creationId xmlns:a16="http://schemas.microsoft.com/office/drawing/2014/main" id="{00000000-0008-0000-0100-000013000000}"/>
            </a:ext>
          </a:extLst>
        </xdr:cNvPr>
        <xdr:cNvSpPr/>
      </xdr:nvSpPr>
      <xdr:spPr>
        <a:xfrm rot="16200000">
          <a:off x="1747346" y="615512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1</xdr:col>
      <xdr:colOff>377716</xdr:colOff>
      <xdr:row>25</xdr:row>
      <xdr:rowOff>36131</xdr:rowOff>
    </xdr:from>
    <xdr:to>
      <xdr:col>1</xdr:col>
      <xdr:colOff>922940</xdr:colOff>
      <xdr:row>28</xdr:row>
      <xdr:rowOff>95251</xdr:rowOff>
    </xdr:to>
    <xdr:sp macro="" textlink="" fLocksText="0">
      <xdr:nvSpPr>
        <xdr:cNvPr id="20" name="Trapezoid 19">
          <a:extLst>
            <a:ext uri="{FF2B5EF4-FFF2-40B4-BE49-F238E27FC236}">
              <a16:creationId xmlns:a16="http://schemas.microsoft.com/office/drawing/2014/main" id="{00000000-0008-0000-0100-000014000000}"/>
            </a:ext>
          </a:extLst>
        </xdr:cNvPr>
        <xdr:cNvSpPr/>
      </xdr:nvSpPr>
      <xdr:spPr>
        <a:xfrm rot="5400000">
          <a:off x="341587" y="615512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1</xdr:col>
      <xdr:colOff>1477101</xdr:colOff>
      <xdr:row>27</xdr:row>
      <xdr:rowOff>183016</xdr:rowOff>
    </xdr:from>
    <xdr:to>
      <xdr:col>2</xdr:col>
      <xdr:colOff>504894</xdr:colOff>
      <xdr:row>30</xdr:row>
      <xdr:rowOff>38499</xdr:rowOff>
    </xdr:to>
    <xdr:sp macro="" textlink="" fLocksText="0">
      <xdr:nvSpPr>
        <xdr:cNvPr id="23" name="Trapezoid 22">
          <a:extLst>
            <a:ext uri="{FF2B5EF4-FFF2-40B4-BE49-F238E27FC236}">
              <a16:creationId xmlns:a16="http://schemas.microsoft.com/office/drawing/2014/main" id="{00000000-0008-0000-0100-000017000000}"/>
            </a:ext>
          </a:extLst>
        </xdr:cNvPr>
        <xdr:cNvSpPr/>
      </xdr:nvSpPr>
      <xdr:spPr>
        <a:xfrm rot="18900000">
          <a:off x="1542791" y="6660016"/>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1</xdr:col>
      <xdr:colOff>483079</xdr:colOff>
      <xdr:row>23</xdr:row>
      <xdr:rowOff>108650</xdr:rowOff>
    </xdr:from>
    <xdr:to>
      <xdr:col>1</xdr:col>
      <xdr:colOff>1231941</xdr:colOff>
      <xdr:row>25</xdr:row>
      <xdr:rowOff>194047</xdr:rowOff>
    </xdr:to>
    <xdr:sp macro="" textlink="" fLocksText="0">
      <xdr:nvSpPr>
        <xdr:cNvPr id="24" name="Trapezoid 23">
          <a:extLst>
            <a:ext uri="{FF2B5EF4-FFF2-40B4-BE49-F238E27FC236}">
              <a16:creationId xmlns:a16="http://schemas.microsoft.com/office/drawing/2014/main" id="{00000000-0008-0000-0100-000018000000}"/>
            </a:ext>
          </a:extLst>
        </xdr:cNvPr>
        <xdr:cNvSpPr/>
      </xdr:nvSpPr>
      <xdr:spPr>
        <a:xfrm rot="8100000">
          <a:off x="548769" y="5665995"/>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1</xdr:col>
      <xdr:colOff>1580233</xdr:colOff>
      <xdr:row>23</xdr:row>
      <xdr:rowOff>1577</xdr:rowOff>
    </xdr:from>
    <xdr:to>
      <xdr:col>2</xdr:col>
      <xdr:colOff>404388</xdr:colOff>
      <xdr:row>26</xdr:row>
      <xdr:rowOff>60698</xdr:rowOff>
    </xdr:to>
    <xdr:sp macro="" textlink="" fLocksText="0">
      <xdr:nvSpPr>
        <xdr:cNvPr id="26" name="Trapezoid 25">
          <a:extLst>
            <a:ext uri="{FF2B5EF4-FFF2-40B4-BE49-F238E27FC236}">
              <a16:creationId xmlns:a16="http://schemas.microsoft.com/office/drawing/2014/main" id="{00000000-0008-0000-0100-00001A000000}"/>
            </a:ext>
          </a:extLst>
        </xdr:cNvPr>
        <xdr:cNvSpPr/>
      </xdr:nvSpPr>
      <xdr:spPr>
        <a:xfrm rot="13500000">
          <a:off x="1544104" y="5660741"/>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1</xdr:col>
      <xdr:colOff>586211</xdr:colOff>
      <xdr:row>27</xdr:row>
      <xdr:rowOff>75943</xdr:rowOff>
    </xdr:from>
    <xdr:to>
      <xdr:col>1</xdr:col>
      <xdr:colOff>1131435</xdr:colOff>
      <xdr:row>30</xdr:row>
      <xdr:rowOff>135064</xdr:rowOff>
    </xdr:to>
    <xdr:sp macro="" textlink="" fLocksText="0">
      <xdr:nvSpPr>
        <xdr:cNvPr id="27" name="Trapezoid 26">
          <a:extLst>
            <a:ext uri="{FF2B5EF4-FFF2-40B4-BE49-F238E27FC236}">
              <a16:creationId xmlns:a16="http://schemas.microsoft.com/office/drawing/2014/main" id="{00000000-0008-0000-0100-00001B000000}"/>
            </a:ext>
          </a:extLst>
        </xdr:cNvPr>
        <xdr:cNvSpPr/>
      </xdr:nvSpPr>
      <xdr:spPr>
        <a:xfrm rot="2700000">
          <a:off x="550082" y="665476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3</xdr:col>
      <xdr:colOff>538656</xdr:colOff>
      <xdr:row>22</xdr:row>
      <xdr:rowOff>124810</xdr:rowOff>
    </xdr:from>
    <xdr:to>
      <xdr:col>4</xdr:col>
      <xdr:colOff>400707</xdr:colOff>
      <xdr:row>24</xdr:row>
      <xdr:rowOff>210206</xdr:rowOff>
    </xdr:to>
    <xdr:sp macro="" textlink="" fLocksText="0">
      <xdr:nvSpPr>
        <xdr:cNvPr id="44" name="Trapezoid 43">
          <a:extLst>
            <a:ext uri="{FF2B5EF4-FFF2-40B4-BE49-F238E27FC236}">
              <a16:creationId xmlns:a16="http://schemas.microsoft.com/office/drawing/2014/main" id="{00000000-0008-0000-0100-00002C000000}"/>
            </a:ext>
          </a:extLst>
        </xdr:cNvPr>
        <xdr:cNvSpPr/>
      </xdr:nvSpPr>
      <xdr:spPr>
        <a:xfrm rot="10800000">
          <a:off x="3304190" y="5452241"/>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3</xdr:col>
      <xdr:colOff>538656</xdr:colOff>
      <xdr:row>28</xdr:row>
      <xdr:rowOff>151086</xdr:rowOff>
    </xdr:from>
    <xdr:to>
      <xdr:col>4</xdr:col>
      <xdr:colOff>400707</xdr:colOff>
      <xdr:row>31</xdr:row>
      <xdr:rowOff>6569</xdr:rowOff>
    </xdr:to>
    <xdr:sp macro="" textlink="" fLocksText="0">
      <xdr:nvSpPr>
        <xdr:cNvPr id="45" name="Trapezoid 44">
          <a:extLst>
            <a:ext uri="{FF2B5EF4-FFF2-40B4-BE49-F238E27FC236}">
              <a16:creationId xmlns:a16="http://schemas.microsoft.com/office/drawing/2014/main" id="{00000000-0008-0000-0100-00002D000000}"/>
            </a:ext>
          </a:extLst>
        </xdr:cNvPr>
        <xdr:cNvSpPr/>
      </xdr:nvSpPr>
      <xdr:spPr>
        <a:xfrm>
          <a:off x="3304190" y="6858000"/>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4</xdr:col>
      <xdr:colOff>476251</xdr:colOff>
      <xdr:row>25</xdr:row>
      <xdr:rowOff>36131</xdr:rowOff>
    </xdr:from>
    <xdr:to>
      <xdr:col>5</xdr:col>
      <xdr:colOff>134665</xdr:colOff>
      <xdr:row>28</xdr:row>
      <xdr:rowOff>95251</xdr:rowOff>
    </xdr:to>
    <xdr:sp macro="" textlink="" fLocksText="0">
      <xdr:nvSpPr>
        <xdr:cNvPr id="46" name="Trapezoid 45">
          <a:extLst>
            <a:ext uri="{FF2B5EF4-FFF2-40B4-BE49-F238E27FC236}">
              <a16:creationId xmlns:a16="http://schemas.microsoft.com/office/drawing/2014/main" id="{00000000-0008-0000-0100-00002E000000}"/>
            </a:ext>
          </a:extLst>
        </xdr:cNvPr>
        <xdr:cNvSpPr/>
      </xdr:nvSpPr>
      <xdr:spPr>
        <a:xfrm rot="16200000">
          <a:off x="4026777" y="615512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2</xdr:col>
      <xdr:colOff>936078</xdr:colOff>
      <xdr:row>25</xdr:row>
      <xdr:rowOff>36131</xdr:rowOff>
    </xdr:from>
    <xdr:to>
      <xdr:col>3</xdr:col>
      <xdr:colOff>502527</xdr:colOff>
      <xdr:row>28</xdr:row>
      <xdr:rowOff>95251</xdr:rowOff>
    </xdr:to>
    <xdr:sp macro="" textlink="" fLocksText="0">
      <xdr:nvSpPr>
        <xdr:cNvPr id="47" name="Trapezoid 46">
          <a:extLst>
            <a:ext uri="{FF2B5EF4-FFF2-40B4-BE49-F238E27FC236}">
              <a16:creationId xmlns:a16="http://schemas.microsoft.com/office/drawing/2014/main" id="{00000000-0008-0000-0100-00002F000000}"/>
            </a:ext>
          </a:extLst>
        </xdr:cNvPr>
        <xdr:cNvSpPr/>
      </xdr:nvSpPr>
      <xdr:spPr>
        <a:xfrm rot="5400000">
          <a:off x="2621018" y="615512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4</xdr:col>
      <xdr:colOff>169877</xdr:colOff>
      <xdr:row>27</xdr:row>
      <xdr:rowOff>183016</xdr:rowOff>
    </xdr:from>
    <xdr:to>
      <xdr:col>5</xdr:col>
      <xdr:colOff>31929</xdr:colOff>
      <xdr:row>30</xdr:row>
      <xdr:rowOff>38499</xdr:rowOff>
    </xdr:to>
    <xdr:sp macro="" textlink="" fLocksText="0">
      <xdr:nvSpPr>
        <xdr:cNvPr id="48" name="Trapezoid 47">
          <a:extLst>
            <a:ext uri="{FF2B5EF4-FFF2-40B4-BE49-F238E27FC236}">
              <a16:creationId xmlns:a16="http://schemas.microsoft.com/office/drawing/2014/main" id="{00000000-0008-0000-0100-000030000000}"/>
            </a:ext>
          </a:extLst>
        </xdr:cNvPr>
        <xdr:cNvSpPr/>
      </xdr:nvSpPr>
      <xdr:spPr>
        <a:xfrm rot="18900000">
          <a:off x="3822222" y="6660016"/>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3</xdr:col>
      <xdr:colOff>62666</xdr:colOff>
      <xdr:row>23</xdr:row>
      <xdr:rowOff>108650</xdr:rowOff>
    </xdr:from>
    <xdr:to>
      <xdr:col>3</xdr:col>
      <xdr:colOff>811528</xdr:colOff>
      <xdr:row>25</xdr:row>
      <xdr:rowOff>194047</xdr:rowOff>
    </xdr:to>
    <xdr:sp macro="" textlink="" fLocksText="0">
      <xdr:nvSpPr>
        <xdr:cNvPr id="49" name="Trapezoid 48">
          <a:extLst>
            <a:ext uri="{FF2B5EF4-FFF2-40B4-BE49-F238E27FC236}">
              <a16:creationId xmlns:a16="http://schemas.microsoft.com/office/drawing/2014/main" id="{00000000-0008-0000-0100-000031000000}"/>
            </a:ext>
          </a:extLst>
        </xdr:cNvPr>
        <xdr:cNvSpPr/>
      </xdr:nvSpPr>
      <xdr:spPr>
        <a:xfrm rot="8100000">
          <a:off x="2828200" y="5665995"/>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4</xdr:col>
      <xdr:colOff>273009</xdr:colOff>
      <xdr:row>23</xdr:row>
      <xdr:rowOff>1577</xdr:rowOff>
    </xdr:from>
    <xdr:to>
      <xdr:col>4</xdr:col>
      <xdr:colOff>818233</xdr:colOff>
      <xdr:row>26</xdr:row>
      <xdr:rowOff>60698</xdr:rowOff>
    </xdr:to>
    <xdr:sp macro="" textlink="" fLocksText="0">
      <xdr:nvSpPr>
        <xdr:cNvPr id="50" name="Trapezoid 49">
          <a:extLst>
            <a:ext uri="{FF2B5EF4-FFF2-40B4-BE49-F238E27FC236}">
              <a16:creationId xmlns:a16="http://schemas.microsoft.com/office/drawing/2014/main" id="{00000000-0008-0000-0100-000032000000}"/>
            </a:ext>
          </a:extLst>
        </xdr:cNvPr>
        <xdr:cNvSpPr/>
      </xdr:nvSpPr>
      <xdr:spPr>
        <a:xfrm rot="13500000">
          <a:off x="3823535" y="5660741"/>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3</xdr:col>
      <xdr:colOff>165798</xdr:colOff>
      <xdr:row>27</xdr:row>
      <xdr:rowOff>75943</xdr:rowOff>
    </xdr:from>
    <xdr:to>
      <xdr:col>3</xdr:col>
      <xdr:colOff>711022</xdr:colOff>
      <xdr:row>30</xdr:row>
      <xdr:rowOff>135064</xdr:rowOff>
    </xdr:to>
    <xdr:sp macro="" textlink="" fLocksText="0">
      <xdr:nvSpPr>
        <xdr:cNvPr id="51" name="Trapezoid 50">
          <a:extLst>
            <a:ext uri="{FF2B5EF4-FFF2-40B4-BE49-F238E27FC236}">
              <a16:creationId xmlns:a16="http://schemas.microsoft.com/office/drawing/2014/main" id="{00000000-0008-0000-0100-000033000000}"/>
            </a:ext>
          </a:extLst>
        </xdr:cNvPr>
        <xdr:cNvSpPr/>
      </xdr:nvSpPr>
      <xdr:spPr>
        <a:xfrm rot="2700000">
          <a:off x="2829513" y="665476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5</xdr:col>
      <xdr:colOff>1037897</xdr:colOff>
      <xdr:row>22</xdr:row>
      <xdr:rowOff>124810</xdr:rowOff>
    </xdr:from>
    <xdr:to>
      <xdr:col>6</xdr:col>
      <xdr:colOff>157655</xdr:colOff>
      <xdr:row>24</xdr:row>
      <xdr:rowOff>210206</xdr:rowOff>
    </xdr:to>
    <xdr:sp macro="" textlink="" fLocksText="0">
      <xdr:nvSpPr>
        <xdr:cNvPr id="52" name="Trapezoid 51">
          <a:extLst>
            <a:ext uri="{FF2B5EF4-FFF2-40B4-BE49-F238E27FC236}">
              <a16:creationId xmlns:a16="http://schemas.microsoft.com/office/drawing/2014/main" id="{00000000-0008-0000-0100-000034000000}"/>
            </a:ext>
          </a:extLst>
        </xdr:cNvPr>
        <xdr:cNvSpPr/>
      </xdr:nvSpPr>
      <xdr:spPr>
        <a:xfrm rot="10800000">
          <a:off x="5577052" y="5452241"/>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5</xdr:col>
      <xdr:colOff>1037897</xdr:colOff>
      <xdr:row>28</xdr:row>
      <xdr:rowOff>151086</xdr:rowOff>
    </xdr:from>
    <xdr:to>
      <xdr:col>6</xdr:col>
      <xdr:colOff>157655</xdr:colOff>
      <xdr:row>31</xdr:row>
      <xdr:rowOff>6569</xdr:rowOff>
    </xdr:to>
    <xdr:sp macro="" textlink="" fLocksText="0">
      <xdr:nvSpPr>
        <xdr:cNvPr id="53" name="Trapezoid 52">
          <a:extLst>
            <a:ext uri="{FF2B5EF4-FFF2-40B4-BE49-F238E27FC236}">
              <a16:creationId xmlns:a16="http://schemas.microsoft.com/office/drawing/2014/main" id="{00000000-0008-0000-0100-000035000000}"/>
            </a:ext>
          </a:extLst>
        </xdr:cNvPr>
        <xdr:cNvSpPr/>
      </xdr:nvSpPr>
      <xdr:spPr>
        <a:xfrm>
          <a:off x="5577052" y="6858000"/>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6</xdr:col>
      <xdr:colOff>233199</xdr:colOff>
      <xdr:row>25</xdr:row>
      <xdr:rowOff>36131</xdr:rowOff>
    </xdr:from>
    <xdr:to>
      <xdr:col>6</xdr:col>
      <xdr:colOff>778423</xdr:colOff>
      <xdr:row>28</xdr:row>
      <xdr:rowOff>95251</xdr:rowOff>
    </xdr:to>
    <xdr:sp macro="" textlink="" fLocksText="0">
      <xdr:nvSpPr>
        <xdr:cNvPr id="54" name="Trapezoid 53">
          <a:extLst>
            <a:ext uri="{FF2B5EF4-FFF2-40B4-BE49-F238E27FC236}">
              <a16:creationId xmlns:a16="http://schemas.microsoft.com/office/drawing/2014/main" id="{00000000-0008-0000-0100-000036000000}"/>
            </a:ext>
          </a:extLst>
        </xdr:cNvPr>
        <xdr:cNvSpPr/>
      </xdr:nvSpPr>
      <xdr:spPr>
        <a:xfrm rot="16200000">
          <a:off x="6299639" y="615512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5</xdr:col>
      <xdr:colOff>456544</xdr:colOff>
      <xdr:row>25</xdr:row>
      <xdr:rowOff>36131</xdr:rowOff>
    </xdr:from>
    <xdr:to>
      <xdr:col>5</xdr:col>
      <xdr:colOff>1001768</xdr:colOff>
      <xdr:row>28</xdr:row>
      <xdr:rowOff>95251</xdr:rowOff>
    </xdr:to>
    <xdr:sp macro="" textlink="" fLocksText="0">
      <xdr:nvSpPr>
        <xdr:cNvPr id="55" name="Trapezoid 54">
          <a:extLst>
            <a:ext uri="{FF2B5EF4-FFF2-40B4-BE49-F238E27FC236}">
              <a16:creationId xmlns:a16="http://schemas.microsoft.com/office/drawing/2014/main" id="{00000000-0008-0000-0100-000037000000}"/>
            </a:ext>
          </a:extLst>
        </xdr:cNvPr>
        <xdr:cNvSpPr/>
      </xdr:nvSpPr>
      <xdr:spPr>
        <a:xfrm rot="5400000">
          <a:off x="4893880" y="615512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5</xdr:col>
      <xdr:colOff>1555929</xdr:colOff>
      <xdr:row>27</xdr:row>
      <xdr:rowOff>183016</xdr:rowOff>
    </xdr:from>
    <xdr:to>
      <xdr:col>6</xdr:col>
      <xdr:colOff>675687</xdr:colOff>
      <xdr:row>30</xdr:row>
      <xdr:rowOff>38499</xdr:rowOff>
    </xdr:to>
    <xdr:sp macro="" textlink="" fLocksText="0">
      <xdr:nvSpPr>
        <xdr:cNvPr id="56" name="Trapezoid 55">
          <a:extLst>
            <a:ext uri="{FF2B5EF4-FFF2-40B4-BE49-F238E27FC236}">
              <a16:creationId xmlns:a16="http://schemas.microsoft.com/office/drawing/2014/main" id="{00000000-0008-0000-0100-000038000000}"/>
            </a:ext>
          </a:extLst>
        </xdr:cNvPr>
        <xdr:cNvSpPr/>
      </xdr:nvSpPr>
      <xdr:spPr>
        <a:xfrm rot="18900000">
          <a:off x="6095084" y="6660016"/>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5</xdr:col>
      <xdr:colOff>561907</xdr:colOff>
      <xdr:row>23</xdr:row>
      <xdr:rowOff>108650</xdr:rowOff>
    </xdr:from>
    <xdr:to>
      <xdr:col>5</xdr:col>
      <xdr:colOff>1310769</xdr:colOff>
      <xdr:row>25</xdr:row>
      <xdr:rowOff>194047</xdr:rowOff>
    </xdr:to>
    <xdr:sp macro="" textlink="" fLocksText="0">
      <xdr:nvSpPr>
        <xdr:cNvPr id="57" name="Trapezoid 56">
          <a:extLst>
            <a:ext uri="{FF2B5EF4-FFF2-40B4-BE49-F238E27FC236}">
              <a16:creationId xmlns:a16="http://schemas.microsoft.com/office/drawing/2014/main" id="{00000000-0008-0000-0100-000039000000}"/>
            </a:ext>
          </a:extLst>
        </xdr:cNvPr>
        <xdr:cNvSpPr/>
      </xdr:nvSpPr>
      <xdr:spPr>
        <a:xfrm rot="8100000">
          <a:off x="5101062" y="5665995"/>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6</xdr:col>
      <xdr:colOff>29957</xdr:colOff>
      <xdr:row>23</xdr:row>
      <xdr:rowOff>1577</xdr:rowOff>
    </xdr:from>
    <xdr:to>
      <xdr:col>6</xdr:col>
      <xdr:colOff>575181</xdr:colOff>
      <xdr:row>26</xdr:row>
      <xdr:rowOff>60698</xdr:rowOff>
    </xdr:to>
    <xdr:sp macro="" textlink="" fLocksText="0">
      <xdr:nvSpPr>
        <xdr:cNvPr id="58" name="Trapezoid 57">
          <a:extLst>
            <a:ext uri="{FF2B5EF4-FFF2-40B4-BE49-F238E27FC236}">
              <a16:creationId xmlns:a16="http://schemas.microsoft.com/office/drawing/2014/main" id="{00000000-0008-0000-0100-00003A000000}"/>
            </a:ext>
          </a:extLst>
        </xdr:cNvPr>
        <xdr:cNvSpPr/>
      </xdr:nvSpPr>
      <xdr:spPr>
        <a:xfrm rot="13500000">
          <a:off x="6096397" y="5660741"/>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5</xdr:col>
      <xdr:colOff>665039</xdr:colOff>
      <xdr:row>27</xdr:row>
      <xdr:rowOff>75943</xdr:rowOff>
    </xdr:from>
    <xdr:to>
      <xdr:col>5</xdr:col>
      <xdr:colOff>1210263</xdr:colOff>
      <xdr:row>30</xdr:row>
      <xdr:rowOff>135064</xdr:rowOff>
    </xdr:to>
    <xdr:sp macro="" textlink="" fLocksText="0">
      <xdr:nvSpPr>
        <xdr:cNvPr id="59" name="Trapezoid 58">
          <a:extLst>
            <a:ext uri="{FF2B5EF4-FFF2-40B4-BE49-F238E27FC236}">
              <a16:creationId xmlns:a16="http://schemas.microsoft.com/office/drawing/2014/main" id="{00000000-0008-0000-0100-00003B000000}"/>
            </a:ext>
          </a:extLst>
        </xdr:cNvPr>
        <xdr:cNvSpPr/>
      </xdr:nvSpPr>
      <xdr:spPr>
        <a:xfrm rot="2700000">
          <a:off x="5102375" y="6654762"/>
          <a:ext cx="748862" cy="545224"/>
        </a:xfrm>
        <a:prstGeom prst="trapezoid">
          <a:avLst>
            <a:gd name="adj" fmla="val 466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0</a:t>
          </a:r>
        </a:p>
      </xdr:txBody>
    </xdr:sp>
    <xdr:clientData fLocksWithSheet="0"/>
  </xdr:twoCellAnchor>
  <xdr:twoCellAnchor>
    <xdr:from>
      <xdr:col>1</xdr:col>
      <xdr:colOff>911087</xdr:colOff>
      <xdr:row>34</xdr:row>
      <xdr:rowOff>99391</xdr:rowOff>
    </xdr:from>
    <xdr:to>
      <xdr:col>6</xdr:col>
      <xdr:colOff>323023</xdr:colOff>
      <xdr:row>36</xdr:row>
      <xdr:rowOff>223630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977348" y="7247282"/>
          <a:ext cx="5516218" cy="588065"/>
        </a:xfrm>
        <a:prstGeom prst="roundRect">
          <a:avLst>
            <a:gd name="adj" fmla="val 50000"/>
          </a:avLst>
        </a:prstGeom>
        <a:noFill/>
        <a:ln w="444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621196</xdr:colOff>
      <xdr:row>34</xdr:row>
      <xdr:rowOff>207065</xdr:rowOff>
    </xdr:from>
    <xdr:to>
      <xdr:col>4</xdr:col>
      <xdr:colOff>339588</xdr:colOff>
      <xdr:row>35</xdr:row>
      <xdr:rowOff>132521</xdr:rowOff>
    </xdr:to>
    <xdr:sp macro="" textlink="">
      <xdr:nvSpPr>
        <xdr:cNvPr id="36" name="Rounded Rectangle 35">
          <a:extLst>
            <a:ext uri="{FF2B5EF4-FFF2-40B4-BE49-F238E27FC236}">
              <a16:creationId xmlns:a16="http://schemas.microsoft.com/office/drawing/2014/main" id="{00000000-0008-0000-0100-000024000000}"/>
            </a:ext>
          </a:extLst>
        </xdr:cNvPr>
        <xdr:cNvSpPr/>
      </xdr:nvSpPr>
      <xdr:spPr>
        <a:xfrm>
          <a:off x="3387587" y="7354956"/>
          <a:ext cx="604631" cy="157369"/>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621196</xdr:colOff>
      <xdr:row>35</xdr:row>
      <xdr:rowOff>198782</xdr:rowOff>
    </xdr:from>
    <xdr:to>
      <xdr:col>4</xdr:col>
      <xdr:colOff>339588</xdr:colOff>
      <xdr:row>36</xdr:row>
      <xdr:rowOff>124238</xdr:rowOff>
    </xdr:to>
    <xdr:sp macro="" textlink="">
      <xdr:nvSpPr>
        <xdr:cNvPr id="37" name="Rounded Rectangle 36">
          <a:extLst>
            <a:ext uri="{FF2B5EF4-FFF2-40B4-BE49-F238E27FC236}">
              <a16:creationId xmlns:a16="http://schemas.microsoft.com/office/drawing/2014/main" id="{00000000-0008-0000-0100-000025000000}"/>
            </a:ext>
          </a:extLst>
        </xdr:cNvPr>
        <xdr:cNvSpPr/>
      </xdr:nvSpPr>
      <xdr:spPr>
        <a:xfrm>
          <a:off x="3387587" y="7578586"/>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861391</xdr:colOff>
      <xdr:row>34</xdr:row>
      <xdr:rowOff>207065</xdr:rowOff>
    </xdr:from>
    <xdr:to>
      <xdr:col>5</xdr:col>
      <xdr:colOff>579782</xdr:colOff>
      <xdr:row>35</xdr:row>
      <xdr:rowOff>132521</xdr:rowOff>
    </xdr:to>
    <xdr:sp macro="" textlink="">
      <xdr:nvSpPr>
        <xdr:cNvPr id="42" name="Rounded Rectangle 41">
          <a:extLst>
            <a:ext uri="{FF2B5EF4-FFF2-40B4-BE49-F238E27FC236}">
              <a16:creationId xmlns:a16="http://schemas.microsoft.com/office/drawing/2014/main" id="{00000000-0008-0000-0100-00002A000000}"/>
            </a:ext>
          </a:extLst>
        </xdr:cNvPr>
        <xdr:cNvSpPr/>
      </xdr:nvSpPr>
      <xdr:spPr>
        <a:xfrm>
          <a:off x="4514021" y="7354956"/>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861391</xdr:colOff>
      <xdr:row>35</xdr:row>
      <xdr:rowOff>198782</xdr:rowOff>
    </xdr:from>
    <xdr:to>
      <xdr:col>5</xdr:col>
      <xdr:colOff>579782</xdr:colOff>
      <xdr:row>36</xdr:row>
      <xdr:rowOff>124238</xdr:rowOff>
    </xdr:to>
    <xdr:sp macro="" textlink="">
      <xdr:nvSpPr>
        <xdr:cNvPr id="43" name="Rounded Rectangle 42">
          <a:extLst>
            <a:ext uri="{FF2B5EF4-FFF2-40B4-BE49-F238E27FC236}">
              <a16:creationId xmlns:a16="http://schemas.microsoft.com/office/drawing/2014/main" id="{00000000-0008-0000-0100-00002B000000}"/>
            </a:ext>
          </a:extLst>
        </xdr:cNvPr>
        <xdr:cNvSpPr/>
      </xdr:nvSpPr>
      <xdr:spPr>
        <a:xfrm>
          <a:off x="4514021" y="7578586"/>
          <a:ext cx="604631" cy="157369"/>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1010477</xdr:colOff>
      <xdr:row>34</xdr:row>
      <xdr:rowOff>207065</xdr:rowOff>
    </xdr:from>
    <xdr:to>
      <xdr:col>5</xdr:col>
      <xdr:colOff>1615108</xdr:colOff>
      <xdr:row>35</xdr:row>
      <xdr:rowOff>132521</xdr:rowOff>
    </xdr:to>
    <xdr:sp macro="" textlink="">
      <xdr:nvSpPr>
        <xdr:cNvPr id="60" name="Rounded Rectangle 59">
          <a:extLst>
            <a:ext uri="{FF2B5EF4-FFF2-40B4-BE49-F238E27FC236}">
              <a16:creationId xmlns:a16="http://schemas.microsoft.com/office/drawing/2014/main" id="{00000000-0008-0000-0100-00003C000000}"/>
            </a:ext>
          </a:extLst>
        </xdr:cNvPr>
        <xdr:cNvSpPr/>
      </xdr:nvSpPr>
      <xdr:spPr>
        <a:xfrm>
          <a:off x="5549347" y="7354956"/>
          <a:ext cx="604631" cy="157369"/>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1010477</xdr:colOff>
      <xdr:row>35</xdr:row>
      <xdr:rowOff>198782</xdr:rowOff>
    </xdr:from>
    <xdr:to>
      <xdr:col>5</xdr:col>
      <xdr:colOff>1615108</xdr:colOff>
      <xdr:row>36</xdr:row>
      <xdr:rowOff>124238</xdr:rowOff>
    </xdr:to>
    <xdr:sp macro="" textlink="">
      <xdr:nvSpPr>
        <xdr:cNvPr id="61" name="Rounded Rectangle 60">
          <a:extLst>
            <a:ext uri="{FF2B5EF4-FFF2-40B4-BE49-F238E27FC236}">
              <a16:creationId xmlns:a16="http://schemas.microsoft.com/office/drawing/2014/main" id="{00000000-0008-0000-0100-00003D000000}"/>
            </a:ext>
          </a:extLst>
        </xdr:cNvPr>
        <xdr:cNvSpPr/>
      </xdr:nvSpPr>
      <xdr:spPr>
        <a:xfrm>
          <a:off x="5549347" y="7578586"/>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513521</xdr:colOff>
      <xdr:row>34</xdr:row>
      <xdr:rowOff>207065</xdr:rowOff>
    </xdr:from>
    <xdr:to>
      <xdr:col>3</xdr:col>
      <xdr:colOff>140804</xdr:colOff>
      <xdr:row>35</xdr:row>
      <xdr:rowOff>132521</xdr:rowOff>
    </xdr:to>
    <xdr:sp macro="" textlink="">
      <xdr:nvSpPr>
        <xdr:cNvPr id="62" name="Rounded Rectangle 61">
          <a:extLst>
            <a:ext uri="{FF2B5EF4-FFF2-40B4-BE49-F238E27FC236}">
              <a16:creationId xmlns:a16="http://schemas.microsoft.com/office/drawing/2014/main" id="{00000000-0008-0000-0100-00003E000000}"/>
            </a:ext>
          </a:extLst>
        </xdr:cNvPr>
        <xdr:cNvSpPr/>
      </xdr:nvSpPr>
      <xdr:spPr>
        <a:xfrm>
          <a:off x="2302564" y="7354956"/>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513521</xdr:colOff>
      <xdr:row>35</xdr:row>
      <xdr:rowOff>198782</xdr:rowOff>
    </xdr:from>
    <xdr:to>
      <xdr:col>3</xdr:col>
      <xdr:colOff>140804</xdr:colOff>
      <xdr:row>36</xdr:row>
      <xdr:rowOff>124238</xdr:rowOff>
    </xdr:to>
    <xdr:sp macro="" textlink="">
      <xdr:nvSpPr>
        <xdr:cNvPr id="63" name="Rounded Rectangle 62">
          <a:extLst>
            <a:ext uri="{FF2B5EF4-FFF2-40B4-BE49-F238E27FC236}">
              <a16:creationId xmlns:a16="http://schemas.microsoft.com/office/drawing/2014/main" id="{00000000-0008-0000-0100-00003F000000}"/>
            </a:ext>
          </a:extLst>
        </xdr:cNvPr>
        <xdr:cNvSpPr/>
      </xdr:nvSpPr>
      <xdr:spPr>
        <a:xfrm>
          <a:off x="2302564" y="7578586"/>
          <a:ext cx="604631" cy="157369"/>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1217542</xdr:colOff>
      <xdr:row>34</xdr:row>
      <xdr:rowOff>207065</xdr:rowOff>
    </xdr:from>
    <xdr:to>
      <xdr:col>2</xdr:col>
      <xdr:colOff>99391</xdr:colOff>
      <xdr:row>35</xdr:row>
      <xdr:rowOff>132521</xdr:rowOff>
    </xdr:to>
    <xdr:sp macro="" textlink="">
      <xdr:nvSpPr>
        <xdr:cNvPr id="64" name="Rounded Rectangle 63">
          <a:extLst>
            <a:ext uri="{FF2B5EF4-FFF2-40B4-BE49-F238E27FC236}">
              <a16:creationId xmlns:a16="http://schemas.microsoft.com/office/drawing/2014/main" id="{00000000-0008-0000-0100-000040000000}"/>
            </a:ext>
          </a:extLst>
        </xdr:cNvPr>
        <xdr:cNvSpPr/>
      </xdr:nvSpPr>
      <xdr:spPr>
        <a:xfrm>
          <a:off x="1283803" y="7354956"/>
          <a:ext cx="604631" cy="157369"/>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1217542</xdr:colOff>
      <xdr:row>35</xdr:row>
      <xdr:rowOff>198782</xdr:rowOff>
    </xdr:from>
    <xdr:to>
      <xdr:col>2</xdr:col>
      <xdr:colOff>99391</xdr:colOff>
      <xdr:row>36</xdr:row>
      <xdr:rowOff>124238</xdr:rowOff>
    </xdr:to>
    <xdr:sp macro="" textlink="">
      <xdr:nvSpPr>
        <xdr:cNvPr id="65" name="Rounded Rectangle 64">
          <a:extLst>
            <a:ext uri="{FF2B5EF4-FFF2-40B4-BE49-F238E27FC236}">
              <a16:creationId xmlns:a16="http://schemas.microsoft.com/office/drawing/2014/main" id="{00000000-0008-0000-0100-000041000000}"/>
            </a:ext>
          </a:extLst>
        </xdr:cNvPr>
        <xdr:cNvSpPr/>
      </xdr:nvSpPr>
      <xdr:spPr>
        <a:xfrm>
          <a:off x="1283803" y="7578586"/>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621196</xdr:colOff>
      <xdr:row>39</xdr:row>
      <xdr:rowOff>124245</xdr:rowOff>
    </xdr:from>
    <xdr:to>
      <xdr:col>4</xdr:col>
      <xdr:colOff>339588</xdr:colOff>
      <xdr:row>40</xdr:row>
      <xdr:rowOff>49702</xdr:rowOff>
    </xdr:to>
    <xdr:sp macro="" textlink="">
      <xdr:nvSpPr>
        <xdr:cNvPr id="67" name="Rounded Rectangle 66">
          <a:extLst>
            <a:ext uri="{FF2B5EF4-FFF2-40B4-BE49-F238E27FC236}">
              <a16:creationId xmlns:a16="http://schemas.microsoft.com/office/drawing/2014/main" id="{00000000-0008-0000-0100-000043000000}"/>
            </a:ext>
          </a:extLst>
        </xdr:cNvPr>
        <xdr:cNvSpPr/>
      </xdr:nvSpPr>
      <xdr:spPr>
        <a:xfrm>
          <a:off x="3387587" y="8431702"/>
          <a:ext cx="604631" cy="157370"/>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621196</xdr:colOff>
      <xdr:row>40</xdr:row>
      <xdr:rowOff>115963</xdr:rowOff>
    </xdr:from>
    <xdr:to>
      <xdr:col>4</xdr:col>
      <xdr:colOff>339588</xdr:colOff>
      <xdr:row>41</xdr:row>
      <xdr:rowOff>41419</xdr:rowOff>
    </xdr:to>
    <xdr:sp macro="" textlink="">
      <xdr:nvSpPr>
        <xdr:cNvPr id="68" name="Rounded Rectangle 67">
          <a:extLst>
            <a:ext uri="{FF2B5EF4-FFF2-40B4-BE49-F238E27FC236}">
              <a16:creationId xmlns:a16="http://schemas.microsoft.com/office/drawing/2014/main" id="{00000000-0008-0000-0100-000044000000}"/>
            </a:ext>
          </a:extLst>
        </xdr:cNvPr>
        <xdr:cNvSpPr/>
      </xdr:nvSpPr>
      <xdr:spPr>
        <a:xfrm>
          <a:off x="3387587" y="8655333"/>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861391</xdr:colOff>
      <xdr:row>39</xdr:row>
      <xdr:rowOff>124245</xdr:rowOff>
    </xdr:from>
    <xdr:to>
      <xdr:col>5</xdr:col>
      <xdr:colOff>579782</xdr:colOff>
      <xdr:row>40</xdr:row>
      <xdr:rowOff>49702</xdr:rowOff>
    </xdr:to>
    <xdr:sp macro="" textlink="">
      <xdr:nvSpPr>
        <xdr:cNvPr id="69" name="Rounded Rectangle 68">
          <a:extLst>
            <a:ext uri="{FF2B5EF4-FFF2-40B4-BE49-F238E27FC236}">
              <a16:creationId xmlns:a16="http://schemas.microsoft.com/office/drawing/2014/main" id="{00000000-0008-0000-0100-000045000000}"/>
            </a:ext>
          </a:extLst>
        </xdr:cNvPr>
        <xdr:cNvSpPr/>
      </xdr:nvSpPr>
      <xdr:spPr>
        <a:xfrm>
          <a:off x="4514021" y="8431702"/>
          <a:ext cx="604631" cy="157370"/>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861391</xdr:colOff>
      <xdr:row>40</xdr:row>
      <xdr:rowOff>115963</xdr:rowOff>
    </xdr:from>
    <xdr:to>
      <xdr:col>5</xdr:col>
      <xdr:colOff>579782</xdr:colOff>
      <xdr:row>41</xdr:row>
      <xdr:rowOff>41419</xdr:rowOff>
    </xdr:to>
    <xdr:sp macro="" textlink="">
      <xdr:nvSpPr>
        <xdr:cNvPr id="70" name="Rounded Rectangle 69">
          <a:extLst>
            <a:ext uri="{FF2B5EF4-FFF2-40B4-BE49-F238E27FC236}">
              <a16:creationId xmlns:a16="http://schemas.microsoft.com/office/drawing/2014/main" id="{00000000-0008-0000-0100-000046000000}"/>
            </a:ext>
          </a:extLst>
        </xdr:cNvPr>
        <xdr:cNvSpPr/>
      </xdr:nvSpPr>
      <xdr:spPr>
        <a:xfrm>
          <a:off x="4514021" y="8655333"/>
          <a:ext cx="604631" cy="157369"/>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513521</xdr:colOff>
      <xdr:row>39</xdr:row>
      <xdr:rowOff>124245</xdr:rowOff>
    </xdr:from>
    <xdr:to>
      <xdr:col>3</xdr:col>
      <xdr:colOff>140804</xdr:colOff>
      <xdr:row>40</xdr:row>
      <xdr:rowOff>49702</xdr:rowOff>
    </xdr:to>
    <xdr:sp macro="" textlink="">
      <xdr:nvSpPr>
        <xdr:cNvPr id="73" name="Rounded Rectangle 72">
          <a:extLst>
            <a:ext uri="{FF2B5EF4-FFF2-40B4-BE49-F238E27FC236}">
              <a16:creationId xmlns:a16="http://schemas.microsoft.com/office/drawing/2014/main" id="{00000000-0008-0000-0100-000049000000}"/>
            </a:ext>
          </a:extLst>
        </xdr:cNvPr>
        <xdr:cNvSpPr/>
      </xdr:nvSpPr>
      <xdr:spPr>
        <a:xfrm>
          <a:off x="2302564" y="8431702"/>
          <a:ext cx="604631" cy="157370"/>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513521</xdr:colOff>
      <xdr:row>40</xdr:row>
      <xdr:rowOff>115963</xdr:rowOff>
    </xdr:from>
    <xdr:to>
      <xdr:col>3</xdr:col>
      <xdr:colOff>140804</xdr:colOff>
      <xdr:row>41</xdr:row>
      <xdr:rowOff>41419</xdr:rowOff>
    </xdr:to>
    <xdr:sp macro="" textlink="">
      <xdr:nvSpPr>
        <xdr:cNvPr id="74" name="Rounded Rectangle 73">
          <a:extLst>
            <a:ext uri="{FF2B5EF4-FFF2-40B4-BE49-F238E27FC236}">
              <a16:creationId xmlns:a16="http://schemas.microsoft.com/office/drawing/2014/main" id="{00000000-0008-0000-0100-00004A000000}"/>
            </a:ext>
          </a:extLst>
        </xdr:cNvPr>
        <xdr:cNvSpPr/>
      </xdr:nvSpPr>
      <xdr:spPr>
        <a:xfrm>
          <a:off x="2302564" y="8655333"/>
          <a:ext cx="604631" cy="157369"/>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1217542</xdr:colOff>
      <xdr:row>39</xdr:row>
      <xdr:rowOff>124245</xdr:rowOff>
    </xdr:from>
    <xdr:to>
      <xdr:col>2</xdr:col>
      <xdr:colOff>99391</xdr:colOff>
      <xdr:row>40</xdr:row>
      <xdr:rowOff>49702</xdr:rowOff>
    </xdr:to>
    <xdr:sp macro="" textlink="">
      <xdr:nvSpPr>
        <xdr:cNvPr id="75" name="Rounded Rectangle 74">
          <a:extLst>
            <a:ext uri="{FF2B5EF4-FFF2-40B4-BE49-F238E27FC236}">
              <a16:creationId xmlns:a16="http://schemas.microsoft.com/office/drawing/2014/main" id="{00000000-0008-0000-0100-00004B000000}"/>
            </a:ext>
          </a:extLst>
        </xdr:cNvPr>
        <xdr:cNvSpPr/>
      </xdr:nvSpPr>
      <xdr:spPr>
        <a:xfrm>
          <a:off x="1283803" y="8431702"/>
          <a:ext cx="604631" cy="157370"/>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1217542</xdr:colOff>
      <xdr:row>40</xdr:row>
      <xdr:rowOff>115963</xdr:rowOff>
    </xdr:from>
    <xdr:to>
      <xdr:col>2</xdr:col>
      <xdr:colOff>99391</xdr:colOff>
      <xdr:row>41</xdr:row>
      <xdr:rowOff>41419</xdr:rowOff>
    </xdr:to>
    <xdr:sp macro="" textlink="">
      <xdr:nvSpPr>
        <xdr:cNvPr id="76" name="Rounded Rectangle 75">
          <a:extLst>
            <a:ext uri="{FF2B5EF4-FFF2-40B4-BE49-F238E27FC236}">
              <a16:creationId xmlns:a16="http://schemas.microsoft.com/office/drawing/2014/main" id="{00000000-0008-0000-0100-00004C000000}"/>
            </a:ext>
          </a:extLst>
        </xdr:cNvPr>
        <xdr:cNvSpPr/>
      </xdr:nvSpPr>
      <xdr:spPr>
        <a:xfrm>
          <a:off x="1283803" y="8655333"/>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911087</xdr:colOff>
      <xdr:row>39</xdr:row>
      <xdr:rowOff>16572</xdr:rowOff>
    </xdr:from>
    <xdr:to>
      <xdr:col>6</xdr:col>
      <xdr:colOff>323023</xdr:colOff>
      <xdr:row>41</xdr:row>
      <xdr:rowOff>140811</xdr:rowOff>
    </xdr:to>
    <xdr:sp macro="" textlink="">
      <xdr:nvSpPr>
        <xdr:cNvPr id="77" name="Rounded Rectangle 76">
          <a:extLst>
            <a:ext uri="{FF2B5EF4-FFF2-40B4-BE49-F238E27FC236}">
              <a16:creationId xmlns:a16="http://schemas.microsoft.com/office/drawing/2014/main" id="{00000000-0008-0000-0100-00004D000000}"/>
            </a:ext>
          </a:extLst>
        </xdr:cNvPr>
        <xdr:cNvSpPr/>
      </xdr:nvSpPr>
      <xdr:spPr>
        <a:xfrm>
          <a:off x="977348" y="8324029"/>
          <a:ext cx="5516218" cy="588065"/>
        </a:xfrm>
        <a:prstGeom prst="roundRect">
          <a:avLst>
            <a:gd name="adj" fmla="val 50000"/>
          </a:avLst>
        </a:prstGeom>
        <a:noFill/>
        <a:ln w="444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844822</xdr:colOff>
      <xdr:row>37</xdr:row>
      <xdr:rowOff>91109</xdr:rowOff>
    </xdr:from>
    <xdr:to>
      <xdr:col>2</xdr:col>
      <xdr:colOff>571512</xdr:colOff>
      <xdr:row>38</xdr:row>
      <xdr:rowOff>132522</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11083" y="8034131"/>
          <a:ext cx="1449472"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1"/>
            <a:t>Forward</a:t>
          </a:r>
        </a:p>
      </xdr:txBody>
    </xdr:sp>
    <xdr:clientData/>
  </xdr:twoCellAnchor>
  <xdr:twoCellAnchor>
    <xdr:from>
      <xdr:col>5</xdr:col>
      <xdr:colOff>1408046</xdr:colOff>
      <xdr:row>37</xdr:row>
      <xdr:rowOff>91109</xdr:rowOff>
    </xdr:from>
    <xdr:to>
      <xdr:col>6</xdr:col>
      <xdr:colOff>397570</xdr:colOff>
      <xdr:row>38</xdr:row>
      <xdr:rowOff>132522</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5946916" y="8034131"/>
          <a:ext cx="621197" cy="273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1"/>
            <a:t>Aft</a:t>
          </a:r>
        </a:p>
      </xdr:txBody>
    </xdr:sp>
    <xdr:clientData/>
  </xdr:twoCellAnchor>
  <xdr:twoCellAnchor>
    <xdr:from>
      <xdr:col>5</xdr:col>
      <xdr:colOff>1002194</xdr:colOff>
      <xdr:row>39</xdr:row>
      <xdr:rowOff>124245</xdr:rowOff>
    </xdr:from>
    <xdr:to>
      <xdr:col>5</xdr:col>
      <xdr:colOff>1606825</xdr:colOff>
      <xdr:row>40</xdr:row>
      <xdr:rowOff>49702</xdr:rowOff>
    </xdr:to>
    <xdr:sp macro="" textlink="">
      <xdr:nvSpPr>
        <xdr:cNvPr id="89" name="Rounded Rectangle 88">
          <a:extLst>
            <a:ext uri="{FF2B5EF4-FFF2-40B4-BE49-F238E27FC236}">
              <a16:creationId xmlns:a16="http://schemas.microsoft.com/office/drawing/2014/main" id="{00000000-0008-0000-0100-000059000000}"/>
            </a:ext>
          </a:extLst>
        </xdr:cNvPr>
        <xdr:cNvSpPr/>
      </xdr:nvSpPr>
      <xdr:spPr>
        <a:xfrm>
          <a:off x="5541064" y="8431702"/>
          <a:ext cx="604631" cy="157370"/>
        </a:xfrm>
        <a:prstGeom prst="round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1002194</xdr:colOff>
      <xdr:row>40</xdr:row>
      <xdr:rowOff>115963</xdr:rowOff>
    </xdr:from>
    <xdr:to>
      <xdr:col>5</xdr:col>
      <xdr:colOff>1606825</xdr:colOff>
      <xdr:row>41</xdr:row>
      <xdr:rowOff>41419</xdr:rowOff>
    </xdr:to>
    <xdr:sp macro="" textlink="">
      <xdr:nvSpPr>
        <xdr:cNvPr id="90" name="Rounded Rectangle 89">
          <a:extLst>
            <a:ext uri="{FF2B5EF4-FFF2-40B4-BE49-F238E27FC236}">
              <a16:creationId xmlns:a16="http://schemas.microsoft.com/office/drawing/2014/main" id="{00000000-0008-0000-0100-00005A000000}"/>
            </a:ext>
          </a:extLst>
        </xdr:cNvPr>
        <xdr:cNvSpPr/>
      </xdr:nvSpPr>
      <xdr:spPr>
        <a:xfrm>
          <a:off x="5541064" y="8655333"/>
          <a:ext cx="604631" cy="157369"/>
        </a:xfrm>
        <a:prstGeom prst="round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0</xdr:rowOff>
    </xdr:from>
    <xdr:to>
      <xdr:col>2</xdr:col>
      <xdr:colOff>952500</xdr:colOff>
      <xdr:row>2</xdr:row>
      <xdr:rowOff>137922</xdr:rowOff>
    </xdr:to>
    <xdr:pic>
      <xdr:nvPicPr>
        <xdr:cNvPr id="71" name="Picture 70">
          <a:extLst>
            <a:ext uri="{FF2B5EF4-FFF2-40B4-BE49-F238E27FC236}">
              <a16:creationId xmlns:a16="http://schemas.microsoft.com/office/drawing/2014/main" id="{00000000-0008-0000-0100-00004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43200" cy="6522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464820</xdr:colOff>
          <xdr:row>18</xdr:row>
          <xdr:rowOff>83820</xdr:rowOff>
        </xdr:from>
        <xdr:to>
          <xdr:col>2</xdr:col>
          <xdr:colOff>708660</xdr:colOff>
          <xdr:row>18</xdr:row>
          <xdr:rowOff>251460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17</xdr:row>
          <xdr:rowOff>83820</xdr:rowOff>
        </xdr:from>
        <xdr:to>
          <xdr:col>2</xdr:col>
          <xdr:colOff>502920</xdr:colOff>
          <xdr:row>17</xdr:row>
          <xdr:rowOff>259080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297180</xdr:colOff>
          <xdr:row>19</xdr:row>
          <xdr:rowOff>83820</xdr:rowOff>
        </xdr:from>
        <xdr:to>
          <xdr:col>2</xdr:col>
          <xdr:colOff>518160</xdr:colOff>
          <xdr:row>19</xdr:row>
          <xdr:rowOff>251460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16</xdr:row>
          <xdr:rowOff>60960</xdr:rowOff>
        </xdr:from>
        <xdr:to>
          <xdr:col>2</xdr:col>
          <xdr:colOff>518160</xdr:colOff>
          <xdr:row>16</xdr:row>
          <xdr:rowOff>289560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60960</xdr:rowOff>
        </xdr:from>
        <xdr:to>
          <xdr:col>3</xdr:col>
          <xdr:colOff>0</xdr:colOff>
          <xdr:row>16</xdr:row>
          <xdr:rowOff>289560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937260</xdr:colOff>
          <xdr:row>17</xdr:row>
          <xdr:rowOff>83820</xdr:rowOff>
        </xdr:from>
        <xdr:to>
          <xdr:col>2</xdr:col>
          <xdr:colOff>1150620</xdr:colOff>
          <xdr:row>17</xdr:row>
          <xdr:rowOff>259080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464820</xdr:colOff>
          <xdr:row>21</xdr:row>
          <xdr:rowOff>83820</xdr:rowOff>
        </xdr:from>
        <xdr:to>
          <xdr:col>2</xdr:col>
          <xdr:colOff>685800</xdr:colOff>
          <xdr:row>21</xdr:row>
          <xdr:rowOff>251460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464820</xdr:colOff>
          <xdr:row>20</xdr:row>
          <xdr:rowOff>83820</xdr:rowOff>
        </xdr:from>
        <xdr:to>
          <xdr:col>2</xdr:col>
          <xdr:colOff>685800</xdr:colOff>
          <xdr:row>20</xdr:row>
          <xdr:rowOff>251460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464820</xdr:colOff>
          <xdr:row>22</xdr:row>
          <xdr:rowOff>83820</xdr:rowOff>
        </xdr:from>
        <xdr:to>
          <xdr:col>2</xdr:col>
          <xdr:colOff>685800</xdr:colOff>
          <xdr:row>22</xdr:row>
          <xdr:rowOff>251460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464820</xdr:colOff>
          <xdr:row>23</xdr:row>
          <xdr:rowOff>83820</xdr:rowOff>
        </xdr:from>
        <xdr:to>
          <xdr:col>2</xdr:col>
          <xdr:colOff>685800</xdr:colOff>
          <xdr:row>23</xdr:row>
          <xdr:rowOff>251460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2</xdr:col>
      <xdr:colOff>790575</xdr:colOff>
      <xdr:row>3</xdr:row>
      <xdr:rowOff>52197</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43200" cy="65227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944880</xdr:colOff>
          <xdr:row>19</xdr:row>
          <xdr:rowOff>83820</xdr:rowOff>
        </xdr:from>
        <xdr:to>
          <xdr:col>3</xdr:col>
          <xdr:colOff>0</xdr:colOff>
          <xdr:row>19</xdr:row>
          <xdr:rowOff>251460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0</xdr:colOff>
      <xdr:row>3</xdr:row>
      <xdr:rowOff>2</xdr:rowOff>
    </xdr:to>
    <xdr:sp macro="" textlink="">
      <xdr:nvSpPr>
        <xdr:cNvPr id="2" name="Isosceles Triangle 1">
          <a:extLst>
            <a:ext uri="{FF2B5EF4-FFF2-40B4-BE49-F238E27FC236}">
              <a16:creationId xmlns:a16="http://schemas.microsoft.com/office/drawing/2014/main" id="{11D7448F-3393-4AF1-8A24-E2098680397B}"/>
            </a:ext>
          </a:extLst>
        </xdr:cNvPr>
        <xdr:cNvSpPr/>
      </xdr:nvSpPr>
      <xdr:spPr>
        <a:xfrm rot="16200000">
          <a:off x="247649" y="95251"/>
          <a:ext cx="171452" cy="66675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US"/>
        </a:p>
      </xdr:txBody>
    </xdr:sp>
    <xdr:clientData/>
  </xdr:twoCellAnchor>
  <xdr:twoCellAnchor>
    <xdr:from>
      <xdr:col>4</xdr:col>
      <xdr:colOff>392758</xdr:colOff>
      <xdr:row>1</xdr:row>
      <xdr:rowOff>2163</xdr:rowOff>
    </xdr:from>
    <xdr:to>
      <xdr:col>5</xdr:col>
      <xdr:colOff>86713</xdr:colOff>
      <xdr:row>2</xdr:row>
      <xdr:rowOff>0</xdr:rowOff>
    </xdr:to>
    <xdr:sp macro="" textlink="">
      <xdr:nvSpPr>
        <xdr:cNvPr id="3" name="Rectangle 2">
          <a:extLst>
            <a:ext uri="{FF2B5EF4-FFF2-40B4-BE49-F238E27FC236}">
              <a16:creationId xmlns:a16="http://schemas.microsoft.com/office/drawing/2014/main" id="{C80E4F1B-7BD5-4C63-AD09-AA231873971E}"/>
            </a:ext>
          </a:extLst>
        </xdr:cNvPr>
        <xdr:cNvSpPr/>
      </xdr:nvSpPr>
      <xdr:spPr>
        <a:xfrm>
          <a:off x="3063568" y="173613"/>
          <a:ext cx="358800" cy="169287"/>
        </a:xfrm>
        <a:prstGeom prst="rect">
          <a:avLst/>
        </a:prstGeom>
        <a:solidFill>
          <a:srgbClr val="FFFF99"/>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392758</xdr:colOff>
      <xdr:row>12</xdr:row>
      <xdr:rowOff>2163</xdr:rowOff>
    </xdr:from>
    <xdr:to>
      <xdr:col>5</xdr:col>
      <xdr:colOff>86713</xdr:colOff>
      <xdr:row>13</xdr:row>
      <xdr:rowOff>0</xdr:rowOff>
    </xdr:to>
    <xdr:sp macro="" textlink="">
      <xdr:nvSpPr>
        <xdr:cNvPr id="4" name="Rectangle 3">
          <a:extLst>
            <a:ext uri="{FF2B5EF4-FFF2-40B4-BE49-F238E27FC236}">
              <a16:creationId xmlns:a16="http://schemas.microsoft.com/office/drawing/2014/main" id="{F490CE60-71C9-4E47-8E78-1DBCAF4A93E0}"/>
            </a:ext>
          </a:extLst>
        </xdr:cNvPr>
        <xdr:cNvSpPr/>
      </xdr:nvSpPr>
      <xdr:spPr>
        <a:xfrm>
          <a:off x="3063568" y="2059563"/>
          <a:ext cx="358800" cy="169287"/>
        </a:xfrm>
        <a:prstGeom prst="rect">
          <a:avLst/>
        </a:prstGeom>
        <a:solidFill>
          <a:srgbClr val="FFFF99"/>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392758</xdr:colOff>
      <xdr:row>23</xdr:row>
      <xdr:rowOff>2164</xdr:rowOff>
    </xdr:from>
    <xdr:to>
      <xdr:col>5</xdr:col>
      <xdr:colOff>86713</xdr:colOff>
      <xdr:row>24</xdr:row>
      <xdr:rowOff>0</xdr:rowOff>
    </xdr:to>
    <xdr:sp macro="" textlink="">
      <xdr:nvSpPr>
        <xdr:cNvPr id="5" name="Rectangle 4">
          <a:extLst>
            <a:ext uri="{FF2B5EF4-FFF2-40B4-BE49-F238E27FC236}">
              <a16:creationId xmlns:a16="http://schemas.microsoft.com/office/drawing/2014/main" id="{11DEE1AF-AEDD-44C3-BA73-B8CBAB26FDCD}"/>
            </a:ext>
          </a:extLst>
        </xdr:cNvPr>
        <xdr:cNvSpPr/>
      </xdr:nvSpPr>
      <xdr:spPr>
        <a:xfrm>
          <a:off x="3063568" y="3945514"/>
          <a:ext cx="358800" cy="169286"/>
        </a:xfrm>
        <a:prstGeom prst="rect">
          <a:avLst/>
        </a:prstGeom>
        <a:solidFill>
          <a:srgbClr val="FFFF99"/>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0</xdr:colOff>
      <xdr:row>13</xdr:row>
      <xdr:rowOff>0</xdr:rowOff>
    </xdr:from>
    <xdr:to>
      <xdr:col>1</xdr:col>
      <xdr:colOff>0</xdr:colOff>
      <xdr:row>14</xdr:row>
      <xdr:rowOff>2</xdr:rowOff>
    </xdr:to>
    <xdr:sp macro="" textlink="">
      <xdr:nvSpPr>
        <xdr:cNvPr id="6" name="Isosceles Triangle 5">
          <a:extLst>
            <a:ext uri="{FF2B5EF4-FFF2-40B4-BE49-F238E27FC236}">
              <a16:creationId xmlns:a16="http://schemas.microsoft.com/office/drawing/2014/main" id="{03C1F3BE-DF0E-463C-9ED3-BA9C1958A021}"/>
            </a:ext>
          </a:extLst>
        </xdr:cNvPr>
        <xdr:cNvSpPr/>
      </xdr:nvSpPr>
      <xdr:spPr>
        <a:xfrm rot="16200000">
          <a:off x="247649" y="1981201"/>
          <a:ext cx="171452" cy="66675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US"/>
        </a:p>
      </xdr:txBody>
    </xdr:sp>
    <xdr:clientData/>
  </xdr:twoCellAnchor>
  <xdr:twoCellAnchor>
    <xdr:from>
      <xdr:col>0</xdr:col>
      <xdr:colOff>0</xdr:colOff>
      <xdr:row>24</xdr:row>
      <xdr:rowOff>0</xdr:rowOff>
    </xdr:from>
    <xdr:to>
      <xdr:col>1</xdr:col>
      <xdr:colOff>0</xdr:colOff>
      <xdr:row>25</xdr:row>
      <xdr:rowOff>2</xdr:rowOff>
    </xdr:to>
    <xdr:sp macro="" textlink="">
      <xdr:nvSpPr>
        <xdr:cNvPr id="7" name="Isosceles Triangle 6">
          <a:extLst>
            <a:ext uri="{FF2B5EF4-FFF2-40B4-BE49-F238E27FC236}">
              <a16:creationId xmlns:a16="http://schemas.microsoft.com/office/drawing/2014/main" id="{68851855-F3FD-43CC-9F13-4D36BBA190A8}"/>
            </a:ext>
          </a:extLst>
        </xdr:cNvPr>
        <xdr:cNvSpPr/>
      </xdr:nvSpPr>
      <xdr:spPr>
        <a:xfrm rot="16200000">
          <a:off x="247649" y="3867151"/>
          <a:ext cx="171452" cy="66675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EC5E4-B1D8-4BF6-940B-678B69462FCF}">
  <dimension ref="A1:J57"/>
  <sheetViews>
    <sheetView tabSelected="1" topLeftCell="A25" zoomScale="115" zoomScaleNormal="115" zoomScaleSheetLayoutView="85" workbookViewId="0">
      <selection activeCell="A44" sqref="A44"/>
    </sheetView>
  </sheetViews>
  <sheetFormatPr defaultColWidth="8.6640625" defaultRowHeight="13.2" x14ac:dyDescent="0.25"/>
  <cols>
    <col min="1" max="1" width="26.6640625" customWidth="1"/>
    <col min="2" max="2" width="10.6640625" customWidth="1"/>
    <col min="3" max="3" width="29.6640625" customWidth="1"/>
    <col min="4" max="4" width="10.6640625" customWidth="1"/>
    <col min="5" max="5" width="3.6640625" customWidth="1"/>
    <col min="6" max="6" width="24.109375" bestFit="1" customWidth="1"/>
    <col min="7" max="7" width="5.6640625" customWidth="1"/>
    <col min="8" max="8" width="6" bestFit="1" customWidth="1"/>
    <col min="257" max="257" width="26.6640625" customWidth="1"/>
    <col min="258" max="258" width="10.6640625" customWidth="1"/>
    <col min="259" max="259" width="29.6640625" customWidth="1"/>
    <col min="260" max="260" width="10.6640625" customWidth="1"/>
    <col min="261" max="261" width="3.6640625" customWidth="1"/>
    <col min="262" max="262" width="24.109375" bestFit="1" customWidth="1"/>
    <col min="263" max="263" width="5.6640625" customWidth="1"/>
    <col min="264" max="264" width="6" bestFit="1" customWidth="1"/>
    <col min="513" max="513" width="26.6640625" customWidth="1"/>
    <col min="514" max="514" width="10.6640625" customWidth="1"/>
    <col min="515" max="515" width="29.6640625" customWidth="1"/>
    <col min="516" max="516" width="10.6640625" customWidth="1"/>
    <col min="517" max="517" width="3.6640625" customWidth="1"/>
    <col min="518" max="518" width="24.109375" bestFit="1" customWidth="1"/>
    <col min="519" max="519" width="5.6640625" customWidth="1"/>
    <col min="520" max="520" width="6" bestFit="1" customWidth="1"/>
    <col min="769" max="769" width="26.6640625" customWidth="1"/>
    <col min="770" max="770" width="10.6640625" customWidth="1"/>
    <col min="771" max="771" width="29.6640625" customWidth="1"/>
    <col min="772" max="772" width="10.6640625" customWidth="1"/>
    <col min="773" max="773" width="3.6640625" customWidth="1"/>
    <col min="774" max="774" width="24.109375" bestFit="1" customWidth="1"/>
    <col min="775" max="775" width="5.6640625" customWidth="1"/>
    <col min="776" max="776" width="6" bestFit="1" customWidth="1"/>
    <col min="1025" max="1025" width="26.6640625" customWidth="1"/>
    <col min="1026" max="1026" width="10.6640625" customWidth="1"/>
    <col min="1027" max="1027" width="29.6640625" customWidth="1"/>
    <col min="1028" max="1028" width="10.6640625" customWidth="1"/>
    <col min="1029" max="1029" width="3.6640625" customWidth="1"/>
    <col min="1030" max="1030" width="24.109375" bestFit="1" customWidth="1"/>
    <col min="1031" max="1031" width="5.6640625" customWidth="1"/>
    <col min="1032" max="1032" width="6" bestFit="1" customWidth="1"/>
    <col min="1281" max="1281" width="26.6640625" customWidth="1"/>
    <col min="1282" max="1282" width="10.6640625" customWidth="1"/>
    <col min="1283" max="1283" width="29.6640625" customWidth="1"/>
    <col min="1284" max="1284" width="10.6640625" customWidth="1"/>
    <col min="1285" max="1285" width="3.6640625" customWidth="1"/>
    <col min="1286" max="1286" width="24.109375" bestFit="1" customWidth="1"/>
    <col min="1287" max="1287" width="5.6640625" customWidth="1"/>
    <col min="1288" max="1288" width="6" bestFit="1" customWidth="1"/>
    <col min="1537" max="1537" width="26.6640625" customWidth="1"/>
    <col min="1538" max="1538" width="10.6640625" customWidth="1"/>
    <col min="1539" max="1539" width="29.6640625" customWidth="1"/>
    <col min="1540" max="1540" width="10.6640625" customWidth="1"/>
    <col min="1541" max="1541" width="3.6640625" customWidth="1"/>
    <col min="1542" max="1542" width="24.109375" bestFit="1" customWidth="1"/>
    <col min="1543" max="1543" width="5.6640625" customWidth="1"/>
    <col min="1544" max="1544" width="6" bestFit="1" customWidth="1"/>
    <col min="1793" max="1793" width="26.6640625" customWidth="1"/>
    <col min="1794" max="1794" width="10.6640625" customWidth="1"/>
    <col min="1795" max="1795" width="29.6640625" customWidth="1"/>
    <col min="1796" max="1796" width="10.6640625" customWidth="1"/>
    <col min="1797" max="1797" width="3.6640625" customWidth="1"/>
    <col min="1798" max="1798" width="24.109375" bestFit="1" customWidth="1"/>
    <col min="1799" max="1799" width="5.6640625" customWidth="1"/>
    <col min="1800" max="1800" width="6" bestFit="1" customWidth="1"/>
    <col min="2049" max="2049" width="26.6640625" customWidth="1"/>
    <col min="2050" max="2050" width="10.6640625" customWidth="1"/>
    <col min="2051" max="2051" width="29.6640625" customWidth="1"/>
    <col min="2052" max="2052" width="10.6640625" customWidth="1"/>
    <col min="2053" max="2053" width="3.6640625" customWidth="1"/>
    <col min="2054" max="2054" width="24.109375" bestFit="1" customWidth="1"/>
    <col min="2055" max="2055" width="5.6640625" customWidth="1"/>
    <col min="2056" max="2056" width="6" bestFit="1" customWidth="1"/>
    <col min="2305" max="2305" width="26.6640625" customWidth="1"/>
    <col min="2306" max="2306" width="10.6640625" customWidth="1"/>
    <col min="2307" max="2307" width="29.6640625" customWidth="1"/>
    <col min="2308" max="2308" width="10.6640625" customWidth="1"/>
    <col min="2309" max="2309" width="3.6640625" customWidth="1"/>
    <col min="2310" max="2310" width="24.109375" bestFit="1" customWidth="1"/>
    <col min="2311" max="2311" width="5.6640625" customWidth="1"/>
    <col min="2312" max="2312" width="6" bestFit="1" customWidth="1"/>
    <col min="2561" max="2561" width="26.6640625" customWidth="1"/>
    <col min="2562" max="2562" width="10.6640625" customWidth="1"/>
    <col min="2563" max="2563" width="29.6640625" customWidth="1"/>
    <col min="2564" max="2564" width="10.6640625" customWidth="1"/>
    <col min="2565" max="2565" width="3.6640625" customWidth="1"/>
    <col min="2566" max="2566" width="24.109375" bestFit="1" customWidth="1"/>
    <col min="2567" max="2567" width="5.6640625" customWidth="1"/>
    <col min="2568" max="2568" width="6" bestFit="1" customWidth="1"/>
    <col min="2817" max="2817" width="26.6640625" customWidth="1"/>
    <col min="2818" max="2818" width="10.6640625" customWidth="1"/>
    <col min="2819" max="2819" width="29.6640625" customWidth="1"/>
    <col min="2820" max="2820" width="10.6640625" customWidth="1"/>
    <col min="2821" max="2821" width="3.6640625" customWidth="1"/>
    <col min="2822" max="2822" width="24.109375" bestFit="1" customWidth="1"/>
    <col min="2823" max="2823" width="5.6640625" customWidth="1"/>
    <col min="2824" max="2824" width="6" bestFit="1" customWidth="1"/>
    <col min="3073" max="3073" width="26.6640625" customWidth="1"/>
    <col min="3074" max="3074" width="10.6640625" customWidth="1"/>
    <col min="3075" max="3075" width="29.6640625" customWidth="1"/>
    <col min="3076" max="3076" width="10.6640625" customWidth="1"/>
    <col min="3077" max="3077" width="3.6640625" customWidth="1"/>
    <col min="3078" max="3078" width="24.109375" bestFit="1" customWidth="1"/>
    <col min="3079" max="3079" width="5.6640625" customWidth="1"/>
    <col min="3080" max="3080" width="6" bestFit="1" customWidth="1"/>
    <col min="3329" max="3329" width="26.6640625" customWidth="1"/>
    <col min="3330" max="3330" width="10.6640625" customWidth="1"/>
    <col min="3331" max="3331" width="29.6640625" customWidth="1"/>
    <col min="3332" max="3332" width="10.6640625" customWidth="1"/>
    <col min="3333" max="3333" width="3.6640625" customWidth="1"/>
    <col min="3334" max="3334" width="24.109375" bestFit="1" customWidth="1"/>
    <col min="3335" max="3335" width="5.6640625" customWidth="1"/>
    <col min="3336" max="3336" width="6" bestFit="1" customWidth="1"/>
    <col min="3585" max="3585" width="26.6640625" customWidth="1"/>
    <col min="3586" max="3586" width="10.6640625" customWidth="1"/>
    <col min="3587" max="3587" width="29.6640625" customWidth="1"/>
    <col min="3588" max="3588" width="10.6640625" customWidth="1"/>
    <col min="3589" max="3589" width="3.6640625" customWidth="1"/>
    <col min="3590" max="3590" width="24.109375" bestFit="1" customWidth="1"/>
    <col min="3591" max="3591" width="5.6640625" customWidth="1"/>
    <col min="3592" max="3592" width="6" bestFit="1" customWidth="1"/>
    <col min="3841" max="3841" width="26.6640625" customWidth="1"/>
    <col min="3842" max="3842" width="10.6640625" customWidth="1"/>
    <col min="3843" max="3843" width="29.6640625" customWidth="1"/>
    <col min="3844" max="3844" width="10.6640625" customWidth="1"/>
    <col min="3845" max="3845" width="3.6640625" customWidth="1"/>
    <col min="3846" max="3846" width="24.109375" bestFit="1" customWidth="1"/>
    <col min="3847" max="3847" width="5.6640625" customWidth="1"/>
    <col min="3848" max="3848" width="6" bestFit="1" customWidth="1"/>
    <col min="4097" max="4097" width="26.6640625" customWidth="1"/>
    <col min="4098" max="4098" width="10.6640625" customWidth="1"/>
    <col min="4099" max="4099" width="29.6640625" customWidth="1"/>
    <col min="4100" max="4100" width="10.6640625" customWidth="1"/>
    <col min="4101" max="4101" width="3.6640625" customWidth="1"/>
    <col min="4102" max="4102" width="24.109375" bestFit="1" customWidth="1"/>
    <col min="4103" max="4103" width="5.6640625" customWidth="1"/>
    <col min="4104" max="4104" width="6" bestFit="1" customWidth="1"/>
    <col min="4353" max="4353" width="26.6640625" customWidth="1"/>
    <col min="4354" max="4354" width="10.6640625" customWidth="1"/>
    <col min="4355" max="4355" width="29.6640625" customWidth="1"/>
    <col min="4356" max="4356" width="10.6640625" customWidth="1"/>
    <col min="4357" max="4357" width="3.6640625" customWidth="1"/>
    <col min="4358" max="4358" width="24.109375" bestFit="1" customWidth="1"/>
    <col min="4359" max="4359" width="5.6640625" customWidth="1"/>
    <col min="4360" max="4360" width="6" bestFit="1" customWidth="1"/>
    <col min="4609" max="4609" width="26.6640625" customWidth="1"/>
    <col min="4610" max="4610" width="10.6640625" customWidth="1"/>
    <col min="4611" max="4611" width="29.6640625" customWidth="1"/>
    <col min="4612" max="4612" width="10.6640625" customWidth="1"/>
    <col min="4613" max="4613" width="3.6640625" customWidth="1"/>
    <col min="4614" max="4614" width="24.109375" bestFit="1" customWidth="1"/>
    <col min="4615" max="4615" width="5.6640625" customWidth="1"/>
    <col min="4616" max="4616" width="6" bestFit="1" customWidth="1"/>
    <col min="4865" max="4865" width="26.6640625" customWidth="1"/>
    <col min="4866" max="4866" width="10.6640625" customWidth="1"/>
    <col min="4867" max="4867" width="29.6640625" customWidth="1"/>
    <col min="4868" max="4868" width="10.6640625" customWidth="1"/>
    <col min="4869" max="4869" width="3.6640625" customWidth="1"/>
    <col min="4870" max="4870" width="24.109375" bestFit="1" customWidth="1"/>
    <col min="4871" max="4871" width="5.6640625" customWidth="1"/>
    <col min="4872" max="4872" width="6" bestFit="1" customWidth="1"/>
    <col min="5121" max="5121" width="26.6640625" customWidth="1"/>
    <col min="5122" max="5122" width="10.6640625" customWidth="1"/>
    <col min="5123" max="5123" width="29.6640625" customWidth="1"/>
    <col min="5124" max="5124" width="10.6640625" customWidth="1"/>
    <col min="5125" max="5125" width="3.6640625" customWidth="1"/>
    <col min="5126" max="5126" width="24.109375" bestFit="1" customWidth="1"/>
    <col min="5127" max="5127" width="5.6640625" customWidth="1"/>
    <col min="5128" max="5128" width="6" bestFit="1" customWidth="1"/>
    <col min="5377" max="5377" width="26.6640625" customWidth="1"/>
    <col min="5378" max="5378" width="10.6640625" customWidth="1"/>
    <col min="5379" max="5379" width="29.6640625" customWidth="1"/>
    <col min="5380" max="5380" width="10.6640625" customWidth="1"/>
    <col min="5381" max="5381" width="3.6640625" customWidth="1"/>
    <col min="5382" max="5382" width="24.109375" bestFit="1" customWidth="1"/>
    <col min="5383" max="5383" width="5.6640625" customWidth="1"/>
    <col min="5384" max="5384" width="6" bestFit="1" customWidth="1"/>
    <col min="5633" max="5633" width="26.6640625" customWidth="1"/>
    <col min="5634" max="5634" width="10.6640625" customWidth="1"/>
    <col min="5635" max="5635" width="29.6640625" customWidth="1"/>
    <col min="5636" max="5636" width="10.6640625" customWidth="1"/>
    <col min="5637" max="5637" width="3.6640625" customWidth="1"/>
    <col min="5638" max="5638" width="24.109375" bestFit="1" customWidth="1"/>
    <col min="5639" max="5639" width="5.6640625" customWidth="1"/>
    <col min="5640" max="5640" width="6" bestFit="1" customWidth="1"/>
    <col min="5889" max="5889" width="26.6640625" customWidth="1"/>
    <col min="5890" max="5890" width="10.6640625" customWidth="1"/>
    <col min="5891" max="5891" width="29.6640625" customWidth="1"/>
    <col min="5892" max="5892" width="10.6640625" customWidth="1"/>
    <col min="5893" max="5893" width="3.6640625" customWidth="1"/>
    <col min="5894" max="5894" width="24.109375" bestFit="1" customWidth="1"/>
    <col min="5895" max="5895" width="5.6640625" customWidth="1"/>
    <col min="5896" max="5896" width="6" bestFit="1" customWidth="1"/>
    <col min="6145" max="6145" width="26.6640625" customWidth="1"/>
    <col min="6146" max="6146" width="10.6640625" customWidth="1"/>
    <col min="6147" max="6147" width="29.6640625" customWidth="1"/>
    <col min="6148" max="6148" width="10.6640625" customWidth="1"/>
    <col min="6149" max="6149" width="3.6640625" customWidth="1"/>
    <col min="6150" max="6150" width="24.109375" bestFit="1" customWidth="1"/>
    <col min="6151" max="6151" width="5.6640625" customWidth="1"/>
    <col min="6152" max="6152" width="6" bestFit="1" customWidth="1"/>
    <col min="6401" max="6401" width="26.6640625" customWidth="1"/>
    <col min="6402" max="6402" width="10.6640625" customWidth="1"/>
    <col min="6403" max="6403" width="29.6640625" customWidth="1"/>
    <col min="6404" max="6404" width="10.6640625" customWidth="1"/>
    <col min="6405" max="6405" width="3.6640625" customWidth="1"/>
    <col min="6406" max="6406" width="24.109375" bestFit="1" customWidth="1"/>
    <col min="6407" max="6407" width="5.6640625" customWidth="1"/>
    <col min="6408" max="6408" width="6" bestFit="1" customWidth="1"/>
    <col min="6657" max="6657" width="26.6640625" customWidth="1"/>
    <col min="6658" max="6658" width="10.6640625" customWidth="1"/>
    <col min="6659" max="6659" width="29.6640625" customWidth="1"/>
    <col min="6660" max="6660" width="10.6640625" customWidth="1"/>
    <col min="6661" max="6661" width="3.6640625" customWidth="1"/>
    <col min="6662" max="6662" width="24.109375" bestFit="1" customWidth="1"/>
    <col min="6663" max="6663" width="5.6640625" customWidth="1"/>
    <col min="6664" max="6664" width="6" bestFit="1" customWidth="1"/>
    <col min="6913" max="6913" width="26.6640625" customWidth="1"/>
    <col min="6914" max="6914" width="10.6640625" customWidth="1"/>
    <col min="6915" max="6915" width="29.6640625" customWidth="1"/>
    <col min="6916" max="6916" width="10.6640625" customWidth="1"/>
    <col min="6917" max="6917" width="3.6640625" customWidth="1"/>
    <col min="6918" max="6918" width="24.109375" bestFit="1" customWidth="1"/>
    <col min="6919" max="6919" width="5.6640625" customWidth="1"/>
    <col min="6920" max="6920" width="6" bestFit="1" customWidth="1"/>
    <col min="7169" max="7169" width="26.6640625" customWidth="1"/>
    <col min="7170" max="7170" width="10.6640625" customWidth="1"/>
    <col min="7171" max="7171" width="29.6640625" customWidth="1"/>
    <col min="7172" max="7172" width="10.6640625" customWidth="1"/>
    <col min="7173" max="7173" width="3.6640625" customWidth="1"/>
    <col min="7174" max="7174" width="24.109375" bestFit="1" customWidth="1"/>
    <col min="7175" max="7175" width="5.6640625" customWidth="1"/>
    <col min="7176" max="7176" width="6" bestFit="1" customWidth="1"/>
    <col min="7425" max="7425" width="26.6640625" customWidth="1"/>
    <col min="7426" max="7426" width="10.6640625" customWidth="1"/>
    <col min="7427" max="7427" width="29.6640625" customWidth="1"/>
    <col min="7428" max="7428" width="10.6640625" customWidth="1"/>
    <col min="7429" max="7429" width="3.6640625" customWidth="1"/>
    <col min="7430" max="7430" width="24.109375" bestFit="1" customWidth="1"/>
    <col min="7431" max="7431" width="5.6640625" customWidth="1"/>
    <col min="7432" max="7432" width="6" bestFit="1" customWidth="1"/>
    <col min="7681" max="7681" width="26.6640625" customWidth="1"/>
    <col min="7682" max="7682" width="10.6640625" customWidth="1"/>
    <col min="7683" max="7683" width="29.6640625" customWidth="1"/>
    <col min="7684" max="7684" width="10.6640625" customWidth="1"/>
    <col min="7685" max="7685" width="3.6640625" customWidth="1"/>
    <col min="7686" max="7686" width="24.109375" bestFit="1" customWidth="1"/>
    <col min="7687" max="7687" width="5.6640625" customWidth="1"/>
    <col min="7688" max="7688" width="6" bestFit="1" customWidth="1"/>
    <col min="7937" max="7937" width="26.6640625" customWidth="1"/>
    <col min="7938" max="7938" width="10.6640625" customWidth="1"/>
    <col min="7939" max="7939" width="29.6640625" customWidth="1"/>
    <col min="7940" max="7940" width="10.6640625" customWidth="1"/>
    <col min="7941" max="7941" width="3.6640625" customWidth="1"/>
    <col min="7942" max="7942" width="24.109375" bestFit="1" customWidth="1"/>
    <col min="7943" max="7943" width="5.6640625" customWidth="1"/>
    <col min="7944" max="7944" width="6" bestFit="1" customWidth="1"/>
    <col min="8193" max="8193" width="26.6640625" customWidth="1"/>
    <col min="8194" max="8194" width="10.6640625" customWidth="1"/>
    <col min="8195" max="8195" width="29.6640625" customWidth="1"/>
    <col min="8196" max="8196" width="10.6640625" customWidth="1"/>
    <col min="8197" max="8197" width="3.6640625" customWidth="1"/>
    <col min="8198" max="8198" width="24.109375" bestFit="1" customWidth="1"/>
    <col min="8199" max="8199" width="5.6640625" customWidth="1"/>
    <col min="8200" max="8200" width="6" bestFit="1" customWidth="1"/>
    <col min="8449" max="8449" width="26.6640625" customWidth="1"/>
    <col min="8450" max="8450" width="10.6640625" customWidth="1"/>
    <col min="8451" max="8451" width="29.6640625" customWidth="1"/>
    <col min="8452" max="8452" width="10.6640625" customWidth="1"/>
    <col min="8453" max="8453" width="3.6640625" customWidth="1"/>
    <col min="8454" max="8454" width="24.109375" bestFit="1" customWidth="1"/>
    <col min="8455" max="8455" width="5.6640625" customWidth="1"/>
    <col min="8456" max="8456" width="6" bestFit="1" customWidth="1"/>
    <col min="8705" max="8705" width="26.6640625" customWidth="1"/>
    <col min="8706" max="8706" width="10.6640625" customWidth="1"/>
    <col min="8707" max="8707" width="29.6640625" customWidth="1"/>
    <col min="8708" max="8708" width="10.6640625" customWidth="1"/>
    <col min="8709" max="8709" width="3.6640625" customWidth="1"/>
    <col min="8710" max="8710" width="24.109375" bestFit="1" customWidth="1"/>
    <col min="8711" max="8711" width="5.6640625" customWidth="1"/>
    <col min="8712" max="8712" width="6" bestFit="1" customWidth="1"/>
    <col min="8961" max="8961" width="26.6640625" customWidth="1"/>
    <col min="8962" max="8962" width="10.6640625" customWidth="1"/>
    <col min="8963" max="8963" width="29.6640625" customWidth="1"/>
    <col min="8964" max="8964" width="10.6640625" customWidth="1"/>
    <col min="8965" max="8965" width="3.6640625" customWidth="1"/>
    <col min="8966" max="8966" width="24.109375" bestFit="1" customWidth="1"/>
    <col min="8967" max="8967" width="5.6640625" customWidth="1"/>
    <col min="8968" max="8968" width="6" bestFit="1" customWidth="1"/>
    <col min="9217" max="9217" width="26.6640625" customWidth="1"/>
    <col min="9218" max="9218" width="10.6640625" customWidth="1"/>
    <col min="9219" max="9219" width="29.6640625" customWidth="1"/>
    <col min="9220" max="9220" width="10.6640625" customWidth="1"/>
    <col min="9221" max="9221" width="3.6640625" customWidth="1"/>
    <col min="9222" max="9222" width="24.109375" bestFit="1" customWidth="1"/>
    <col min="9223" max="9223" width="5.6640625" customWidth="1"/>
    <col min="9224" max="9224" width="6" bestFit="1" customWidth="1"/>
    <col min="9473" max="9473" width="26.6640625" customWidth="1"/>
    <col min="9474" max="9474" width="10.6640625" customWidth="1"/>
    <col min="9475" max="9475" width="29.6640625" customWidth="1"/>
    <col min="9476" max="9476" width="10.6640625" customWidth="1"/>
    <col min="9477" max="9477" width="3.6640625" customWidth="1"/>
    <col min="9478" max="9478" width="24.109375" bestFit="1" customWidth="1"/>
    <col min="9479" max="9479" width="5.6640625" customWidth="1"/>
    <col min="9480" max="9480" width="6" bestFit="1" customWidth="1"/>
    <col min="9729" max="9729" width="26.6640625" customWidth="1"/>
    <col min="9730" max="9730" width="10.6640625" customWidth="1"/>
    <col min="9731" max="9731" width="29.6640625" customWidth="1"/>
    <col min="9732" max="9732" width="10.6640625" customWidth="1"/>
    <col min="9733" max="9733" width="3.6640625" customWidth="1"/>
    <col min="9734" max="9734" width="24.109375" bestFit="1" customWidth="1"/>
    <col min="9735" max="9735" width="5.6640625" customWidth="1"/>
    <col min="9736" max="9736" width="6" bestFit="1" customWidth="1"/>
    <col min="9985" max="9985" width="26.6640625" customWidth="1"/>
    <col min="9986" max="9986" width="10.6640625" customWidth="1"/>
    <col min="9987" max="9987" width="29.6640625" customWidth="1"/>
    <col min="9988" max="9988" width="10.6640625" customWidth="1"/>
    <col min="9989" max="9989" width="3.6640625" customWidth="1"/>
    <col min="9990" max="9990" width="24.109375" bestFit="1" customWidth="1"/>
    <col min="9991" max="9991" width="5.6640625" customWidth="1"/>
    <col min="9992" max="9992" width="6" bestFit="1" customWidth="1"/>
    <col min="10241" max="10241" width="26.6640625" customWidth="1"/>
    <col min="10242" max="10242" width="10.6640625" customWidth="1"/>
    <col min="10243" max="10243" width="29.6640625" customWidth="1"/>
    <col min="10244" max="10244" width="10.6640625" customWidth="1"/>
    <col min="10245" max="10245" width="3.6640625" customWidth="1"/>
    <col min="10246" max="10246" width="24.109375" bestFit="1" customWidth="1"/>
    <col min="10247" max="10247" width="5.6640625" customWidth="1"/>
    <col min="10248" max="10248" width="6" bestFit="1" customWidth="1"/>
    <col min="10497" max="10497" width="26.6640625" customWidth="1"/>
    <col min="10498" max="10498" width="10.6640625" customWidth="1"/>
    <col min="10499" max="10499" width="29.6640625" customWidth="1"/>
    <col min="10500" max="10500" width="10.6640625" customWidth="1"/>
    <col min="10501" max="10501" width="3.6640625" customWidth="1"/>
    <col min="10502" max="10502" width="24.109375" bestFit="1" customWidth="1"/>
    <col min="10503" max="10503" width="5.6640625" customWidth="1"/>
    <col min="10504" max="10504" width="6" bestFit="1" customWidth="1"/>
    <col min="10753" max="10753" width="26.6640625" customWidth="1"/>
    <col min="10754" max="10754" width="10.6640625" customWidth="1"/>
    <col min="10755" max="10755" width="29.6640625" customWidth="1"/>
    <col min="10756" max="10756" width="10.6640625" customWidth="1"/>
    <col min="10757" max="10757" width="3.6640625" customWidth="1"/>
    <col min="10758" max="10758" width="24.109375" bestFit="1" customWidth="1"/>
    <col min="10759" max="10759" width="5.6640625" customWidth="1"/>
    <col min="10760" max="10760" width="6" bestFit="1" customWidth="1"/>
    <col min="11009" max="11009" width="26.6640625" customWidth="1"/>
    <col min="11010" max="11010" width="10.6640625" customWidth="1"/>
    <col min="11011" max="11011" width="29.6640625" customWidth="1"/>
    <col min="11012" max="11012" width="10.6640625" customWidth="1"/>
    <col min="11013" max="11013" width="3.6640625" customWidth="1"/>
    <col min="11014" max="11014" width="24.109375" bestFit="1" customWidth="1"/>
    <col min="11015" max="11015" width="5.6640625" customWidth="1"/>
    <col min="11016" max="11016" width="6" bestFit="1" customWidth="1"/>
    <col min="11265" max="11265" width="26.6640625" customWidth="1"/>
    <col min="11266" max="11266" width="10.6640625" customWidth="1"/>
    <col min="11267" max="11267" width="29.6640625" customWidth="1"/>
    <col min="11268" max="11268" width="10.6640625" customWidth="1"/>
    <col min="11269" max="11269" width="3.6640625" customWidth="1"/>
    <col min="11270" max="11270" width="24.109375" bestFit="1" customWidth="1"/>
    <col min="11271" max="11271" width="5.6640625" customWidth="1"/>
    <col min="11272" max="11272" width="6" bestFit="1" customWidth="1"/>
    <col min="11521" max="11521" width="26.6640625" customWidth="1"/>
    <col min="11522" max="11522" width="10.6640625" customWidth="1"/>
    <col min="11523" max="11523" width="29.6640625" customWidth="1"/>
    <col min="11524" max="11524" width="10.6640625" customWidth="1"/>
    <col min="11525" max="11525" width="3.6640625" customWidth="1"/>
    <col min="11526" max="11526" width="24.109375" bestFit="1" customWidth="1"/>
    <col min="11527" max="11527" width="5.6640625" customWidth="1"/>
    <col min="11528" max="11528" width="6" bestFit="1" customWidth="1"/>
    <col min="11777" max="11777" width="26.6640625" customWidth="1"/>
    <col min="11778" max="11778" width="10.6640625" customWidth="1"/>
    <col min="11779" max="11779" width="29.6640625" customWidth="1"/>
    <col min="11780" max="11780" width="10.6640625" customWidth="1"/>
    <col min="11781" max="11781" width="3.6640625" customWidth="1"/>
    <col min="11782" max="11782" width="24.109375" bestFit="1" customWidth="1"/>
    <col min="11783" max="11783" width="5.6640625" customWidth="1"/>
    <col min="11784" max="11784" width="6" bestFit="1" customWidth="1"/>
    <col min="12033" max="12033" width="26.6640625" customWidth="1"/>
    <col min="12034" max="12034" width="10.6640625" customWidth="1"/>
    <col min="12035" max="12035" width="29.6640625" customWidth="1"/>
    <col min="12036" max="12036" width="10.6640625" customWidth="1"/>
    <col min="12037" max="12037" width="3.6640625" customWidth="1"/>
    <col min="12038" max="12038" width="24.109375" bestFit="1" customWidth="1"/>
    <col min="12039" max="12039" width="5.6640625" customWidth="1"/>
    <col min="12040" max="12040" width="6" bestFit="1" customWidth="1"/>
    <col min="12289" max="12289" width="26.6640625" customWidth="1"/>
    <col min="12290" max="12290" width="10.6640625" customWidth="1"/>
    <col min="12291" max="12291" width="29.6640625" customWidth="1"/>
    <col min="12292" max="12292" width="10.6640625" customWidth="1"/>
    <col min="12293" max="12293" width="3.6640625" customWidth="1"/>
    <col min="12294" max="12294" width="24.109375" bestFit="1" customWidth="1"/>
    <col min="12295" max="12295" width="5.6640625" customWidth="1"/>
    <col min="12296" max="12296" width="6" bestFit="1" customWidth="1"/>
    <col min="12545" max="12545" width="26.6640625" customWidth="1"/>
    <col min="12546" max="12546" width="10.6640625" customWidth="1"/>
    <col min="12547" max="12547" width="29.6640625" customWidth="1"/>
    <col min="12548" max="12548" width="10.6640625" customWidth="1"/>
    <col min="12549" max="12549" width="3.6640625" customWidth="1"/>
    <col min="12550" max="12550" width="24.109375" bestFit="1" customWidth="1"/>
    <col min="12551" max="12551" width="5.6640625" customWidth="1"/>
    <col min="12552" max="12552" width="6" bestFit="1" customWidth="1"/>
    <col min="12801" max="12801" width="26.6640625" customWidth="1"/>
    <col min="12802" max="12802" width="10.6640625" customWidth="1"/>
    <col min="12803" max="12803" width="29.6640625" customWidth="1"/>
    <col min="12804" max="12804" width="10.6640625" customWidth="1"/>
    <col min="12805" max="12805" width="3.6640625" customWidth="1"/>
    <col min="12806" max="12806" width="24.109375" bestFit="1" customWidth="1"/>
    <col min="12807" max="12807" width="5.6640625" customWidth="1"/>
    <col min="12808" max="12808" width="6" bestFit="1" customWidth="1"/>
    <col min="13057" max="13057" width="26.6640625" customWidth="1"/>
    <col min="13058" max="13058" width="10.6640625" customWidth="1"/>
    <col min="13059" max="13059" width="29.6640625" customWidth="1"/>
    <col min="13060" max="13060" width="10.6640625" customWidth="1"/>
    <col min="13061" max="13061" width="3.6640625" customWidth="1"/>
    <col min="13062" max="13062" width="24.109375" bestFit="1" customWidth="1"/>
    <col min="13063" max="13063" width="5.6640625" customWidth="1"/>
    <col min="13064" max="13064" width="6" bestFit="1" customWidth="1"/>
    <col min="13313" max="13313" width="26.6640625" customWidth="1"/>
    <col min="13314" max="13314" width="10.6640625" customWidth="1"/>
    <col min="13315" max="13315" width="29.6640625" customWidth="1"/>
    <col min="13316" max="13316" width="10.6640625" customWidth="1"/>
    <col min="13317" max="13317" width="3.6640625" customWidth="1"/>
    <col min="13318" max="13318" width="24.109375" bestFit="1" customWidth="1"/>
    <col min="13319" max="13319" width="5.6640625" customWidth="1"/>
    <col min="13320" max="13320" width="6" bestFit="1" customWidth="1"/>
    <col min="13569" max="13569" width="26.6640625" customWidth="1"/>
    <col min="13570" max="13570" width="10.6640625" customWidth="1"/>
    <col min="13571" max="13571" width="29.6640625" customWidth="1"/>
    <col min="13572" max="13572" width="10.6640625" customWidth="1"/>
    <col min="13573" max="13573" width="3.6640625" customWidth="1"/>
    <col min="13574" max="13574" width="24.109375" bestFit="1" customWidth="1"/>
    <col min="13575" max="13575" width="5.6640625" customWidth="1"/>
    <col min="13576" max="13576" width="6" bestFit="1" customWidth="1"/>
    <col min="13825" max="13825" width="26.6640625" customWidth="1"/>
    <col min="13826" max="13826" width="10.6640625" customWidth="1"/>
    <col min="13827" max="13827" width="29.6640625" customWidth="1"/>
    <col min="13828" max="13828" width="10.6640625" customWidth="1"/>
    <col min="13829" max="13829" width="3.6640625" customWidth="1"/>
    <col min="13830" max="13830" width="24.109375" bestFit="1" customWidth="1"/>
    <col min="13831" max="13831" width="5.6640625" customWidth="1"/>
    <col min="13832" max="13832" width="6" bestFit="1" customWidth="1"/>
    <col min="14081" max="14081" width="26.6640625" customWidth="1"/>
    <col min="14082" max="14082" width="10.6640625" customWidth="1"/>
    <col min="14083" max="14083" width="29.6640625" customWidth="1"/>
    <col min="14084" max="14084" width="10.6640625" customWidth="1"/>
    <col min="14085" max="14085" width="3.6640625" customWidth="1"/>
    <col min="14086" max="14086" width="24.109375" bestFit="1" customWidth="1"/>
    <col min="14087" max="14087" width="5.6640625" customWidth="1"/>
    <col min="14088" max="14088" width="6" bestFit="1" customWidth="1"/>
    <col min="14337" max="14337" width="26.6640625" customWidth="1"/>
    <col min="14338" max="14338" width="10.6640625" customWidth="1"/>
    <col min="14339" max="14339" width="29.6640625" customWidth="1"/>
    <col min="14340" max="14340" width="10.6640625" customWidth="1"/>
    <col min="14341" max="14341" width="3.6640625" customWidth="1"/>
    <col min="14342" max="14342" width="24.109375" bestFit="1" customWidth="1"/>
    <col min="14343" max="14343" width="5.6640625" customWidth="1"/>
    <col min="14344" max="14344" width="6" bestFit="1" customWidth="1"/>
    <col min="14593" max="14593" width="26.6640625" customWidth="1"/>
    <col min="14594" max="14594" width="10.6640625" customWidth="1"/>
    <col min="14595" max="14595" width="29.6640625" customWidth="1"/>
    <col min="14596" max="14596" width="10.6640625" customWidth="1"/>
    <col min="14597" max="14597" width="3.6640625" customWidth="1"/>
    <col min="14598" max="14598" width="24.109375" bestFit="1" customWidth="1"/>
    <col min="14599" max="14599" width="5.6640625" customWidth="1"/>
    <col min="14600" max="14600" width="6" bestFit="1" customWidth="1"/>
    <col min="14849" max="14849" width="26.6640625" customWidth="1"/>
    <col min="14850" max="14850" width="10.6640625" customWidth="1"/>
    <col min="14851" max="14851" width="29.6640625" customWidth="1"/>
    <col min="14852" max="14852" width="10.6640625" customWidth="1"/>
    <col min="14853" max="14853" width="3.6640625" customWidth="1"/>
    <col min="14854" max="14854" width="24.109375" bestFit="1" customWidth="1"/>
    <col min="14855" max="14855" width="5.6640625" customWidth="1"/>
    <col min="14856" max="14856" width="6" bestFit="1" customWidth="1"/>
    <col min="15105" max="15105" width="26.6640625" customWidth="1"/>
    <col min="15106" max="15106" width="10.6640625" customWidth="1"/>
    <col min="15107" max="15107" width="29.6640625" customWidth="1"/>
    <col min="15108" max="15108" width="10.6640625" customWidth="1"/>
    <col min="15109" max="15109" width="3.6640625" customWidth="1"/>
    <col min="15110" max="15110" width="24.109375" bestFit="1" customWidth="1"/>
    <col min="15111" max="15111" width="5.6640625" customWidth="1"/>
    <col min="15112" max="15112" width="6" bestFit="1" customWidth="1"/>
    <col min="15361" max="15361" width="26.6640625" customWidth="1"/>
    <col min="15362" max="15362" width="10.6640625" customWidth="1"/>
    <col min="15363" max="15363" width="29.6640625" customWidth="1"/>
    <col min="15364" max="15364" width="10.6640625" customWidth="1"/>
    <col min="15365" max="15365" width="3.6640625" customWidth="1"/>
    <col min="15366" max="15366" width="24.109375" bestFit="1" customWidth="1"/>
    <col min="15367" max="15367" width="5.6640625" customWidth="1"/>
    <col min="15368" max="15368" width="6" bestFit="1" customWidth="1"/>
    <col min="15617" max="15617" width="26.6640625" customWidth="1"/>
    <col min="15618" max="15618" width="10.6640625" customWidth="1"/>
    <col min="15619" max="15619" width="29.6640625" customWidth="1"/>
    <col min="15620" max="15620" width="10.6640625" customWidth="1"/>
    <col min="15621" max="15621" width="3.6640625" customWidth="1"/>
    <col min="15622" max="15622" width="24.109375" bestFit="1" customWidth="1"/>
    <col min="15623" max="15623" width="5.6640625" customWidth="1"/>
    <col min="15624" max="15624" width="6" bestFit="1" customWidth="1"/>
    <col min="15873" max="15873" width="26.6640625" customWidth="1"/>
    <col min="15874" max="15874" width="10.6640625" customWidth="1"/>
    <col min="15875" max="15875" width="29.6640625" customWidth="1"/>
    <col min="15876" max="15876" width="10.6640625" customWidth="1"/>
    <col min="15877" max="15877" width="3.6640625" customWidth="1"/>
    <col min="15878" max="15878" width="24.109375" bestFit="1" customWidth="1"/>
    <col min="15879" max="15879" width="5.6640625" customWidth="1"/>
    <col min="15880" max="15880" width="6" bestFit="1" customWidth="1"/>
    <col min="16129" max="16129" width="26.6640625" customWidth="1"/>
    <col min="16130" max="16130" width="10.6640625" customWidth="1"/>
    <col min="16131" max="16131" width="29.6640625" customWidth="1"/>
    <col min="16132" max="16132" width="10.6640625" customWidth="1"/>
    <col min="16133" max="16133" width="3.6640625" customWidth="1"/>
    <col min="16134" max="16134" width="24.109375" bestFit="1" customWidth="1"/>
    <col min="16135" max="16135" width="5.6640625" customWidth="1"/>
    <col min="16136" max="16136" width="6" bestFit="1" customWidth="1"/>
  </cols>
  <sheetData>
    <row r="1" spans="1:10" ht="16.2" thickBot="1" x14ac:dyDescent="0.35">
      <c r="C1" s="243"/>
      <c r="D1" s="244" t="s">
        <v>175</v>
      </c>
      <c r="E1" s="245" t="s">
        <v>176</v>
      </c>
      <c r="F1" s="245"/>
      <c r="G1" s="245"/>
      <c r="H1" s="245"/>
    </row>
    <row r="2" spans="1:10" ht="16.95" customHeight="1" x14ac:dyDescent="0.3">
      <c r="A2" s="246" t="s">
        <v>177</v>
      </c>
      <c r="B2" s="247" t="s">
        <v>178</v>
      </c>
      <c r="C2" s="248" t="s">
        <v>179</v>
      </c>
      <c r="D2" s="194" t="str">
        <f>IF(D19="","","NA")</f>
        <v/>
      </c>
      <c r="E2" s="249"/>
      <c r="F2" s="249"/>
      <c r="G2" s="249"/>
      <c r="H2" s="249"/>
      <c r="I2" s="249"/>
      <c r="J2" s="250"/>
    </row>
    <row r="3" spans="1:10" ht="16.95" customHeight="1" x14ac:dyDescent="0.25">
      <c r="A3" s="251"/>
      <c r="B3" s="252"/>
      <c r="C3" s="253" t="s">
        <v>180</v>
      </c>
      <c r="D3" s="194" t="str">
        <f>IF(D19="","","NA")</f>
        <v/>
      </c>
      <c r="E3" s="249"/>
      <c r="F3" s="249"/>
      <c r="G3" s="249"/>
      <c r="H3" s="249"/>
      <c r="I3" s="249"/>
      <c r="J3" s="250"/>
    </row>
    <row r="4" spans="1:10" ht="16.95" customHeight="1" x14ac:dyDescent="0.25">
      <c r="A4" s="254"/>
      <c r="B4" s="252"/>
      <c r="C4" s="255" t="s">
        <v>181</v>
      </c>
      <c r="D4" s="194" t="str">
        <f>IF(D19="","","NA")</f>
        <v/>
      </c>
      <c r="E4" s="249"/>
      <c r="F4" s="249"/>
      <c r="G4" s="249"/>
      <c r="H4" s="249"/>
      <c r="I4" s="249"/>
      <c r="J4" s="250"/>
    </row>
    <row r="5" spans="1:10" ht="16.95" customHeight="1" x14ac:dyDescent="0.3">
      <c r="A5" s="256" t="s">
        <v>182</v>
      </c>
      <c r="B5" s="252"/>
      <c r="C5" s="253" t="s">
        <v>183</v>
      </c>
      <c r="D5" s="194" t="str">
        <f>IF(D19="","","NA")</f>
        <v/>
      </c>
      <c r="E5" s="249"/>
      <c r="F5" s="249"/>
      <c r="G5" s="249"/>
      <c r="H5" s="249"/>
      <c r="I5" s="249"/>
      <c r="J5" s="250"/>
    </row>
    <row r="6" spans="1:10" ht="16.95" customHeight="1" x14ac:dyDescent="0.25">
      <c r="A6" s="251"/>
      <c r="B6" s="252"/>
      <c r="C6" s="253" t="s">
        <v>184</v>
      </c>
      <c r="D6" s="194" t="str">
        <f>IF(D19="","","NA")</f>
        <v/>
      </c>
      <c r="E6" s="249"/>
      <c r="F6" s="249"/>
      <c r="G6" s="249"/>
      <c r="H6" s="249"/>
      <c r="I6" s="249"/>
      <c r="J6" s="250"/>
    </row>
    <row r="7" spans="1:10" ht="16.95" customHeight="1" x14ac:dyDescent="0.25">
      <c r="A7" s="254"/>
      <c r="B7" s="257"/>
      <c r="C7" s="258" t="s">
        <v>185</v>
      </c>
      <c r="D7" s="194" t="str">
        <f>IF(D19="","","NA")</f>
        <v/>
      </c>
      <c r="E7" s="249"/>
      <c r="F7" s="249"/>
      <c r="G7" s="249"/>
      <c r="H7" s="249"/>
      <c r="I7" s="249"/>
      <c r="J7" s="250"/>
    </row>
    <row r="8" spans="1:10" ht="16.95" customHeight="1" x14ac:dyDescent="0.3">
      <c r="A8" s="256" t="s">
        <v>186</v>
      </c>
      <c r="B8" s="259" t="s">
        <v>187</v>
      </c>
      <c r="C8" s="260" t="s">
        <v>188</v>
      </c>
      <c r="D8" s="194" t="str">
        <f>IF(D19="","","NA")</f>
        <v/>
      </c>
      <c r="E8" s="249"/>
      <c r="F8" s="249"/>
      <c r="G8" s="249"/>
      <c r="H8" s="249"/>
      <c r="I8" s="249"/>
      <c r="J8" s="250"/>
    </row>
    <row r="9" spans="1:10" ht="16.95" customHeight="1" x14ac:dyDescent="0.25">
      <c r="A9" s="261"/>
      <c r="B9" s="262"/>
      <c r="C9" s="263" t="s">
        <v>189</v>
      </c>
      <c r="D9" s="194" t="str">
        <f>IF(D19="","","NA")</f>
        <v/>
      </c>
      <c r="E9" s="249"/>
      <c r="F9" s="249"/>
      <c r="G9" s="249"/>
      <c r="H9" s="249"/>
      <c r="I9" s="249"/>
      <c r="J9" s="250"/>
    </row>
    <row r="10" spans="1:10" ht="16.95" customHeight="1" x14ac:dyDescent="0.25">
      <c r="A10" s="264"/>
      <c r="B10" s="265"/>
      <c r="C10" s="266" t="s">
        <v>190</v>
      </c>
      <c r="D10" s="194" t="str">
        <f>IF(D19="","","NA")</f>
        <v/>
      </c>
      <c r="E10" s="249"/>
      <c r="F10" s="249"/>
      <c r="G10" s="249"/>
      <c r="H10" s="249"/>
      <c r="I10" s="249"/>
      <c r="J10" s="250"/>
    </row>
    <row r="11" spans="1:10" ht="16.95" customHeight="1" x14ac:dyDescent="0.3">
      <c r="A11" s="256" t="s">
        <v>191</v>
      </c>
      <c r="B11" s="267" t="s">
        <v>192</v>
      </c>
      <c r="C11" s="268" t="s">
        <v>193</v>
      </c>
      <c r="D11" s="194" t="str">
        <f>IF(D19="","","NA")</f>
        <v/>
      </c>
      <c r="E11" s="249"/>
      <c r="F11" s="249"/>
      <c r="G11" s="249"/>
      <c r="H11" s="249"/>
      <c r="I11" s="249"/>
      <c r="J11" s="250"/>
    </row>
    <row r="12" spans="1:10" ht="16.95" customHeight="1" x14ac:dyDescent="0.25">
      <c r="A12" s="251"/>
      <c r="B12" s="269"/>
      <c r="C12" s="270" t="s">
        <v>194</v>
      </c>
      <c r="D12" s="194" t="str">
        <f>IF(D19="","","NA")</f>
        <v/>
      </c>
      <c r="E12" s="249"/>
      <c r="F12" s="249"/>
      <c r="G12" s="249"/>
      <c r="H12" s="249"/>
      <c r="I12" s="249"/>
      <c r="J12" s="250"/>
    </row>
    <row r="13" spans="1:10" ht="16.95" customHeight="1" thickBot="1" x14ac:dyDescent="0.3">
      <c r="A13" s="271"/>
      <c r="B13" s="269"/>
      <c r="C13" s="272" t="s">
        <v>195</v>
      </c>
      <c r="D13" s="194" t="str">
        <f>IF(D19="","","NA")</f>
        <v/>
      </c>
      <c r="E13" s="249"/>
      <c r="F13" s="249"/>
      <c r="G13" s="249"/>
      <c r="H13" s="249"/>
      <c r="I13" s="249"/>
      <c r="J13" s="250"/>
    </row>
    <row r="14" spans="1:10" ht="16.95" customHeight="1" x14ac:dyDescent="0.25">
      <c r="A14" s="273"/>
      <c r="B14" s="274" t="s">
        <v>196</v>
      </c>
      <c r="C14" s="275" t="s">
        <v>197</v>
      </c>
      <c r="D14" s="194" t="str">
        <f>IF(D19="","","NA")</f>
        <v/>
      </c>
      <c r="E14" s="249"/>
      <c r="F14" s="249"/>
      <c r="G14" s="249"/>
      <c r="H14" s="249"/>
      <c r="I14" s="249"/>
      <c r="J14" s="250"/>
    </row>
    <row r="15" spans="1:10" ht="16.95" customHeight="1" x14ac:dyDescent="0.25">
      <c r="B15" s="276"/>
      <c r="C15" s="277" t="s">
        <v>198</v>
      </c>
      <c r="D15" s="194" t="str">
        <f>IF(D19="","","NA")</f>
        <v/>
      </c>
      <c r="E15" s="249"/>
      <c r="F15" s="249"/>
      <c r="G15" s="249"/>
      <c r="H15" s="249"/>
      <c r="I15" s="249"/>
      <c r="J15" s="250"/>
    </row>
    <row r="16" spans="1:10" ht="16.95" customHeight="1" x14ac:dyDescent="0.25">
      <c r="B16" s="276"/>
      <c r="C16" s="277" t="s">
        <v>199</v>
      </c>
      <c r="D16" s="194" t="str">
        <f>IF(D19="","","NA")</f>
        <v/>
      </c>
      <c r="E16" s="249"/>
      <c r="F16" s="249"/>
      <c r="G16" s="249"/>
      <c r="H16" s="249"/>
      <c r="I16" s="249"/>
      <c r="J16" s="250"/>
    </row>
    <row r="17" spans="1:10" ht="16.95" customHeight="1" x14ac:dyDescent="0.25">
      <c r="B17" s="278"/>
      <c r="C17" s="279" t="s">
        <v>190</v>
      </c>
      <c r="D17" s="194" t="str">
        <f>IF(D19="","","NA")</f>
        <v/>
      </c>
      <c r="E17" s="249"/>
      <c r="F17" s="249"/>
      <c r="G17" s="249"/>
      <c r="H17" s="249"/>
      <c r="I17" s="249"/>
      <c r="J17" s="250"/>
    </row>
    <row r="18" spans="1:10" ht="16.95" customHeight="1" x14ac:dyDescent="0.25">
      <c r="B18" s="280"/>
      <c r="C18" s="281"/>
      <c r="D18" s="282"/>
      <c r="E18" s="273"/>
      <c r="F18" s="273"/>
      <c r="G18" s="273"/>
      <c r="H18" s="273"/>
      <c r="I18" s="273"/>
      <c r="J18" s="273"/>
    </row>
    <row r="19" spans="1:10" ht="16.95" customHeight="1" x14ac:dyDescent="0.25">
      <c r="B19" s="283" t="s">
        <v>200</v>
      </c>
      <c r="C19" s="284"/>
      <c r="D19" s="285"/>
      <c r="E19" s="273"/>
      <c r="F19" s="273"/>
      <c r="G19" s="273"/>
      <c r="H19" s="273"/>
      <c r="I19" s="273"/>
      <c r="J19" s="273"/>
    </row>
    <row r="21" spans="1:10" s="293" customFormat="1" ht="16.2" customHeight="1" x14ac:dyDescent="0.25">
      <c r="A21" s="286" t="s">
        <v>201</v>
      </c>
      <c r="B21" s="287"/>
      <c r="C21" s="288" t="s">
        <v>202</v>
      </c>
      <c r="D21" s="289"/>
      <c r="E21"/>
      <c r="F21" s="290" t="s">
        <v>203</v>
      </c>
      <c r="G21" s="291"/>
      <c r="H21" s="292" t="s">
        <v>204</v>
      </c>
    </row>
    <row r="22" spans="1:10" s="293" customFormat="1" ht="16.2" customHeight="1" x14ac:dyDescent="0.25">
      <c r="A22" s="294" t="s">
        <v>205</v>
      </c>
      <c r="B22" s="295">
        <v>1023</v>
      </c>
      <c r="C22" s="294" t="s">
        <v>206</v>
      </c>
      <c r="D22" s="296">
        <v>85.897000000000006</v>
      </c>
      <c r="E22"/>
      <c r="F22" s="297" t="s">
        <v>207</v>
      </c>
      <c r="G22" s="298"/>
      <c r="H22" s="299">
        <f>G22*180/PI()</f>
        <v>0</v>
      </c>
    </row>
    <row r="23" spans="1:10" s="293" customFormat="1" ht="16.2" customHeight="1" x14ac:dyDescent="0.25">
      <c r="A23" s="294" t="s">
        <v>208</v>
      </c>
      <c r="B23" s="300">
        <v>23</v>
      </c>
      <c r="C23" s="294" t="s">
        <v>209</v>
      </c>
      <c r="D23" s="301">
        <v>88</v>
      </c>
      <c r="E23"/>
      <c r="F23" s="297" t="s">
        <v>210</v>
      </c>
      <c r="G23" s="298"/>
      <c r="H23" s="299">
        <f>G23*180/PI()</f>
        <v>0</v>
      </c>
    </row>
    <row r="24" spans="1:10" s="293" customFormat="1" ht="16.2" customHeight="1" x14ac:dyDescent="0.25">
      <c r="A24" s="294" t="s">
        <v>211</v>
      </c>
      <c r="B24" s="295">
        <f>F41</f>
        <v>-694</v>
      </c>
      <c r="C24" s="294" t="s">
        <v>212</v>
      </c>
      <c r="D24" s="302">
        <f>D23/D22 * 1000</f>
        <v>1024.4828108082936</v>
      </c>
      <c r="E24"/>
      <c r="F24" s="297" t="s">
        <v>35</v>
      </c>
      <c r="G24" s="303">
        <f>G22-G23</f>
        <v>0</v>
      </c>
      <c r="H24" s="299">
        <f>G24*180/PI()</f>
        <v>0</v>
      </c>
    </row>
    <row r="25" spans="1:10" s="293" customFormat="1" ht="16.2" customHeight="1" x14ac:dyDescent="0.25">
      <c r="A25" s="304" t="s">
        <v>213</v>
      </c>
      <c r="B25" s="305"/>
      <c r="C25" s="306" t="s">
        <v>214</v>
      </c>
      <c r="D25" s="307"/>
      <c r="E25"/>
      <c r="F25" s="297" t="s">
        <v>215</v>
      </c>
      <c r="G25" s="298"/>
      <c r="H25" s="308"/>
    </row>
    <row r="26" spans="1:10" s="310" customFormat="1" ht="16.2" customHeight="1" x14ac:dyDescent="0.25">
      <c r="A26" s="294" t="s">
        <v>216</v>
      </c>
      <c r="B26" s="300">
        <v>1023</v>
      </c>
      <c r="C26" s="294" t="s">
        <v>217</v>
      </c>
      <c r="D26" s="309">
        <f>D22*D27*(B27-B23)*1000</f>
        <v>0</v>
      </c>
      <c r="E26"/>
      <c r="F26" s="297" t="s">
        <v>218</v>
      </c>
      <c r="G26" s="298">
        <v>290</v>
      </c>
      <c r="H26" s="308"/>
    </row>
    <row r="27" spans="1:10" s="310" customFormat="1" ht="16.2" customHeight="1" x14ac:dyDescent="0.25">
      <c r="A27" s="311" t="s">
        <v>219</v>
      </c>
      <c r="B27" s="312">
        <v>23</v>
      </c>
      <c r="C27" s="313" t="s">
        <v>220</v>
      </c>
      <c r="D27" s="314">
        <f>D28</f>
        <v>4.5000000000000003E-5</v>
      </c>
      <c r="E27"/>
      <c r="F27" s="297" t="s">
        <v>221</v>
      </c>
      <c r="G27" s="303">
        <v>107</v>
      </c>
      <c r="H27" s="308"/>
      <c r="I27" s="315" t="s">
        <v>222</v>
      </c>
    </row>
    <row r="28" spans="1:10" ht="16.2" customHeight="1" x14ac:dyDescent="0.25">
      <c r="A28" s="316"/>
      <c r="B28" s="317"/>
      <c r="C28" s="318" t="s">
        <v>223</v>
      </c>
      <c r="D28" s="319">
        <v>4.5000000000000003E-5</v>
      </c>
      <c r="F28" s="320" t="s">
        <v>16</v>
      </c>
      <c r="G28" s="321" t="e">
        <f>((G25+G26)*G27)/(D22*1000*TAN(G24))</f>
        <v>#DIV/0!</v>
      </c>
      <c r="H28" s="322"/>
    </row>
    <row r="29" spans="1:10" ht="16.2" customHeight="1" x14ac:dyDescent="0.25">
      <c r="A29" s="323" t="s">
        <v>224</v>
      </c>
      <c r="B29" s="324">
        <f>(D23-B24/1000)/B22*1000</f>
        <v>86.699902248289348</v>
      </c>
      <c r="C29" s="325" t="s">
        <v>225</v>
      </c>
      <c r="D29" s="326">
        <v>7.4999999999999993E-5</v>
      </c>
    </row>
    <row r="30" spans="1:10" ht="16.2" customHeight="1" x14ac:dyDescent="0.25">
      <c r="F30" s="327" t="s">
        <v>226</v>
      </c>
      <c r="G30" s="328"/>
      <c r="H30" s="328"/>
      <c r="I30" s="329"/>
    </row>
    <row r="31" spans="1:10" s="310" customFormat="1" ht="16.2" customHeight="1" x14ac:dyDescent="0.25">
      <c r="A31" s="330" t="s">
        <v>227</v>
      </c>
      <c r="B31" s="331"/>
      <c r="C31" s="332" t="s">
        <v>228</v>
      </c>
      <c r="D31" s="333"/>
      <c r="E31" s="334"/>
      <c r="F31" s="313" t="s">
        <v>229</v>
      </c>
      <c r="I31" s="335"/>
    </row>
    <row r="32" spans="1:10" s="310" customFormat="1" ht="16.2" customHeight="1" x14ac:dyDescent="0.25">
      <c r="A32" s="336" t="s">
        <v>230</v>
      </c>
      <c r="B32" s="337">
        <f>(D22+D26/1000)*B26-(D22)*B22</f>
        <v>0</v>
      </c>
      <c r="C32" s="338" t="s">
        <v>231</v>
      </c>
      <c r="D32" s="339">
        <f>((D22+D26/1000)/1000*B26 - D23)*1000</f>
        <v>-127.36900000000162</v>
      </c>
      <c r="E32" s="334"/>
      <c r="F32" s="340" t="s">
        <v>232</v>
      </c>
      <c r="I32" s="335"/>
    </row>
    <row r="33" spans="1:10" s="310" customFormat="1" ht="16.2" customHeight="1" x14ac:dyDescent="0.25">
      <c r="A33" s="341" t="s">
        <v>233</v>
      </c>
      <c r="B33" s="342">
        <f>B32-B24</f>
        <v>694</v>
      </c>
      <c r="C33" s="343" t="s">
        <v>234</v>
      </c>
      <c r="D33" s="344">
        <f>D23/(D22+D26/1000)*1000</f>
        <v>1024.4828108082936</v>
      </c>
      <c r="E33" s="334"/>
      <c r="F33" s="313" t="s">
        <v>235</v>
      </c>
      <c r="I33" s="335"/>
    </row>
    <row r="34" spans="1:10" ht="16.2" customHeight="1" x14ac:dyDescent="0.25">
      <c r="A34" s="345" t="s">
        <v>236</v>
      </c>
      <c r="B34" s="346"/>
      <c r="E34" s="316"/>
      <c r="F34" s="313" t="s">
        <v>237</v>
      </c>
      <c r="I34" s="347"/>
    </row>
    <row r="35" spans="1:10" ht="13.8" x14ac:dyDescent="0.25">
      <c r="A35" s="348" t="s">
        <v>238</v>
      </c>
      <c r="B35" s="349">
        <f>((B24+B34)/1000+(D22/1000)*B22)/(D22+D26/1000)*1000</f>
        <v>1014.9205560147618</v>
      </c>
      <c r="F35" s="350" t="s">
        <v>239</v>
      </c>
      <c r="G35" s="351"/>
      <c r="H35" s="351"/>
      <c r="I35" s="352"/>
    </row>
    <row r="36" spans="1:10" ht="13.8" x14ac:dyDescent="0.25">
      <c r="D36" s="353" t="s">
        <v>240</v>
      </c>
      <c r="F36" s="354" t="s">
        <v>241</v>
      </c>
      <c r="J36" s="313" t="s">
        <v>242</v>
      </c>
    </row>
    <row r="37" spans="1:10" ht="13.8" x14ac:dyDescent="0.25">
      <c r="C37" s="353"/>
      <c r="D37">
        <v>174</v>
      </c>
      <c r="J37" s="313" t="s">
        <v>243</v>
      </c>
    </row>
    <row r="38" spans="1:10" ht="13.8" x14ac:dyDescent="0.25">
      <c r="B38" s="353" t="s">
        <v>244</v>
      </c>
      <c r="C38" s="353" t="s">
        <v>245</v>
      </c>
      <c r="D38" s="353" t="s">
        <v>246</v>
      </c>
      <c r="F38" s="334" t="s">
        <v>247</v>
      </c>
    </row>
    <row r="39" spans="1:10" x14ac:dyDescent="0.25">
      <c r="A39" s="353" t="s">
        <v>248</v>
      </c>
      <c r="B39">
        <v>1</v>
      </c>
      <c r="C39">
        <v>2</v>
      </c>
      <c r="D39">
        <f>C39*D37</f>
        <v>348</v>
      </c>
      <c r="F39">
        <f>B39-D39</f>
        <v>-347</v>
      </c>
    </row>
    <row r="40" spans="1:10" x14ac:dyDescent="0.25">
      <c r="A40" s="353" t="s">
        <v>249</v>
      </c>
      <c r="B40">
        <v>1</v>
      </c>
      <c r="C40">
        <v>2</v>
      </c>
      <c r="D40">
        <f>C40*D37</f>
        <v>348</v>
      </c>
      <c r="F40">
        <f>B40-D40</f>
        <v>-347</v>
      </c>
    </row>
    <row r="41" spans="1:10" x14ac:dyDescent="0.25">
      <c r="E41" t="s">
        <v>250</v>
      </c>
      <c r="F41">
        <f>F39+F40</f>
        <v>-694</v>
      </c>
    </row>
    <row r="43" spans="1:10" ht="13.8" thickBot="1" x14ac:dyDescent="0.3">
      <c r="A43" s="353" t="s">
        <v>251</v>
      </c>
    </row>
    <row r="44" spans="1:10" ht="15" thickTop="1" thickBot="1" x14ac:dyDescent="0.35">
      <c r="A44" s="355" t="s">
        <v>252</v>
      </c>
    </row>
    <row r="45" spans="1:10" ht="15" thickTop="1" thickBot="1" x14ac:dyDescent="0.3">
      <c r="A45" s="356" t="s">
        <v>253</v>
      </c>
    </row>
    <row r="46" spans="1:10" ht="15" thickTop="1" thickBot="1" x14ac:dyDescent="0.3">
      <c r="A46" s="356" t="s">
        <v>254</v>
      </c>
    </row>
    <row r="47" spans="1:10" ht="15.45" customHeight="1" thickTop="1" thickBot="1" x14ac:dyDescent="0.3">
      <c r="A47" s="356" t="s">
        <v>255</v>
      </c>
    </row>
    <row r="48" spans="1:10" ht="13.2" customHeight="1" thickTop="1" thickBot="1" x14ac:dyDescent="0.35">
      <c r="A48" s="357" t="s">
        <v>256</v>
      </c>
    </row>
    <row r="49" spans="1:1" ht="13.2" customHeight="1" thickTop="1" thickBot="1" x14ac:dyDescent="0.35">
      <c r="A49" s="357" t="s">
        <v>257</v>
      </c>
    </row>
    <row r="50" spans="1:1" ht="15" thickTop="1" thickBot="1" x14ac:dyDescent="0.35">
      <c r="A50" s="357" t="s">
        <v>258</v>
      </c>
    </row>
    <row r="51" spans="1:1" ht="15" thickTop="1" thickBot="1" x14ac:dyDescent="0.35">
      <c r="A51" s="357" t="s">
        <v>259</v>
      </c>
    </row>
    <row r="52" spans="1:1" ht="15" thickTop="1" thickBot="1" x14ac:dyDescent="0.35">
      <c r="A52" s="357" t="s">
        <v>260</v>
      </c>
    </row>
    <row r="53" spans="1:1" ht="15" thickTop="1" thickBot="1" x14ac:dyDescent="0.35">
      <c r="A53" s="357" t="s">
        <v>261</v>
      </c>
    </row>
    <row r="54" spans="1:1" ht="15" thickTop="1" thickBot="1" x14ac:dyDescent="0.35">
      <c r="A54" s="357" t="s">
        <v>262</v>
      </c>
    </row>
    <row r="55" spans="1:1" ht="15" thickTop="1" thickBot="1" x14ac:dyDescent="0.35">
      <c r="A55" s="357" t="s">
        <v>263</v>
      </c>
    </row>
    <row r="56" spans="1:1" ht="15" thickTop="1" thickBot="1" x14ac:dyDescent="0.35">
      <c r="A56" s="357" t="s">
        <v>264</v>
      </c>
    </row>
    <row r="57" spans="1:1" ht="13.8" thickTop="1" x14ac:dyDescent="0.25"/>
  </sheetData>
  <mergeCells count="33">
    <mergeCell ref="A21:B21"/>
    <mergeCell ref="C21:D21"/>
    <mergeCell ref="A25:B25"/>
    <mergeCell ref="C25:D25"/>
    <mergeCell ref="F30:I30"/>
    <mergeCell ref="A31:B31"/>
    <mergeCell ref="C31:D31"/>
    <mergeCell ref="B14:B17"/>
    <mergeCell ref="E14:J14"/>
    <mergeCell ref="E15:J15"/>
    <mergeCell ref="E16:J16"/>
    <mergeCell ref="E17:J17"/>
    <mergeCell ref="B19:C19"/>
    <mergeCell ref="B8:B10"/>
    <mergeCell ref="E8:J8"/>
    <mergeCell ref="A9:A10"/>
    <mergeCell ref="E9:J9"/>
    <mergeCell ref="E10:J10"/>
    <mergeCell ref="B11:B13"/>
    <mergeCell ref="E11:J11"/>
    <mergeCell ref="A12:A13"/>
    <mergeCell ref="E12:J12"/>
    <mergeCell ref="E13:J13"/>
    <mergeCell ref="E1:H1"/>
    <mergeCell ref="B2:B7"/>
    <mergeCell ref="E2:J2"/>
    <mergeCell ref="A3:A4"/>
    <mergeCell ref="E3:J3"/>
    <mergeCell ref="E4:J4"/>
    <mergeCell ref="E5:J5"/>
    <mergeCell ref="A6:A7"/>
    <mergeCell ref="E6:J6"/>
    <mergeCell ref="E7:J7"/>
  </mergeCells>
  <printOptions horizontalCentered="1" verticalCentered="1"/>
  <pageMargins left="0.25" right="0.25" top="0.25" bottom="0.25" header="0.5" footer="0.5"/>
  <pageSetup orientation="landscape" r:id="rId1"/>
  <headerFooter alignWithMargins="0">
    <oddFooter>&amp;R&amp;F -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zoomScaleNormal="100" zoomScaleSheetLayoutView="115" workbookViewId="0"/>
  </sheetViews>
  <sheetFormatPr defaultColWidth="9.109375" defaultRowHeight="13.2" x14ac:dyDescent="0.25"/>
  <cols>
    <col min="1" max="1" width="1" style="12" customWidth="1"/>
    <col min="2" max="2" width="25.88671875" style="12" customWidth="1"/>
    <col min="3" max="3" width="14.6640625" style="12" customWidth="1"/>
    <col min="4" max="5" width="13.33203125" style="12" customWidth="1"/>
    <col min="6" max="6" width="24.44140625" style="12" customWidth="1"/>
    <col min="7" max="7" width="15.6640625" style="12" customWidth="1"/>
    <col min="8" max="8" width="3.6640625" style="12" customWidth="1"/>
    <col min="9" max="16384" width="9.109375" style="12"/>
  </cols>
  <sheetData>
    <row r="1" spans="1:8" customFormat="1" ht="20.25" customHeight="1" x14ac:dyDescent="0.25">
      <c r="B1" s="1"/>
      <c r="C1" s="1"/>
      <c r="D1" s="1"/>
      <c r="E1" s="11"/>
      <c r="F1" s="89" t="s">
        <v>111</v>
      </c>
      <c r="G1" s="90" t="str">
        <f>'TWR Ballast'!$H$1</f>
        <v>4095-GBPSH</v>
      </c>
      <c r="H1" s="1"/>
    </row>
    <row r="2" spans="1:8" customFormat="1" ht="20.25" customHeight="1" x14ac:dyDescent="0.25">
      <c r="B2" s="1"/>
      <c r="C2" s="1"/>
      <c r="D2" s="1"/>
      <c r="E2" s="11"/>
      <c r="F2" s="91" t="s">
        <v>112</v>
      </c>
      <c r="G2" s="92" t="str">
        <f>'TWR Ballast'!$H$2</f>
        <v>F</v>
      </c>
      <c r="H2" s="1"/>
    </row>
    <row r="3" spans="1:8" customFormat="1" ht="20.25" customHeight="1" x14ac:dyDescent="0.25">
      <c r="B3" s="1"/>
      <c r="C3" s="1"/>
      <c r="D3" s="1"/>
      <c r="E3" s="11"/>
      <c r="F3" s="91" t="s">
        <v>1</v>
      </c>
      <c r="G3" s="93">
        <f>'TWR Ballast'!$H$3</f>
        <v>41813</v>
      </c>
      <c r="H3" s="1"/>
    </row>
    <row r="4" spans="1:8" customFormat="1" ht="20.25" customHeight="1" thickBot="1" x14ac:dyDescent="0.3">
      <c r="B4" s="1"/>
      <c r="C4" s="1"/>
      <c r="D4" s="1"/>
      <c r="E4" s="11"/>
      <c r="F4" s="94" t="s">
        <v>113</v>
      </c>
      <c r="G4" s="95">
        <f>'TWR Ballast'!$H$4</f>
        <v>12698</v>
      </c>
      <c r="H4" s="1"/>
    </row>
    <row r="5" spans="1:8" customFormat="1" ht="7.5" customHeight="1" thickBot="1" x14ac:dyDescent="0.3">
      <c r="B5" s="1"/>
      <c r="C5" s="1"/>
      <c r="D5" s="1"/>
      <c r="E5" s="1"/>
      <c r="F5" s="1"/>
      <c r="G5" s="1"/>
      <c r="H5" s="1"/>
    </row>
    <row r="6" spans="1:8" ht="24.75" customHeight="1" thickTop="1" x14ac:dyDescent="0.25">
      <c r="A6" s="126"/>
      <c r="B6" s="167" t="s">
        <v>48</v>
      </c>
      <c r="C6" s="96"/>
      <c r="D6" s="96"/>
      <c r="E6" s="96"/>
      <c r="F6" s="96"/>
      <c r="G6" s="96"/>
      <c r="H6" s="96"/>
    </row>
    <row r="7" spans="1:8" ht="15" customHeight="1" x14ac:dyDescent="0.25">
      <c r="B7" s="150" t="s">
        <v>0</v>
      </c>
      <c r="C7" s="151" t="str">
        <f>IF(ISBLANK('TWR Ballast'!C13),"",'TWR Ballast'!C13)</f>
        <v/>
      </c>
      <c r="D7" s="152"/>
      <c r="E7" s="152"/>
      <c r="F7" s="152"/>
      <c r="G7" s="152"/>
      <c r="H7" s="73"/>
    </row>
    <row r="8" spans="1:8" ht="15" customHeight="1" x14ac:dyDescent="0.25">
      <c r="B8" s="150" t="s">
        <v>82</v>
      </c>
      <c r="C8" s="153" t="str">
        <f>IF(ISBLANK('TWR Ballast'!C14),"",'TWR Ballast'!C14)</f>
        <v/>
      </c>
      <c r="D8" s="154"/>
      <c r="E8" s="155"/>
      <c r="F8" s="153"/>
      <c r="G8" s="153"/>
      <c r="H8" s="73"/>
    </row>
    <row r="9" spans="1:8" ht="15" customHeight="1" x14ac:dyDescent="0.25">
      <c r="B9" s="150" t="s">
        <v>1</v>
      </c>
      <c r="C9" s="156" t="str">
        <f>IF(ISBLANK('TWR Ballast'!C15),"",'TWR Ballast'!C15)</f>
        <v/>
      </c>
      <c r="D9" s="154"/>
      <c r="E9" s="155"/>
      <c r="F9" s="153"/>
      <c r="G9" s="153"/>
      <c r="H9" s="66"/>
    </row>
    <row r="10" spans="1:8" ht="15" customHeight="1" x14ac:dyDescent="0.25">
      <c r="B10" s="157" t="s">
        <v>74</v>
      </c>
      <c r="C10" s="158" t="str">
        <f>IF('TWR Ballast'!C29=0,"",'TWR Ballast'!C29)</f>
        <v/>
      </c>
      <c r="D10" s="159"/>
      <c r="E10" s="155"/>
      <c r="F10" s="160"/>
      <c r="G10" s="161"/>
      <c r="H10" s="73"/>
    </row>
    <row r="11" spans="1:8" ht="15" customHeight="1" x14ac:dyDescent="0.25">
      <c r="B11" s="150" t="s">
        <v>80</v>
      </c>
      <c r="C11" s="162" t="str">
        <f>IF(ISERROR('TWR Ballast'!C70),IF(ISERROR('TWR Ballast'!C89),"",'TWR Ballast'!C89),'TWR Ballast'!C70)</f>
        <v/>
      </c>
      <c r="D11" s="155"/>
      <c r="E11" s="163"/>
      <c r="F11" s="155"/>
      <c r="G11" s="155"/>
      <c r="H11" s="73"/>
    </row>
    <row r="12" spans="1:8" ht="8.25" customHeight="1" x14ac:dyDescent="0.25">
      <c r="B12" s="161"/>
      <c r="C12" s="155"/>
      <c r="D12" s="155"/>
      <c r="E12" s="155"/>
      <c r="F12" s="155"/>
      <c r="G12" s="155"/>
      <c r="H12" s="73"/>
    </row>
    <row r="13" spans="1:8" ht="15" customHeight="1" x14ac:dyDescent="0.25">
      <c r="B13" s="161" t="s">
        <v>49</v>
      </c>
      <c r="C13" s="155"/>
      <c r="D13" s="155"/>
      <c r="E13" s="155"/>
      <c r="F13" s="161" t="s">
        <v>50</v>
      </c>
      <c r="G13" s="155"/>
      <c r="H13" s="73"/>
    </row>
    <row r="14" spans="1:8" ht="15" customHeight="1" x14ac:dyDescent="0.25">
      <c r="B14" s="164" t="s">
        <v>75</v>
      </c>
      <c r="C14" s="165">
        <f>'TWR Ballast'!C32</f>
        <v>0</v>
      </c>
      <c r="D14" s="155"/>
      <c r="E14" s="155"/>
      <c r="F14" s="164" t="s">
        <v>75</v>
      </c>
      <c r="G14" s="165">
        <f>'TWR Ballast'!E32</f>
        <v>0</v>
      </c>
      <c r="H14" s="73"/>
    </row>
    <row r="15" spans="1:8" ht="15" customHeight="1" x14ac:dyDescent="0.25">
      <c r="B15" s="164" t="s">
        <v>76</v>
      </c>
      <c r="C15" s="165">
        <f>'TWR Ballast'!C34</f>
        <v>0</v>
      </c>
      <c r="D15" s="155"/>
      <c r="E15" s="155"/>
      <c r="F15" s="164" t="s">
        <v>76</v>
      </c>
      <c r="G15" s="165">
        <f>'TWR Ballast'!E34</f>
        <v>0</v>
      </c>
      <c r="H15" s="73"/>
    </row>
    <row r="16" spans="1:8" ht="15" customHeight="1" x14ac:dyDescent="0.25">
      <c r="B16" s="164" t="s">
        <v>77</v>
      </c>
      <c r="C16" s="165">
        <f>'TWR Ballast'!C37</f>
        <v>0</v>
      </c>
      <c r="D16" s="155"/>
      <c r="E16" s="155"/>
      <c r="F16" s="164" t="s">
        <v>77</v>
      </c>
      <c r="G16" s="165">
        <f>'TWR Ballast'!E37</f>
        <v>0</v>
      </c>
      <c r="H16" s="73"/>
    </row>
    <row r="17" spans="2:9" ht="15" customHeight="1" x14ac:dyDescent="0.25">
      <c r="B17" s="164" t="s">
        <v>78</v>
      </c>
      <c r="C17" s="166">
        <f>'TWR Ballast'!C38</f>
        <v>999.84259399999996</v>
      </c>
      <c r="D17" s="155"/>
      <c r="E17" s="155"/>
      <c r="F17" s="164" t="s">
        <v>78</v>
      </c>
      <c r="G17" s="166">
        <f>'TWR Ballast'!E38</f>
        <v>999.84259399999996</v>
      </c>
      <c r="H17" s="73"/>
    </row>
    <row r="18" spans="2:9" ht="9.75" customHeight="1" thickBot="1" x14ac:dyDescent="0.3">
      <c r="B18" s="175"/>
      <c r="C18" s="176"/>
      <c r="D18" s="155"/>
      <c r="E18" s="155"/>
      <c r="F18" s="175"/>
      <c r="G18" s="176"/>
      <c r="H18" s="137"/>
    </row>
    <row r="19" spans="2:9" ht="7.5" customHeight="1" thickTop="1" x14ac:dyDescent="0.25">
      <c r="B19" s="177"/>
      <c r="C19" s="178"/>
      <c r="D19" s="178"/>
      <c r="E19" s="178"/>
      <c r="F19" s="178"/>
      <c r="G19" s="178"/>
      <c r="H19" s="27"/>
    </row>
    <row r="20" spans="2:9" s="88" customFormat="1" ht="30" customHeight="1" x14ac:dyDescent="0.25">
      <c r="B20" s="149" t="s">
        <v>79</v>
      </c>
      <c r="C20" s="231" t="s">
        <v>147</v>
      </c>
      <c r="D20" s="231"/>
      <c r="E20" s="231"/>
      <c r="F20" s="231"/>
      <c r="G20" s="231"/>
      <c r="H20" s="168"/>
      <c r="I20" s="169"/>
    </row>
    <row r="21" spans="2:9" s="88" customFormat="1" ht="18" customHeight="1" x14ac:dyDescent="0.25">
      <c r="B21" s="233" t="s">
        <v>155</v>
      </c>
      <c r="C21" s="233"/>
      <c r="D21" s="233" t="s">
        <v>140</v>
      </c>
      <c r="E21" s="233"/>
      <c r="F21" s="233" t="s">
        <v>141</v>
      </c>
      <c r="G21" s="233"/>
    </row>
    <row r="22" spans="2:9" s="88" customFormat="1" ht="6" customHeight="1" x14ac:dyDescent="0.25">
      <c r="C22" s="100"/>
    </row>
    <row r="23" spans="2:9" s="88" customFormat="1" ht="18" customHeight="1" x14ac:dyDescent="0.25">
      <c r="B23" s="101"/>
      <c r="C23" s="101"/>
    </row>
    <row r="24" spans="2:9" s="88" customFormat="1" ht="18" customHeight="1" x14ac:dyDescent="0.25">
      <c r="B24" s="101"/>
      <c r="C24" s="101"/>
    </row>
    <row r="25" spans="2:9" s="88" customFormat="1" ht="18" customHeight="1" x14ac:dyDescent="0.25"/>
    <row r="26" spans="2:9" s="88" customFormat="1" ht="18" customHeight="1" x14ac:dyDescent="0.25"/>
    <row r="27" spans="2:9" s="88" customFormat="1" ht="18" customHeight="1" x14ac:dyDescent="0.25"/>
    <row r="28" spans="2:9" s="88" customFormat="1" ht="18" customHeight="1" x14ac:dyDescent="0.25"/>
    <row r="29" spans="2:9" s="88" customFormat="1" ht="18" customHeight="1" x14ac:dyDescent="0.25"/>
    <row r="30" spans="2:9" s="88" customFormat="1" ht="18" customHeight="1" x14ac:dyDescent="0.25"/>
    <row r="31" spans="2:9" s="88" customFormat="1" ht="18" customHeight="1" x14ac:dyDescent="0.25"/>
    <row r="32" spans="2:9" s="88" customFormat="1" ht="18" customHeight="1" thickBot="1" x14ac:dyDescent="0.3">
      <c r="C32" s="100"/>
    </row>
    <row r="33" spans="2:13" s="88" customFormat="1" ht="9.75" customHeight="1" thickTop="1" x14ac:dyDescent="0.25">
      <c r="B33" s="179"/>
      <c r="C33" s="179"/>
      <c r="D33" s="179"/>
      <c r="E33" s="179"/>
      <c r="F33" s="179"/>
      <c r="G33" s="179"/>
    </row>
    <row r="34" spans="2:13" s="88" customFormat="1" ht="18" customHeight="1" x14ac:dyDescent="0.25">
      <c r="B34" s="232" t="s">
        <v>148</v>
      </c>
      <c r="C34" s="232"/>
      <c r="D34" s="182" t="s">
        <v>149</v>
      </c>
      <c r="E34" s="136"/>
      <c r="F34" s="136"/>
      <c r="G34" s="136"/>
      <c r="H34" s="136"/>
    </row>
    <row r="35" spans="2:13" s="88" customFormat="1" ht="18" customHeight="1" x14ac:dyDescent="0.25">
      <c r="B35" s="135"/>
      <c r="C35" s="136"/>
      <c r="D35" s="136"/>
      <c r="E35" s="136"/>
      <c r="F35" s="136"/>
      <c r="G35" s="136"/>
      <c r="H35" s="136"/>
    </row>
    <row r="36" spans="2:13" s="88" customFormat="1" ht="18" customHeight="1" x14ac:dyDescent="0.25">
      <c r="B36" s="171"/>
      <c r="C36" s="136"/>
      <c r="D36" s="136"/>
      <c r="E36" s="136"/>
      <c r="F36" s="136"/>
      <c r="G36" s="172"/>
      <c r="H36" s="136"/>
    </row>
    <row r="37" spans="2:13" s="88" customFormat="1" ht="18" customHeight="1" x14ac:dyDescent="0.25">
      <c r="B37" s="171"/>
      <c r="C37" s="136"/>
      <c r="D37" s="136"/>
      <c r="E37" s="136"/>
      <c r="F37" s="136"/>
      <c r="G37" s="170"/>
      <c r="H37" s="136"/>
    </row>
    <row r="38" spans="2:13" s="88" customFormat="1" ht="18" customHeight="1" x14ac:dyDescent="0.25">
      <c r="B38" s="174"/>
      <c r="C38" s="136"/>
      <c r="D38" s="136"/>
      <c r="E38" s="136"/>
      <c r="F38" s="136"/>
      <c r="G38" s="173"/>
      <c r="H38" s="136"/>
    </row>
    <row r="39" spans="2:13" s="88" customFormat="1" ht="18" customHeight="1" x14ac:dyDescent="0.25">
      <c r="B39" s="171"/>
      <c r="C39" s="136"/>
      <c r="D39" s="136"/>
      <c r="E39" s="136"/>
      <c r="F39" s="136"/>
      <c r="G39" s="170"/>
      <c r="H39" s="136"/>
    </row>
    <row r="40" spans="2:13" s="88" customFormat="1" ht="18" customHeight="1" x14ac:dyDescent="0.25">
      <c r="B40" s="171"/>
      <c r="C40" s="136"/>
      <c r="D40" s="136"/>
      <c r="E40" s="136"/>
      <c r="F40" s="136"/>
      <c r="G40" s="172"/>
      <c r="H40" s="136"/>
    </row>
    <row r="41" spans="2:13" s="88" customFormat="1" ht="18" customHeight="1" x14ac:dyDescent="0.25">
      <c r="B41" s="135"/>
      <c r="C41" s="136"/>
      <c r="D41" s="136"/>
      <c r="E41" s="136"/>
      <c r="F41" s="136"/>
      <c r="G41" s="136"/>
      <c r="H41" s="136"/>
    </row>
    <row r="42" spans="2:13" s="88" customFormat="1" ht="21.75" customHeight="1" thickBot="1" x14ac:dyDescent="0.3">
      <c r="B42" s="135"/>
      <c r="C42" s="136"/>
      <c r="D42" s="136"/>
      <c r="E42" s="136"/>
      <c r="F42" s="136"/>
      <c r="G42" s="136"/>
      <c r="H42" s="136"/>
    </row>
    <row r="43" spans="2:13" s="88" customFormat="1" ht="9.75" customHeight="1" thickTop="1" x14ac:dyDescent="0.25">
      <c r="B43" s="180"/>
      <c r="C43" s="181"/>
      <c r="D43" s="181"/>
      <c r="E43" s="181"/>
      <c r="F43" s="181"/>
      <c r="G43" s="181"/>
      <c r="H43" s="136"/>
    </row>
    <row r="44" spans="2:13" ht="18" customHeight="1" x14ac:dyDescent="0.25">
      <c r="B44" s="24" t="s">
        <v>52</v>
      </c>
      <c r="C44" s="20"/>
      <c r="D44" s="20"/>
    </row>
    <row r="45" spans="2:13" ht="8.25" customHeight="1" x14ac:dyDescent="0.25">
      <c r="B45" s="23"/>
    </row>
    <row r="46" spans="2:13" ht="12" customHeight="1" thickBot="1" x14ac:dyDescent="0.3">
      <c r="B46" s="138" t="s">
        <v>46</v>
      </c>
      <c r="C46" s="138" t="s">
        <v>81</v>
      </c>
      <c r="D46" s="138" t="s">
        <v>51</v>
      </c>
      <c r="E46" s="138" t="s">
        <v>81</v>
      </c>
      <c r="F46" s="138" t="s">
        <v>38</v>
      </c>
      <c r="G46" s="138" t="s">
        <v>81</v>
      </c>
      <c r="H46" s="234"/>
      <c r="I46" s="235"/>
      <c r="L46" s="236"/>
      <c r="M46" s="236"/>
    </row>
    <row r="47" spans="2:13" ht="12" customHeight="1" thickTop="1" x14ac:dyDescent="0.25">
      <c r="B47" s="139" t="s">
        <v>53</v>
      </c>
      <c r="C47" s="140"/>
      <c r="D47" s="139" t="s">
        <v>54</v>
      </c>
      <c r="E47" s="140"/>
      <c r="F47" s="139" t="s">
        <v>55</v>
      </c>
      <c r="G47" s="140"/>
      <c r="H47" s="21"/>
      <c r="I47" s="230"/>
      <c r="J47" s="230"/>
      <c r="K47" s="230"/>
      <c r="L47" s="230"/>
      <c r="M47" s="25"/>
    </row>
    <row r="48" spans="2:13" ht="12" customHeight="1" x14ac:dyDescent="0.25">
      <c r="B48" s="141" t="s">
        <v>56</v>
      </c>
      <c r="C48" s="142" t="s">
        <v>117</v>
      </c>
      <c r="D48" s="141" t="s">
        <v>57</v>
      </c>
      <c r="E48" s="142"/>
      <c r="F48" s="141"/>
      <c r="G48" s="141"/>
      <c r="H48" s="22"/>
      <c r="I48" s="230"/>
      <c r="J48" s="230"/>
      <c r="K48" s="230"/>
      <c r="L48" s="230"/>
      <c r="M48" s="25"/>
    </row>
    <row r="49" spans="2:13" ht="12" customHeight="1" x14ac:dyDescent="0.25">
      <c r="B49" s="141" t="s">
        <v>58</v>
      </c>
      <c r="C49" s="142"/>
      <c r="D49" s="141" t="s">
        <v>59</v>
      </c>
      <c r="E49" s="142"/>
      <c r="F49" s="141"/>
      <c r="G49" s="141"/>
      <c r="H49" s="21"/>
      <c r="I49" s="21"/>
      <c r="K49" s="230"/>
      <c r="L49" s="230"/>
      <c r="M49" s="25"/>
    </row>
    <row r="50" spans="2:13" ht="12" customHeight="1" x14ac:dyDescent="0.25">
      <c r="B50" s="143"/>
      <c r="C50" s="141"/>
      <c r="D50" s="141" t="s">
        <v>60</v>
      </c>
      <c r="E50" s="142"/>
      <c r="F50" s="141"/>
      <c r="G50" s="141"/>
      <c r="H50" s="22"/>
      <c r="I50" s="230"/>
      <c r="J50" s="230"/>
      <c r="K50" s="230"/>
      <c r="L50" s="230"/>
      <c r="M50" s="25"/>
    </row>
    <row r="51" spans="2:13" ht="12" customHeight="1" x14ac:dyDescent="0.25">
      <c r="B51" s="144"/>
      <c r="C51" s="144"/>
      <c r="D51" s="141" t="s">
        <v>83</v>
      </c>
      <c r="E51" s="145"/>
      <c r="F51" s="144"/>
      <c r="G51" s="144"/>
      <c r="H51" s="26"/>
      <c r="I51" s="26"/>
      <c r="J51" s="26"/>
      <c r="K51" s="26"/>
      <c r="L51" s="26"/>
      <c r="M51" s="26"/>
    </row>
    <row r="52" spans="2:13" ht="12" customHeight="1" x14ac:dyDescent="0.25">
      <c r="B52" s="146"/>
      <c r="C52" s="146"/>
      <c r="D52" s="147"/>
      <c r="E52" s="146"/>
      <c r="F52" s="146"/>
      <c r="G52" s="146"/>
      <c r="H52" s="26"/>
      <c r="I52" s="26"/>
      <c r="J52" s="26"/>
      <c r="K52" s="26"/>
      <c r="L52" s="26"/>
      <c r="M52" s="26"/>
    </row>
    <row r="53" spans="2:13" ht="12" customHeight="1" x14ac:dyDescent="0.25">
      <c r="B53" s="141" t="s">
        <v>129</v>
      </c>
      <c r="C53" s="201" t="str">
        <f>IF(ISBLANK('TWR Ballast'!C25),"",'TWR Ballast'!C25)</f>
        <v/>
      </c>
      <c r="D53" s="147"/>
      <c r="E53" s="146"/>
      <c r="F53" s="146"/>
      <c r="G53" s="146"/>
      <c r="H53" s="26"/>
      <c r="I53" s="26"/>
      <c r="J53" s="26"/>
      <c r="K53" s="26"/>
      <c r="L53" s="26"/>
      <c r="M53" s="26"/>
    </row>
    <row r="54" spans="2:13" ht="12" customHeight="1" x14ac:dyDescent="0.25">
      <c r="B54" s="183" t="s">
        <v>128</v>
      </c>
      <c r="C54" s="201" t="str">
        <f>IF(ISBLANK('TWR Ballast'!C26),"",'TWR Ballast'!C26)</f>
        <v/>
      </c>
      <c r="D54" s="148"/>
      <c r="E54" s="148"/>
      <c r="F54" s="148"/>
      <c r="G54" s="148"/>
    </row>
    <row r="55" spans="2:13" ht="12" customHeight="1" x14ac:dyDescent="0.25">
      <c r="B55" s="186"/>
      <c r="C55" s="190"/>
      <c r="D55" s="148"/>
      <c r="E55" s="148"/>
      <c r="F55" s="148"/>
      <c r="G55" s="148"/>
    </row>
  </sheetData>
  <sheetProtection password="DA1B" sheet="1" objects="1" scenarios="1"/>
  <mergeCells count="14">
    <mergeCell ref="I50:J50"/>
    <mergeCell ref="K50:L50"/>
    <mergeCell ref="C20:G20"/>
    <mergeCell ref="B34:C34"/>
    <mergeCell ref="I48:J48"/>
    <mergeCell ref="K48:L48"/>
    <mergeCell ref="K49:L49"/>
    <mergeCell ref="D21:E21"/>
    <mergeCell ref="F21:G21"/>
    <mergeCell ref="B21:C21"/>
    <mergeCell ref="I47:J47"/>
    <mergeCell ref="K47:L47"/>
    <mergeCell ref="H46:I46"/>
    <mergeCell ref="L46:M46"/>
  </mergeCells>
  <phoneticPr fontId="0" type="noConversion"/>
  <pageMargins left="0.7" right="0.7" top="0.75" bottom="0.75" header="0.3" footer="0.3"/>
  <pageSetup scale="8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E63F6-E02D-40D5-9F5C-8A7777B125DE}">
  <dimension ref="A1:K20"/>
  <sheetViews>
    <sheetView workbookViewId="0">
      <selection activeCell="G9" sqref="G9"/>
    </sheetView>
  </sheetViews>
  <sheetFormatPr defaultRowHeight="13.2" x14ac:dyDescent="0.25"/>
  <sheetData>
    <row r="1" spans="1:11" ht="13.8" thickBot="1" x14ac:dyDescent="0.3">
      <c r="A1" s="406"/>
      <c r="B1" s="406"/>
      <c r="C1" s="406"/>
      <c r="D1" s="406"/>
      <c r="E1" s="406"/>
      <c r="F1" s="406"/>
      <c r="G1" s="406"/>
      <c r="H1" s="406"/>
      <c r="I1" s="406"/>
      <c r="J1" s="406"/>
      <c r="K1" s="406"/>
    </row>
    <row r="2" spans="1:11" ht="14.4" thickBot="1" x14ac:dyDescent="0.35">
      <c r="A2" s="407"/>
      <c r="B2" s="408"/>
      <c r="C2" s="408"/>
      <c r="D2" s="408"/>
      <c r="E2" s="408"/>
      <c r="F2" s="406"/>
      <c r="G2" s="406"/>
      <c r="H2" s="406"/>
      <c r="I2" s="406"/>
      <c r="J2" s="406"/>
      <c r="K2" s="406"/>
    </row>
    <row r="3" spans="1:11" ht="27" thickBot="1" x14ac:dyDescent="0.3">
      <c r="A3" s="409" t="s">
        <v>309</v>
      </c>
      <c r="B3" s="410" t="s">
        <v>310</v>
      </c>
      <c r="C3" s="410" t="s">
        <v>311</v>
      </c>
      <c r="D3" s="410" t="s">
        <v>312</v>
      </c>
      <c r="E3" s="410" t="s">
        <v>313</v>
      </c>
      <c r="F3" s="406"/>
      <c r="G3" s="406"/>
      <c r="H3" s="406"/>
      <c r="I3" s="406"/>
      <c r="J3" s="406"/>
      <c r="K3" s="406"/>
    </row>
    <row r="4" spans="1:11" ht="14.4" thickBot="1" x14ac:dyDescent="0.35">
      <c r="A4" s="409" t="s">
        <v>314</v>
      </c>
      <c r="B4" s="411"/>
      <c r="C4" s="411">
        <f>D4+E4</f>
        <v>0</v>
      </c>
      <c r="D4" s="411"/>
      <c r="E4" s="411"/>
      <c r="F4" s="406"/>
      <c r="G4" s="412"/>
      <c r="H4" s="406"/>
      <c r="I4" s="406"/>
      <c r="J4" s="413"/>
      <c r="K4" s="406"/>
    </row>
    <row r="5" spans="1:11" ht="40.200000000000003" thickBot="1" x14ac:dyDescent="0.3">
      <c r="A5" s="409" t="s">
        <v>315</v>
      </c>
      <c r="B5" s="411"/>
      <c r="C5" s="411">
        <f>D5+E5</f>
        <v>0</v>
      </c>
      <c r="D5" s="411"/>
      <c r="E5" s="411"/>
      <c r="F5" s="406"/>
      <c r="G5" s="412"/>
      <c r="H5" s="406"/>
      <c r="I5" s="406"/>
      <c r="J5" s="406"/>
      <c r="K5" s="406"/>
    </row>
    <row r="6" spans="1:11" ht="27" thickBot="1" x14ac:dyDescent="0.3">
      <c r="A6" s="409" t="s">
        <v>317</v>
      </c>
      <c r="B6" s="411"/>
      <c r="C6" s="411">
        <f t="shared" ref="C6:C9" si="0">D6+E6</f>
        <v>0</v>
      </c>
      <c r="D6" s="411"/>
      <c r="E6" s="411"/>
      <c r="F6" s="406"/>
      <c r="G6" s="406" t="s">
        <v>322</v>
      </c>
      <c r="H6" s="406">
        <f>C6+C9</f>
        <v>0</v>
      </c>
      <c r="I6" s="406"/>
      <c r="J6" s="406"/>
      <c r="K6" s="406"/>
    </row>
    <row r="7" spans="1:11" ht="27" thickBot="1" x14ac:dyDescent="0.3">
      <c r="A7" s="409" t="s">
        <v>318</v>
      </c>
      <c r="B7" s="411"/>
      <c r="C7" s="411">
        <f t="shared" si="0"/>
        <v>0</v>
      </c>
      <c r="D7" s="411"/>
      <c r="E7" s="411"/>
      <c r="F7" s="406"/>
      <c r="G7" s="406"/>
      <c r="H7" s="406"/>
      <c r="I7" s="406"/>
      <c r="J7" s="406"/>
      <c r="K7" s="406"/>
    </row>
    <row r="8" spans="1:11" ht="27" thickBot="1" x14ac:dyDescent="0.3">
      <c r="A8" s="409" t="s">
        <v>319</v>
      </c>
      <c r="B8" s="411"/>
      <c r="C8" s="411">
        <f t="shared" si="0"/>
        <v>0</v>
      </c>
      <c r="D8" s="411"/>
      <c r="E8" s="411"/>
      <c r="F8" s="406"/>
      <c r="G8" s="406"/>
      <c r="H8" s="406"/>
      <c r="I8" s="406"/>
      <c r="J8" s="406"/>
      <c r="K8" s="406"/>
    </row>
    <row r="9" spans="1:11" ht="27" thickBot="1" x14ac:dyDescent="0.3">
      <c r="A9" s="409" t="s">
        <v>320</v>
      </c>
      <c r="B9" s="411"/>
      <c r="C9" s="411">
        <f t="shared" si="0"/>
        <v>0</v>
      </c>
      <c r="D9" s="411"/>
      <c r="E9" s="411"/>
      <c r="F9" s="406"/>
      <c r="G9" s="406"/>
      <c r="H9" s="406"/>
      <c r="I9" s="406"/>
      <c r="J9" s="406"/>
      <c r="K9" s="406"/>
    </row>
    <row r="10" spans="1:11" ht="13.8" thickBot="1" x14ac:dyDescent="0.3">
      <c r="A10" s="406"/>
      <c r="B10" s="406"/>
      <c r="C10" s="406"/>
      <c r="D10" s="406"/>
      <c r="E10" s="406"/>
      <c r="F10" s="406"/>
      <c r="G10" s="406"/>
      <c r="H10" s="406"/>
      <c r="I10" s="406"/>
      <c r="J10" s="406"/>
      <c r="K10" s="406"/>
    </row>
    <row r="11" spans="1:11" ht="13.8" thickBot="1" x14ac:dyDescent="0.3">
      <c r="A11" s="406"/>
      <c r="B11" s="406"/>
      <c r="C11" s="406"/>
      <c r="D11" s="406"/>
      <c r="E11" s="406"/>
      <c r="F11" s="406"/>
      <c r="G11" s="406"/>
      <c r="H11" s="406"/>
      <c r="I11" s="406"/>
      <c r="J11" s="406"/>
      <c r="K11" s="406"/>
    </row>
    <row r="12" spans="1:11" ht="14.4" thickBot="1" x14ac:dyDescent="0.35">
      <c r="A12" s="407"/>
      <c r="B12" s="408"/>
      <c r="C12" s="408"/>
      <c r="D12" s="408"/>
      <c r="E12" s="408"/>
      <c r="F12" s="406"/>
      <c r="G12" s="406"/>
      <c r="H12" s="406"/>
      <c r="I12" s="406"/>
      <c r="J12" s="406"/>
      <c r="K12" s="406"/>
    </row>
    <row r="13" spans="1:11" ht="27" thickBot="1" x14ac:dyDescent="0.3">
      <c r="A13" s="409" t="s">
        <v>309</v>
      </c>
      <c r="B13" s="410" t="s">
        <v>310</v>
      </c>
      <c r="C13" s="410" t="s">
        <v>311</v>
      </c>
      <c r="D13" s="410" t="s">
        <v>312</v>
      </c>
      <c r="E13" s="410" t="s">
        <v>313</v>
      </c>
      <c r="F13" s="406"/>
      <c r="G13" s="406"/>
      <c r="H13" s="406"/>
      <c r="I13" s="406"/>
      <c r="J13" s="406"/>
      <c r="K13" s="406"/>
    </row>
    <row r="14" spans="1:11" ht="14.4" thickBot="1" x14ac:dyDescent="0.35">
      <c r="A14" s="409" t="s">
        <v>314</v>
      </c>
      <c r="B14" s="411"/>
      <c r="C14" s="411">
        <f>D14+E14</f>
        <v>0</v>
      </c>
      <c r="D14" s="411"/>
      <c r="E14" s="411"/>
      <c r="F14" s="406"/>
      <c r="G14" s="406"/>
      <c r="H14" s="413"/>
      <c r="I14" s="406"/>
      <c r="J14" s="406"/>
      <c r="K14" s="406"/>
    </row>
    <row r="15" spans="1:11" ht="40.200000000000003" thickBot="1" x14ac:dyDescent="0.3">
      <c r="A15" s="409" t="s">
        <v>315</v>
      </c>
      <c r="B15" s="410"/>
      <c r="C15" s="411">
        <f t="shared" ref="C15:C19" si="1">D15+E15</f>
        <v>0</v>
      </c>
      <c r="D15" s="410"/>
      <c r="E15" s="410"/>
      <c r="F15" s="406"/>
      <c r="G15" s="406"/>
      <c r="H15" s="406"/>
      <c r="I15" s="406"/>
      <c r="J15" s="406"/>
      <c r="K15" s="406"/>
    </row>
    <row r="16" spans="1:11" ht="27.6" thickBot="1" x14ac:dyDescent="0.35">
      <c r="A16" s="409" t="s">
        <v>317</v>
      </c>
      <c r="B16" s="411"/>
      <c r="C16" s="411">
        <f t="shared" si="1"/>
        <v>0</v>
      </c>
      <c r="D16" s="411"/>
      <c r="E16" s="411"/>
      <c r="F16" s="406"/>
      <c r="G16" s="412" t="s">
        <v>321</v>
      </c>
      <c r="H16" s="406">
        <f>C16+C19</f>
        <v>0</v>
      </c>
      <c r="I16" s="406"/>
      <c r="J16" s="413"/>
      <c r="K16" s="406"/>
    </row>
    <row r="17" spans="1:11" ht="27" thickBot="1" x14ac:dyDescent="0.3">
      <c r="A17" s="409" t="s">
        <v>318</v>
      </c>
      <c r="B17" s="410"/>
      <c r="C17" s="411">
        <f t="shared" si="1"/>
        <v>0</v>
      </c>
      <c r="D17" s="410"/>
      <c r="E17" s="410"/>
      <c r="F17" s="406"/>
      <c r="G17" s="412" t="s">
        <v>316</v>
      </c>
      <c r="H17" s="406"/>
      <c r="I17" s="406"/>
      <c r="J17" s="406"/>
      <c r="K17" s="406"/>
    </row>
    <row r="18" spans="1:11" ht="27" thickBot="1" x14ac:dyDescent="0.3">
      <c r="A18" s="409" t="s">
        <v>319</v>
      </c>
      <c r="B18" s="410"/>
      <c r="C18" s="411">
        <f t="shared" si="1"/>
        <v>0</v>
      </c>
      <c r="D18" s="410"/>
      <c r="E18" s="410"/>
      <c r="F18" s="406"/>
      <c r="G18" s="406"/>
      <c r="H18" s="406"/>
      <c r="I18" s="406"/>
      <c r="J18" s="406"/>
      <c r="K18" s="406"/>
    </row>
    <row r="19" spans="1:11" ht="27" thickBot="1" x14ac:dyDescent="0.3">
      <c r="A19" s="409" t="s">
        <v>320</v>
      </c>
      <c r="B19" s="411"/>
      <c r="C19" s="411">
        <f t="shared" si="1"/>
        <v>0</v>
      </c>
      <c r="D19" s="411"/>
      <c r="E19" s="411"/>
      <c r="F19" s="406"/>
      <c r="G19" s="406"/>
      <c r="H19" s="406"/>
      <c r="I19" s="406"/>
      <c r="J19" s="406"/>
      <c r="K19" s="406"/>
    </row>
    <row r="20" spans="1:11" ht="13.8" thickBot="1" x14ac:dyDescent="0.3">
      <c r="A20" s="406"/>
      <c r="B20" s="406"/>
      <c r="C20" s="406"/>
      <c r="D20" s="406"/>
      <c r="E20" s="406"/>
      <c r="F20" s="406"/>
      <c r="G20" s="406"/>
      <c r="H20" s="406"/>
      <c r="I20" s="406"/>
      <c r="J20" s="406"/>
      <c r="K20" s="40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4"/>
  <sheetViews>
    <sheetView zoomScaleNormal="100" zoomScaleSheetLayoutView="115" workbookViewId="0">
      <selection activeCell="C41" sqref="C41"/>
    </sheetView>
  </sheetViews>
  <sheetFormatPr defaultColWidth="9.109375" defaultRowHeight="13.2" x14ac:dyDescent="0.25"/>
  <cols>
    <col min="1" max="1" width="6.88671875" style="11" customWidth="1"/>
    <col min="2" max="2" width="22.44140625" style="11" customWidth="1"/>
    <col min="3" max="3" width="17.44140625" style="11" customWidth="1"/>
    <col min="4" max="4" width="6.44140625" style="11" customWidth="1"/>
    <col min="5" max="5" width="21" style="11" customWidth="1"/>
    <col min="6" max="6" width="5.5546875" style="11" bestFit="1" customWidth="1"/>
    <col min="7" max="7" width="13.109375" style="11" customWidth="1"/>
    <col min="8" max="8" width="12.109375" style="11" bestFit="1" customWidth="1"/>
    <col min="9" max="9" width="16" style="1" customWidth="1"/>
    <col min="10" max="10" width="18.109375" style="1" bestFit="1" customWidth="1"/>
    <col min="11" max="11" width="23.33203125" style="1" customWidth="1"/>
    <col min="12" max="12" width="21.44140625" style="1" customWidth="1"/>
    <col min="13" max="16384" width="9.109375" style="1"/>
  </cols>
  <sheetData>
    <row r="1" spans="1:8" customFormat="1" ht="15.75" customHeight="1" x14ac:dyDescent="0.25">
      <c r="A1" s="12"/>
      <c r="B1" s="12"/>
      <c r="C1" s="12"/>
      <c r="D1" s="31"/>
      <c r="E1" s="77"/>
      <c r="F1" s="79"/>
      <c r="G1" s="80" t="s">
        <v>111</v>
      </c>
      <c r="H1" s="81" t="s">
        <v>110</v>
      </c>
    </row>
    <row r="2" spans="1:8" customFormat="1" ht="15.75" customHeight="1" x14ac:dyDescent="0.25">
      <c r="A2" s="12"/>
      <c r="B2" s="12"/>
      <c r="C2" s="12"/>
      <c r="D2" s="77"/>
      <c r="E2" s="77"/>
      <c r="F2" s="76"/>
      <c r="G2" s="82" t="s">
        <v>112</v>
      </c>
      <c r="H2" s="83" t="s">
        <v>150</v>
      </c>
    </row>
    <row r="3" spans="1:8" customFormat="1" ht="15.75" customHeight="1" x14ac:dyDescent="0.25">
      <c r="A3" s="12"/>
      <c r="B3" s="12"/>
      <c r="C3" s="12"/>
      <c r="D3" s="77"/>
      <c r="E3" s="77"/>
      <c r="F3" s="76"/>
      <c r="G3" s="82" t="s">
        <v>1</v>
      </c>
      <c r="H3" s="84">
        <v>41813</v>
      </c>
    </row>
    <row r="4" spans="1:8" customFormat="1" ht="15.75" customHeight="1" thickBot="1" x14ac:dyDescent="0.3">
      <c r="A4" s="12"/>
      <c r="B4" s="12"/>
      <c r="C4" s="12"/>
      <c r="D4" s="78"/>
      <c r="E4" s="78"/>
      <c r="F4" s="76"/>
      <c r="G4" s="85" t="s">
        <v>113</v>
      </c>
      <c r="H4" s="86">
        <v>12698</v>
      </c>
    </row>
    <row r="5" spans="1:8" customFormat="1" ht="9" customHeight="1" thickBot="1" x14ac:dyDescent="0.3">
      <c r="A5" s="87"/>
      <c r="B5" s="87"/>
      <c r="C5" s="87"/>
      <c r="D5" s="87"/>
      <c r="E5" s="87"/>
      <c r="F5" s="87"/>
      <c r="G5" s="87"/>
      <c r="H5" s="87"/>
    </row>
    <row r="6" spans="1:8" customFormat="1" ht="9" customHeight="1" thickTop="1" x14ac:dyDescent="0.25">
      <c r="A6" s="64"/>
      <c r="B6" s="64"/>
      <c r="C6" s="64"/>
      <c r="D6" s="64"/>
      <c r="E6" s="64"/>
      <c r="F6" s="64"/>
      <c r="G6" s="64"/>
      <c r="H6" s="64"/>
    </row>
    <row r="7" spans="1:8" s="10" customFormat="1" ht="22.5" customHeight="1" x14ac:dyDescent="0.25">
      <c r="A7" s="228" t="s">
        <v>73</v>
      </c>
      <c r="B7" s="228"/>
      <c r="C7" s="228"/>
      <c r="D7" s="228"/>
      <c r="E7" s="227" t="s">
        <v>84</v>
      </c>
      <c r="F7" s="227"/>
      <c r="G7" s="227"/>
      <c r="H7" s="227"/>
    </row>
    <row r="8" spans="1:8" ht="9.75" customHeight="1" x14ac:dyDescent="0.25"/>
    <row r="9" spans="1:8" ht="15.75" customHeight="1" x14ac:dyDescent="0.25">
      <c r="A9" s="229" t="s">
        <v>125</v>
      </c>
      <c r="B9" s="229"/>
      <c r="C9" s="229"/>
      <c r="D9" s="229"/>
      <c r="E9" s="229"/>
      <c r="F9" s="229"/>
      <c r="G9" s="229"/>
      <c r="H9" s="229"/>
    </row>
    <row r="10" spans="1:8" ht="15.75" customHeight="1" x14ac:dyDescent="0.25">
      <c r="A10" s="229" t="s">
        <v>126</v>
      </c>
      <c r="B10" s="215"/>
      <c r="C10" s="215"/>
      <c r="D10" s="215"/>
      <c r="E10" s="215"/>
      <c r="F10" s="215"/>
      <c r="G10" s="215"/>
      <c r="H10" s="215"/>
    </row>
    <row r="11" spans="1:8" ht="15.75" customHeight="1" x14ac:dyDescent="0.25">
      <c r="A11" s="229" t="s">
        <v>127</v>
      </c>
      <c r="B11" s="215"/>
      <c r="C11" s="215"/>
      <c r="D11" s="215"/>
      <c r="E11" s="215"/>
      <c r="F11" s="215"/>
      <c r="G11" s="215"/>
      <c r="H11" s="215"/>
    </row>
    <row r="12" spans="1:8" ht="8.25" customHeight="1" x14ac:dyDescent="0.25"/>
    <row r="13" spans="1:8" ht="21.75" customHeight="1" x14ac:dyDescent="0.25">
      <c r="A13" s="214" t="s">
        <v>0</v>
      </c>
      <c r="B13" s="208"/>
      <c r="C13" s="35"/>
      <c r="E13" s="34"/>
      <c r="F13" s="34"/>
    </row>
    <row r="14" spans="1:8" ht="21.75" customHeight="1" x14ac:dyDescent="0.25">
      <c r="A14" s="214" t="s">
        <v>72</v>
      </c>
      <c r="B14" s="208"/>
      <c r="C14" s="35"/>
      <c r="E14" s="34"/>
      <c r="F14" s="34"/>
    </row>
    <row r="15" spans="1:8" ht="21.75" customHeight="1" x14ac:dyDescent="0.25">
      <c r="A15" s="214" t="s">
        <v>1</v>
      </c>
      <c r="B15" s="208"/>
      <c r="C15" s="114"/>
      <c r="E15" s="32"/>
    </row>
    <row r="16" spans="1:8" ht="30" customHeight="1" thickBot="1" x14ac:dyDescent="0.3">
      <c r="A16" s="214" t="s">
        <v>61</v>
      </c>
      <c r="B16" s="208"/>
      <c r="C16" s="106"/>
    </row>
    <row r="17" spans="1:9" ht="25.5" customHeight="1" x14ac:dyDescent="0.25">
      <c r="A17" s="224" t="s">
        <v>123</v>
      </c>
      <c r="B17" s="104" t="s">
        <v>137</v>
      </c>
      <c r="C17" s="116" t="s">
        <v>133</v>
      </c>
      <c r="E17" s="36"/>
      <c r="F17" s="34"/>
      <c r="G17" s="33"/>
    </row>
    <row r="18" spans="1:9" ht="25.5" customHeight="1" x14ac:dyDescent="0.25">
      <c r="A18" s="225"/>
      <c r="B18" s="105" t="s">
        <v>138</v>
      </c>
      <c r="C18" s="116" t="s">
        <v>133</v>
      </c>
      <c r="E18" s="32"/>
      <c r="F18" s="34"/>
    </row>
    <row r="19" spans="1:9" ht="25.5" customHeight="1" x14ac:dyDescent="0.25">
      <c r="A19" s="225"/>
      <c r="B19" s="105" t="s">
        <v>146</v>
      </c>
      <c r="C19" s="99"/>
      <c r="E19" s="32"/>
      <c r="F19" s="34"/>
    </row>
    <row r="20" spans="1:9" ht="25.5" customHeight="1" x14ac:dyDescent="0.25">
      <c r="A20" s="225"/>
      <c r="B20" s="105" t="s">
        <v>120</v>
      </c>
      <c r="C20" s="116" t="s">
        <v>133</v>
      </c>
      <c r="E20" s="32"/>
      <c r="F20" s="34"/>
    </row>
    <row r="21" spans="1:9" ht="25.5" customHeight="1" x14ac:dyDescent="0.25">
      <c r="A21" s="225"/>
      <c r="B21" s="105" t="s">
        <v>154</v>
      </c>
      <c r="C21" s="99"/>
      <c r="E21" s="32"/>
      <c r="F21" s="102"/>
    </row>
    <row r="22" spans="1:9" ht="25.5" customHeight="1" x14ac:dyDescent="0.25">
      <c r="A22" s="225"/>
      <c r="B22" s="105" t="s">
        <v>124</v>
      </c>
      <c r="C22" s="99"/>
      <c r="E22" s="32"/>
      <c r="F22" s="103"/>
    </row>
    <row r="23" spans="1:9" ht="25.5" customHeight="1" x14ac:dyDescent="0.25">
      <c r="A23" s="225"/>
      <c r="B23" s="105" t="s">
        <v>151</v>
      </c>
      <c r="C23" s="99"/>
      <c r="E23" s="32"/>
      <c r="F23" s="103"/>
    </row>
    <row r="24" spans="1:9" ht="25.5" customHeight="1" x14ac:dyDescent="0.25">
      <c r="A24" s="225"/>
      <c r="B24" s="105" t="s">
        <v>152</v>
      </c>
      <c r="C24" s="99"/>
      <c r="E24" s="32"/>
      <c r="F24" s="103"/>
    </row>
    <row r="25" spans="1:9" ht="25.5" customHeight="1" x14ac:dyDescent="0.25">
      <c r="A25" s="193"/>
      <c r="B25" s="105" t="s">
        <v>161</v>
      </c>
      <c r="C25" s="106"/>
      <c r="E25" s="32"/>
      <c r="F25" s="103"/>
    </row>
    <row r="26" spans="1:9" ht="25.5" customHeight="1" x14ac:dyDescent="0.25">
      <c r="A26" s="193"/>
      <c r="B26" s="105" t="s">
        <v>167</v>
      </c>
      <c r="C26" s="106"/>
      <c r="E26" s="32"/>
      <c r="F26" s="103"/>
    </row>
    <row r="27" spans="1:9" ht="25.5" customHeight="1" thickBot="1" x14ac:dyDescent="0.3">
      <c r="A27" s="188"/>
      <c r="B27" s="191" t="s">
        <v>158</v>
      </c>
      <c r="C27" s="192"/>
      <c r="E27" s="32"/>
      <c r="F27" s="103"/>
    </row>
    <row r="28" spans="1:9" ht="15.75" customHeight="1" x14ac:dyDescent="0.25">
      <c r="A28" s="214" t="s">
        <v>69</v>
      </c>
      <c r="B28" s="208"/>
      <c r="C28" s="117">
        <f>IF(C16=Constants!A2,Constants!B2,IF(C16=Constants!A3,Constants!B3,IF(C16=Constants!A4,Constants!B4,IF(C16=Constants!A5,Constants!B5,IF(C16=Constants!A6,Constants!B6,)))))</f>
        <v>0</v>
      </c>
      <c r="D28" s="11" t="s">
        <v>2</v>
      </c>
    </row>
    <row r="29" spans="1:9" ht="15.75" customHeight="1" x14ac:dyDescent="0.25">
      <c r="A29" s="214" t="s">
        <v>66</v>
      </c>
      <c r="B29" s="208"/>
      <c r="C29" s="118">
        <f>C28+C27+SUMIF(Constants!E11:E21,"TRUE",Constants!D11:D21)+IF(C25=Constants!H2,Constants!I2,IF(C25=Constants!H3,Constants!I3,IF(C25=Constants!H4,Constants!I4,IF(C25=Constants!H5,Constants!I5,))))+IF(C26=Constants!J2,Constants!K2,IF(C26=Constants!J3,Constants!K3,IF(C26=Constants!J4,Constants!K4,IF(C26=Constants!J5,Constants!K5,IF(C26=Constants!J6,Constants!K6,)))))</f>
        <v>0</v>
      </c>
      <c r="D29" s="11" t="s">
        <v>2</v>
      </c>
      <c r="I29" s="2"/>
    </row>
    <row r="30" spans="1:9" ht="8.25" customHeight="1" x14ac:dyDescent="0.25">
      <c r="B30" s="37"/>
      <c r="D30" s="31"/>
      <c r="G30" s="38"/>
      <c r="I30" s="5"/>
    </row>
    <row r="31" spans="1:9" ht="15.75" customHeight="1" x14ac:dyDescent="0.25">
      <c r="C31" s="36" t="s">
        <v>4</v>
      </c>
      <c r="D31" s="30"/>
      <c r="E31" s="38" t="s">
        <v>3</v>
      </c>
      <c r="F31" s="38"/>
      <c r="G31" s="36" t="s">
        <v>5</v>
      </c>
    </row>
    <row r="32" spans="1:9" ht="15.75" customHeight="1" x14ac:dyDescent="0.25">
      <c r="A32" s="214" t="s">
        <v>41</v>
      </c>
      <c r="B32" s="208"/>
      <c r="C32" s="39">
        <v>0</v>
      </c>
      <c r="D32" s="40" t="s">
        <v>8</v>
      </c>
      <c r="E32" s="39">
        <v>0</v>
      </c>
      <c r="F32" s="41" t="s">
        <v>8</v>
      </c>
      <c r="G32" s="42">
        <f>C29*53.5*10^-6*(E32-C32)*E38</f>
        <v>0</v>
      </c>
      <c r="H32" s="11" t="s">
        <v>10</v>
      </c>
      <c r="I32" s="7" t="str">
        <f>IF(OR(C32&lt;-5,C32&gt;50),"Tank water temp out of range.  Allowable value between -5 and 50 degrees c",IF(OR(E32&lt;-5,E32&gt;50),"Target water temp out of range, allowable value between -5 and 50 degrees c",""))</f>
        <v/>
      </c>
    </row>
    <row r="33" spans="1:12" s="6" customFormat="1" ht="15.75" customHeight="1" x14ac:dyDescent="0.25">
      <c r="A33" s="216" t="s">
        <v>42</v>
      </c>
      <c r="B33" s="217"/>
      <c r="C33" s="44">
        <v>0</v>
      </c>
      <c r="D33" s="31" t="s">
        <v>7</v>
      </c>
      <c r="E33" s="44">
        <v>0</v>
      </c>
      <c r="F33" s="31" t="s">
        <v>7</v>
      </c>
      <c r="G33" s="42"/>
      <c r="H33" s="43"/>
      <c r="I33" s="9" t="str">
        <f>IF(AND(OR(C33=0,ABS(C33-1000)&lt;100),OR(E33=0,ABS(E33-1000)&lt;100)),"","Either tank or target density out of range.  Allowable values are 0 g/L or between 900 and 1100 g/L")</f>
        <v/>
      </c>
    </row>
    <row r="34" spans="1:12" s="6" customFormat="1" ht="15.75" customHeight="1" x14ac:dyDescent="0.25">
      <c r="A34" s="216" t="s">
        <v>43</v>
      </c>
      <c r="B34" s="217"/>
      <c r="C34" s="130">
        <v>0</v>
      </c>
      <c r="D34" s="45" t="s">
        <v>19</v>
      </c>
      <c r="E34" s="44">
        <v>0</v>
      </c>
      <c r="F34" s="43" t="s">
        <v>19</v>
      </c>
      <c r="G34" s="46"/>
      <c r="H34" s="43"/>
      <c r="I34" s="7" t="str">
        <f>IF(OR(C34&lt;0,C34&gt;10),"Tank water conductivity out of range",IF(OR(E34&lt;0,E34&gt;10),"Target water conductivity out of range",""))</f>
        <v/>
      </c>
    </row>
    <row r="35" spans="1:12" s="6" customFormat="1" ht="15.75" customHeight="1" x14ac:dyDescent="0.25">
      <c r="A35" s="216" t="s">
        <v>44</v>
      </c>
      <c r="B35" s="217"/>
      <c r="C35" s="44">
        <v>0</v>
      </c>
      <c r="D35" s="45" t="s">
        <v>6</v>
      </c>
      <c r="E35" s="44">
        <v>0</v>
      </c>
      <c r="F35" s="43" t="s">
        <v>6</v>
      </c>
      <c r="G35" s="46"/>
      <c r="H35" s="43"/>
      <c r="I35" s="7" t="str">
        <f>IF(OR(C35&lt;0,C35&gt;100),"Tank water salinity out of range",IF(OR(E35&lt;0,E35&gt;100),"Target water salinity out of range",""))</f>
        <v/>
      </c>
    </row>
    <row r="36" spans="1:12" s="6" customFormat="1" ht="15.75" customHeight="1" x14ac:dyDescent="0.25">
      <c r="A36" s="120"/>
      <c r="B36" s="121"/>
      <c r="C36" s="47"/>
      <c r="D36" s="48"/>
      <c r="E36" s="47"/>
      <c r="F36" s="49"/>
      <c r="G36" s="46"/>
      <c r="H36" s="43"/>
    </row>
    <row r="37" spans="1:12" ht="15.75" customHeight="1" x14ac:dyDescent="0.25">
      <c r="A37" s="214" t="s">
        <v>37</v>
      </c>
      <c r="B37" s="208"/>
      <c r="C37" s="50">
        <f>IF(C34,((0.008+((C32-15)/(1+0.0162*(C32-15)))*0.0005)+(SQRT(C34/(4.2914*(0.6766097+C32*(0.0200564+C32*(0.0001104259+C32*(-0.00000069698+C32*0.0000000010031)))))))*((-0.1692+((C32-15)/(1+0.0162*(C32-15)))*-0.0056)+(SQRT(C34/(4.2914*(0.6766097+C32*(0.0200564+C32*(0.0001104259+C32*(-0.00000069698+C32*0.0000000010031)))))))*((25.3851+((C32-15)/(1+0.0162*(C32-15)))*-0.0066)+(SQRT(C34/(4.2914*(0.6766097+C32*(0.0200564+C32*(0.0001104259+C32*(-0.00000069698+C32*0.0000000010031)))))))*((14.0941+((C32-15)/(1+0.0162*(C32-15)))*-0.0375)+(SQRT(C34/(4.2914*(0.6766097+C32*(0.0200564+C32*(0.0001104259+C32*(-0.00000069698+C32*0.0000000010031)))))))*((-7.0261+((C32-15)/(1+0.0162*(C32-15)))*0.0636)+(SQRT(C34/(4.2914*(0.6766097+C32*(0.0200564+C32*(0.0001104259+C32*(-0.00000069698+C32*0.0000000010031)))))))*((2.7081+((C32-15)/(1+0.0162*(C32-15)))*-0.0144))))))),C35)</f>
        <v>0</v>
      </c>
      <c r="D37" s="31" t="s">
        <v>6</v>
      </c>
      <c r="E37" s="50">
        <f>IF(E34,((0.008+((E32-15)/(1+0.0162*(E32-15)))*0.0005)+(SQRT(E34/(4.2914*(0.6766097+E32*(0.0200564+E32*(0.0001104259+E32*(-0.00000069698+E32*0.0000000010031)))))))*((-0.1692+((E32-15)/(1+0.0162*(E32-15)))*-0.0056)+(SQRT(E34/(4.2914*(0.6766097+E32*(0.0200564+E32*(0.0001104259+E32*(-0.00000069698+E32*0.0000000010031)))))))*((25.3851+((E32-15)/(1+0.0162*(E32-15)))*-0.0066)+(SQRT(E34/(4.2914*(0.6766097+E32*(0.0200564+E32*(0.0001104259+E32*(-0.00000069698+E32*0.0000000010031)))))))*((14.0941+((E32-15)/(1+0.0162*(E32-15)))*-0.0375)+(SQRT(E34/(4.2914*(0.6766097+E32*(0.0200564+E32*(0.0001104259+E32*(-0.00000069698+E32*0.0000000010031)))))))*((-7.0261+((E32-15)/(1+0.0162*(E32-15)))*0.0636)+(SQRT(E34/(4.2914*(0.6766097+E32*(0.0200564+E32*(0.0001104259+E32*(-0.00000069698+E32*0.0000000010031)))))))*((2.7081+((E32-15)/(1+0.0162*(E32-15)))*-0.0144))))))),E35)</f>
        <v>0</v>
      </c>
      <c r="F37" s="11" t="s">
        <v>6</v>
      </c>
      <c r="G37" s="42"/>
      <c r="I37" s="3"/>
    </row>
    <row r="38" spans="1:12" ht="15.75" customHeight="1" x14ac:dyDescent="0.25">
      <c r="A38" s="216" t="s">
        <v>40</v>
      </c>
      <c r="B38" s="217"/>
      <c r="C38" s="51">
        <f>IF(C33,C33,(999.842594+C32*(6.793952*10^-2+C32*(-9.09529*10^-3+C32*(1.001685*10^-4+C32*(-1.120083*10^-6+C32*6.536332*10^-9)))))+C37*((0.824493+C32*(-4.0899*10^-3+C32*(7.6438*10^-5+C32*(-8.2467*10^-7+C32*5.3875*10^-9))))+(-5.72466*10^-3+C32*(1.0227*10^-4-C32*1.6546*10^-6))*SQRT(C37)+4.8314*10^-4*C37))</f>
        <v>999.84259399999996</v>
      </c>
      <c r="D38" s="31" t="s">
        <v>7</v>
      </c>
      <c r="E38" s="51">
        <f>IF(E33,E33,(999.842594+E32*(6.793952*10^-2+E32*(-9.09529*10^-3+E32*(1.001685*10^-4+E32*(-1.120083*10^-6+E32*6.536332*10^-9)))))+E37*((0.824493+E32*(-4.0899*10^-3+E32*(7.6438*10^-5+E32*(-8.2467*10^-7+E32*5.3875*10^-9))))+(-5.72466*10^-3+E32*(1.0227*10^-4-E32*1.6546*10^-6))*SQRT(E37)+4.8314*10^-4*E37))</f>
        <v>999.84259399999996</v>
      </c>
      <c r="F38" s="11" t="s">
        <v>7</v>
      </c>
      <c r="G38" s="42">
        <f>(E38-C38)*C29</f>
        <v>0</v>
      </c>
      <c r="H38" s="11" t="s">
        <v>10</v>
      </c>
      <c r="I38" s="7" t="str">
        <f>IF(OR(C38&lt;900,C38&gt;1100),"Density of tank water out of range",IF(OR(E38&lt;900,E38&gt;1100),"Density of target water out of range",""))</f>
        <v/>
      </c>
      <c r="K38" s="4"/>
      <c r="L38" s="4"/>
    </row>
    <row r="39" spans="1:12" ht="15.75" customHeight="1" x14ac:dyDescent="0.3">
      <c r="A39" s="122"/>
      <c r="B39" s="122"/>
      <c r="E39" s="36" t="s">
        <v>9</v>
      </c>
      <c r="F39" s="36"/>
      <c r="G39" s="52">
        <f>SUM(G32:G38)</f>
        <v>0</v>
      </c>
      <c r="H39" s="11" t="s">
        <v>10</v>
      </c>
      <c r="I39" s="8" t="str">
        <f>IF(AND(I32="",I38="",E28=""),"","One or more parameters above need to be adjusted")</f>
        <v/>
      </c>
      <c r="K39" s="4"/>
      <c r="L39" s="4"/>
    </row>
    <row r="40" spans="1:12" ht="15.75" customHeight="1" x14ac:dyDescent="0.25">
      <c r="A40" s="214" t="s">
        <v>109</v>
      </c>
      <c r="B40" s="214"/>
      <c r="C40" s="109"/>
    </row>
    <row r="41" spans="1:12" ht="29.25" customHeight="1" x14ac:dyDescent="0.25">
      <c r="A41" s="218" t="s">
        <v>157</v>
      </c>
      <c r="B41" s="219"/>
      <c r="C41" s="75" t="str">
        <f>IF(C40="Lead",ABS(G39/0.912/2),IF(C40="Stainless Steel",ABS(G39/0.875/2),""))</f>
        <v/>
      </c>
    </row>
    <row r="42" spans="1:12" ht="9" customHeight="1" x14ac:dyDescent="0.25">
      <c r="A42" s="220"/>
      <c r="B42" s="220"/>
      <c r="C42" s="88"/>
    </row>
    <row r="43" spans="1:12" ht="15.75" customHeight="1" x14ac:dyDescent="0.25">
      <c r="A43" s="208" t="s">
        <v>87</v>
      </c>
      <c r="B43" s="209"/>
      <c r="C43" s="110"/>
      <c r="D43" s="207" t="s">
        <v>116</v>
      </c>
      <c r="E43" s="207"/>
    </row>
    <row r="44" spans="1:12" ht="15.75" customHeight="1" x14ac:dyDescent="0.25">
      <c r="A44" s="208" t="s">
        <v>92</v>
      </c>
      <c r="B44" s="209"/>
      <c r="C44" s="74" t="str">
        <f>IF(C43="Lithium","Lithium Pitch Pack",IF(C43="Alkaline","Alkaline Pitch Pack",""))</f>
        <v/>
      </c>
      <c r="D44" s="210"/>
      <c r="E44" s="210"/>
    </row>
    <row r="45" spans="1:12" ht="27" customHeight="1" x14ac:dyDescent="0.25">
      <c r="A45" s="221" t="s">
        <v>139</v>
      </c>
      <c r="B45" s="219"/>
      <c r="C45" s="134"/>
      <c r="D45" s="222"/>
      <c r="E45" s="223"/>
    </row>
    <row r="46" spans="1:12" ht="15.75" customHeight="1" x14ac:dyDescent="0.25">
      <c r="A46" s="208" t="s">
        <v>91</v>
      </c>
      <c r="B46" s="209"/>
      <c r="C46" s="119"/>
      <c r="D46" s="211"/>
      <c r="E46" s="210"/>
    </row>
    <row r="47" spans="1:12" ht="29.25" customHeight="1" x14ac:dyDescent="0.25">
      <c r="A47" s="208" t="s">
        <v>93</v>
      </c>
      <c r="B47" s="209"/>
      <c r="C47" s="131"/>
      <c r="D47" s="210"/>
      <c r="E47" s="210"/>
    </row>
    <row r="48" spans="1:12" ht="19.5" customHeight="1" thickBot="1" x14ac:dyDescent="0.3">
      <c r="A48" s="226" t="s">
        <v>156</v>
      </c>
      <c r="B48" s="226"/>
      <c r="C48" s="226"/>
      <c r="D48" s="226"/>
      <c r="E48" s="226"/>
      <c r="F48" s="226"/>
      <c r="G48" s="226"/>
      <c r="H48" s="226"/>
    </row>
    <row r="49" spans="1:8" ht="15.75" customHeight="1" thickTop="1" x14ac:dyDescent="0.25">
      <c r="A49" s="124" t="s">
        <v>114</v>
      </c>
      <c r="B49" s="125"/>
      <c r="C49" s="123"/>
      <c r="D49" s="123"/>
      <c r="E49" s="123"/>
      <c r="F49" s="123"/>
      <c r="G49" s="123"/>
      <c r="H49" s="123"/>
    </row>
    <row r="50" spans="1:8" ht="5.25" customHeight="1" x14ac:dyDescent="0.25"/>
    <row r="51" spans="1:8" ht="15.75" customHeight="1" x14ac:dyDescent="0.25">
      <c r="A51" s="215" t="s">
        <v>11</v>
      </c>
      <c r="B51" s="215"/>
      <c r="C51" s="215"/>
      <c r="D51" s="215"/>
      <c r="E51" s="215"/>
      <c r="F51" s="215"/>
      <c r="G51" s="215"/>
    </row>
    <row r="52" spans="1:8" ht="15.75" customHeight="1" x14ac:dyDescent="0.25">
      <c r="A52" s="215" t="s">
        <v>12</v>
      </c>
      <c r="B52" s="215"/>
      <c r="C52" s="215"/>
      <c r="D52" s="215"/>
      <c r="E52" s="215"/>
      <c r="F52" s="215"/>
      <c r="G52" s="215"/>
    </row>
    <row r="53" spans="1:8" ht="15.75" customHeight="1" x14ac:dyDescent="0.25">
      <c r="A53" s="215" t="s">
        <v>13</v>
      </c>
      <c r="B53" s="215"/>
      <c r="C53" s="215"/>
      <c r="D53" s="215"/>
      <c r="E53" s="215"/>
      <c r="F53" s="215"/>
      <c r="G53" s="215"/>
    </row>
    <row r="54" spans="1:8" ht="15.75" customHeight="1" x14ac:dyDescent="0.25">
      <c r="A54" s="215" t="s">
        <v>14</v>
      </c>
      <c r="B54" s="215"/>
      <c r="C54" s="215"/>
      <c r="D54" s="215"/>
      <c r="E54" s="215"/>
      <c r="F54" s="215"/>
      <c r="G54" s="215"/>
    </row>
    <row r="55" spans="1:8" ht="14.25" customHeight="1" x14ac:dyDescent="0.25">
      <c r="A55" s="213" t="s">
        <v>85</v>
      </c>
      <c r="B55" s="213"/>
      <c r="C55" s="213"/>
      <c r="D55" s="213"/>
      <c r="E55" s="213"/>
      <c r="F55" s="213"/>
      <c r="G55" s="213"/>
    </row>
    <row r="56" spans="1:8" ht="14.25" customHeight="1" x14ac:dyDescent="0.25">
      <c r="A56" s="213"/>
      <c r="B56" s="213"/>
      <c r="C56" s="213"/>
      <c r="D56" s="213"/>
      <c r="E56" s="213"/>
      <c r="F56" s="213"/>
      <c r="G56" s="213"/>
    </row>
    <row r="57" spans="1:8" ht="14.25" customHeight="1" x14ac:dyDescent="0.25">
      <c r="A57" s="213"/>
      <c r="B57" s="213"/>
      <c r="C57" s="213"/>
      <c r="D57" s="213"/>
      <c r="E57" s="213"/>
      <c r="F57" s="213"/>
      <c r="G57" s="213"/>
    </row>
    <row r="58" spans="1:8" ht="13.5" customHeight="1" x14ac:dyDescent="0.25">
      <c r="A58" s="213" t="s">
        <v>86</v>
      </c>
      <c r="B58" s="213"/>
      <c r="C58" s="213"/>
      <c r="D58" s="213"/>
      <c r="E58" s="213"/>
      <c r="F58" s="213"/>
      <c r="G58" s="213"/>
    </row>
    <row r="59" spans="1:8" ht="13.5" customHeight="1" x14ac:dyDescent="0.25">
      <c r="A59" s="213"/>
      <c r="B59" s="213"/>
      <c r="C59" s="213"/>
      <c r="D59" s="213"/>
      <c r="E59" s="213"/>
      <c r="F59" s="213"/>
      <c r="G59" s="213"/>
    </row>
    <row r="60" spans="1:8" ht="15.75" customHeight="1" x14ac:dyDescent="0.25"/>
    <row r="61" spans="1:8" ht="15.75" customHeight="1" x14ac:dyDescent="0.25">
      <c r="A61" s="202" t="s">
        <v>31</v>
      </c>
      <c r="B61" s="203"/>
      <c r="C61" s="39">
        <v>0</v>
      </c>
      <c r="D61" s="11" t="s">
        <v>23</v>
      </c>
      <c r="E61" s="53" t="str">
        <f>IF(ABS(C61&lt;1.25),"","Error: starting roll too high.  Re-check.")</f>
        <v/>
      </c>
      <c r="G61" s="1"/>
    </row>
    <row r="62" spans="1:8" ht="15.75" customHeight="1" x14ac:dyDescent="0.25">
      <c r="A62" s="202" t="s">
        <v>32</v>
      </c>
      <c r="B62" s="203"/>
      <c r="C62" s="54">
        <v>0</v>
      </c>
      <c r="D62" s="11" t="s">
        <v>23</v>
      </c>
      <c r="E62" s="53" t="str">
        <f>IF(ABS(C62&lt;1.25),"","Error: ending roll too high. Re-check.")</f>
        <v/>
      </c>
      <c r="G62" s="1"/>
    </row>
    <row r="63" spans="1:8" ht="15.75" customHeight="1" x14ac:dyDescent="0.25">
      <c r="A63" s="73"/>
      <c r="B63" s="72"/>
      <c r="C63" s="55"/>
      <c r="E63" s="56"/>
      <c r="G63" s="1"/>
    </row>
    <row r="64" spans="1:8" ht="15.75" customHeight="1" x14ac:dyDescent="0.25">
      <c r="A64" s="202" t="s">
        <v>33</v>
      </c>
      <c r="B64" s="203"/>
      <c r="C64" s="57">
        <v>0</v>
      </c>
      <c r="D64" s="11" t="s">
        <v>10</v>
      </c>
      <c r="E64" s="53" t="str">
        <f>IF(C64&lt;0,"Error: Weight should be positive",IF(C64&gt;2000,"Error, weight seems to be too high.",""))</f>
        <v/>
      </c>
      <c r="G64" s="1"/>
    </row>
    <row r="65" spans="1:7" ht="15.75" customHeight="1" x14ac:dyDescent="0.25">
      <c r="A65" s="202" t="s">
        <v>34</v>
      </c>
      <c r="B65" s="203"/>
      <c r="C65" s="57">
        <v>0</v>
      </c>
      <c r="D65" s="11" t="s">
        <v>10</v>
      </c>
      <c r="E65" s="53" t="str">
        <f>IF(C65&lt;0,"Error: Weight should be positive",IF(C65&gt;2000,"Error, weight seems to be too high.",""))</f>
        <v/>
      </c>
      <c r="G65" s="1"/>
    </row>
    <row r="66" spans="1:7" ht="15.75" customHeight="1" x14ac:dyDescent="0.25">
      <c r="A66" s="202" t="s">
        <v>35</v>
      </c>
      <c r="B66" s="203"/>
      <c r="C66" s="58">
        <f>(C62-C61)/(PI()/180)</f>
        <v>0</v>
      </c>
      <c r="D66" s="11" t="s">
        <v>30</v>
      </c>
      <c r="E66" s="56"/>
      <c r="G66" s="1"/>
    </row>
    <row r="67" spans="1:7" ht="26.25" customHeight="1" x14ac:dyDescent="0.25">
      <c r="A67" s="205" t="s">
        <v>94</v>
      </c>
      <c r="B67" s="206"/>
      <c r="C67" s="59">
        <v>107</v>
      </c>
      <c r="D67" s="11" t="s">
        <v>15</v>
      </c>
      <c r="E67" s="53" t="str">
        <f>IF(C67&lt;107,"Error: distance should be greater than radius of hull",IF(C67&gt;600,"Error: distance too high.",""))</f>
        <v/>
      </c>
      <c r="G67" s="1"/>
    </row>
    <row r="68" spans="1:7" ht="15.75" customHeight="1" x14ac:dyDescent="0.25">
      <c r="A68" s="202" t="s">
        <v>36</v>
      </c>
      <c r="B68" s="202"/>
      <c r="C68" s="202"/>
      <c r="E68" s="56"/>
      <c r="G68" s="1"/>
    </row>
    <row r="69" spans="1:7" ht="15.75" customHeight="1" x14ac:dyDescent="0.25">
      <c r="A69" s="66"/>
      <c r="B69" s="72"/>
      <c r="C69" s="60"/>
      <c r="E69" s="56"/>
      <c r="G69" s="1"/>
    </row>
    <row r="70" spans="1:7" ht="15.75" customHeight="1" x14ac:dyDescent="0.25">
      <c r="A70" s="204" t="s">
        <v>16</v>
      </c>
      <c r="B70" s="212"/>
      <c r="C70" s="58" t="e">
        <f>((C64+C65)*C67)/(C29*1000*TAN(C66*(PI()/180)))</f>
        <v>#DIV/0!</v>
      </c>
      <c r="D70" s="11" t="s">
        <v>15</v>
      </c>
      <c r="E70" s="56"/>
      <c r="G70" s="1"/>
    </row>
    <row r="71" spans="1:7" ht="15.75" customHeight="1" x14ac:dyDescent="0.25">
      <c r="A71" s="71"/>
      <c r="B71" s="72"/>
      <c r="C71" s="61"/>
      <c r="E71" s="56"/>
      <c r="G71" s="1"/>
    </row>
    <row r="72" spans="1:7" ht="15.75" customHeight="1" x14ac:dyDescent="0.25">
      <c r="A72" s="204" t="s">
        <v>25</v>
      </c>
      <c r="B72" s="212"/>
      <c r="C72" s="112">
        <f>D44</f>
        <v>0</v>
      </c>
      <c r="D72" s="11" t="s">
        <v>22</v>
      </c>
      <c r="E72" s="53" t="str">
        <f>IF(C72=0,"",IF(C72&lt;4,"Error: weight of pitch battery too low. Re-check",IF(C72&gt;12,"Error: weight of pitch battery too high.  Re-check.","")))</f>
        <v/>
      </c>
      <c r="G72" s="1"/>
    </row>
    <row r="73" spans="1:7" ht="26.25" customHeight="1" x14ac:dyDescent="0.25">
      <c r="A73" s="205" t="s">
        <v>95</v>
      </c>
      <c r="B73" s="206"/>
      <c r="C73" s="57">
        <v>1</v>
      </c>
      <c r="D73" s="11" t="s">
        <v>24</v>
      </c>
      <c r="E73" s="53" t="str">
        <f>IF(C73=1,"","Error: range of pitch battery is usually +/- 1 inch")</f>
        <v/>
      </c>
      <c r="G73" s="1"/>
    </row>
    <row r="74" spans="1:7" ht="15.75" customHeight="1" x14ac:dyDescent="0.25">
      <c r="A74" s="202" t="s">
        <v>17</v>
      </c>
      <c r="B74" s="203"/>
      <c r="C74" s="58" t="e">
        <f>DEGREES(ATAN((C72*25.4*C73/C28)/C70))</f>
        <v>#DIV/0!</v>
      </c>
      <c r="D74" s="11" t="s">
        <v>18</v>
      </c>
      <c r="E74" s="56"/>
      <c r="G74" s="1"/>
    </row>
    <row r="75" spans="1:7" ht="15.75" customHeight="1" x14ac:dyDescent="0.25">
      <c r="A75" s="184"/>
      <c r="B75" s="185"/>
      <c r="C75" s="61"/>
      <c r="E75" s="56"/>
      <c r="G75" s="1"/>
    </row>
    <row r="76" spans="1:7" ht="15.75" customHeight="1" x14ac:dyDescent="0.25">
      <c r="A76" s="62" t="s">
        <v>115</v>
      </c>
      <c r="E76" s="56"/>
      <c r="G76" s="1"/>
    </row>
    <row r="77" spans="1:7" ht="5.25" customHeight="1" x14ac:dyDescent="0.25">
      <c r="E77" s="56"/>
      <c r="G77" s="1"/>
    </row>
    <row r="78" spans="1:7" ht="15.75" customHeight="1" x14ac:dyDescent="0.25">
      <c r="A78" s="11" t="s">
        <v>47</v>
      </c>
      <c r="E78" s="56"/>
      <c r="G78" s="1"/>
    </row>
    <row r="79" spans="1:7" ht="15.75" customHeight="1" x14ac:dyDescent="0.25">
      <c r="A79" s="11" t="s">
        <v>20</v>
      </c>
      <c r="E79" s="56"/>
      <c r="G79" s="1"/>
    </row>
    <row r="80" spans="1:7" ht="15.75" customHeight="1" x14ac:dyDescent="0.25">
      <c r="A80" s="11" t="s">
        <v>45</v>
      </c>
      <c r="E80" s="56"/>
      <c r="G80" s="1"/>
    </row>
    <row r="81" spans="1:7" ht="15.75" customHeight="1" x14ac:dyDescent="0.25">
      <c r="A81" s="11" t="s">
        <v>21</v>
      </c>
      <c r="E81" s="56"/>
      <c r="G81" s="1"/>
    </row>
    <row r="82" spans="1:7" ht="5.25" customHeight="1" x14ac:dyDescent="0.25">
      <c r="E82" s="56"/>
      <c r="G82" s="1"/>
    </row>
    <row r="83" spans="1:7" ht="15.75" customHeight="1" x14ac:dyDescent="0.25">
      <c r="A83" s="202" t="s">
        <v>25</v>
      </c>
      <c r="B83" s="203"/>
      <c r="C83" s="113">
        <f>D44</f>
        <v>0</v>
      </c>
      <c r="D83" s="11" t="s">
        <v>22</v>
      </c>
      <c r="E83" s="53" t="str">
        <f>IF(C83=0,"",IF(C83&lt;4,"Error: weight of pitch battery too low. Re-check",IF(C83&gt;12,"Error: weight of pitch battery too high.  Re-check.","")))</f>
        <v/>
      </c>
      <c r="G83" s="1"/>
    </row>
    <row r="84" spans="1:7" ht="15.75" customHeight="1" x14ac:dyDescent="0.25">
      <c r="A84" s="202" t="s">
        <v>26</v>
      </c>
      <c r="B84" s="203"/>
      <c r="C84" s="63">
        <v>0</v>
      </c>
      <c r="D84" s="11" t="s">
        <v>23</v>
      </c>
      <c r="E84" s="53" t="str">
        <f>IF(ABS(C84&lt;1.25),"","Error: starting pitch too high.  Re-check.")</f>
        <v/>
      </c>
      <c r="G84" s="1"/>
    </row>
    <row r="85" spans="1:7" ht="15.75" customHeight="1" x14ac:dyDescent="0.25">
      <c r="A85" s="202" t="s">
        <v>27</v>
      </c>
      <c r="B85" s="203"/>
      <c r="C85" s="63">
        <v>0</v>
      </c>
      <c r="D85" s="11" t="s">
        <v>24</v>
      </c>
      <c r="E85" s="53" t="str">
        <f>IF(ABS(C85)&gt;1.1,"Error, battery position out of range","")</f>
        <v/>
      </c>
      <c r="G85" s="1"/>
    </row>
    <row r="86" spans="1:7" ht="15.75" customHeight="1" x14ac:dyDescent="0.25">
      <c r="A86" s="202" t="s">
        <v>28</v>
      </c>
      <c r="B86" s="203"/>
      <c r="C86" s="63">
        <v>0</v>
      </c>
      <c r="D86" s="11" t="s">
        <v>23</v>
      </c>
      <c r="E86" s="53" t="str">
        <f>IF(ABS(C86&lt;1.25),"","Error: starting pitch too high.  Re-check.")</f>
        <v/>
      </c>
      <c r="G86" s="1"/>
    </row>
    <row r="87" spans="1:7" ht="15.75" customHeight="1" x14ac:dyDescent="0.25">
      <c r="A87" s="202" t="s">
        <v>29</v>
      </c>
      <c r="B87" s="203"/>
      <c r="C87" s="63">
        <v>0</v>
      </c>
      <c r="D87" s="11" t="s">
        <v>24</v>
      </c>
      <c r="E87" s="53" t="str">
        <f>IF(ABS(C87)&gt;1.1,"Error, battery position out of range","")</f>
        <v/>
      </c>
      <c r="G87" s="1"/>
    </row>
    <row r="88" spans="1:7" ht="15.75" customHeight="1" x14ac:dyDescent="0.25">
      <c r="A88" s="73"/>
      <c r="B88" s="72"/>
      <c r="E88" s="56"/>
      <c r="G88" s="1"/>
    </row>
    <row r="89" spans="1:7" ht="15.75" customHeight="1" x14ac:dyDescent="0.25">
      <c r="A89" s="204" t="s">
        <v>39</v>
      </c>
      <c r="B89" s="204"/>
      <c r="C89" s="111" t="e">
        <f>ABS(1000*25.4*(C85-C87)*(C83+0.1)/(C29*C38*TAN(C84-C86)))</f>
        <v>#DIV/0!</v>
      </c>
      <c r="D89" s="43" t="s">
        <v>15</v>
      </c>
      <c r="E89" s="56"/>
      <c r="G89" s="1"/>
    </row>
    <row r="90" spans="1:7" ht="8.25" customHeight="1" x14ac:dyDescent="0.25">
      <c r="A90" s="73"/>
      <c r="B90" s="72"/>
      <c r="E90" s="56"/>
      <c r="G90" s="1"/>
    </row>
    <row r="91" spans="1:7" ht="26.25" customHeight="1" x14ac:dyDescent="0.25">
      <c r="A91" s="205" t="s">
        <v>95</v>
      </c>
      <c r="B91" s="206"/>
      <c r="C91" s="57">
        <v>1</v>
      </c>
      <c r="D91" s="11" t="s">
        <v>24</v>
      </c>
      <c r="E91" s="53" t="str">
        <f>IF(C91=1,"","Error: range of pitch battery is usually +/- 1 inch")</f>
        <v/>
      </c>
      <c r="G91" s="1"/>
    </row>
    <row r="92" spans="1:7" ht="15.75" customHeight="1" x14ac:dyDescent="0.25">
      <c r="A92" s="202" t="s">
        <v>17</v>
      </c>
      <c r="B92" s="203"/>
      <c r="C92" s="58" t="e">
        <f>DEGREES(ATAN((C91*25.4*C83/C28)/C89))</f>
        <v>#DIV/0!</v>
      </c>
      <c r="D92" s="11" t="s">
        <v>18</v>
      </c>
      <c r="G92" s="1"/>
    </row>
    <row r="93" spans="1:7" ht="15.75" customHeight="1" x14ac:dyDescent="0.25">
      <c r="A93" s="36"/>
      <c r="B93" s="61"/>
      <c r="D93" s="30"/>
      <c r="E93" s="189"/>
      <c r="F93" s="30"/>
      <c r="G93" s="187"/>
    </row>
    <row r="94" spans="1:7" ht="15.75" customHeight="1" thickBot="1" x14ac:dyDescent="0.3">
      <c r="A94" s="36"/>
      <c r="B94" s="61"/>
      <c r="D94" s="30" t="s">
        <v>96</v>
      </c>
      <c r="E94" s="97"/>
      <c r="F94" s="30" t="s">
        <v>1</v>
      </c>
      <c r="G94" s="98"/>
    </row>
  </sheetData>
  <sheetProtection password="DA1B" sheet="1" objects="1" scenarios="1"/>
  <mergeCells count="57">
    <mergeCell ref="E7:H7"/>
    <mergeCell ref="A7:D7"/>
    <mergeCell ref="A14:B14"/>
    <mergeCell ref="A15:B15"/>
    <mergeCell ref="A16:B16"/>
    <mergeCell ref="A13:B13"/>
    <mergeCell ref="A10:H10"/>
    <mergeCell ref="A9:H9"/>
    <mergeCell ref="A11:H11"/>
    <mergeCell ref="A28:B28"/>
    <mergeCell ref="A29:B29"/>
    <mergeCell ref="A51:G51"/>
    <mergeCell ref="A52:G52"/>
    <mergeCell ref="A17:A24"/>
    <mergeCell ref="A48:H48"/>
    <mergeCell ref="A55:G57"/>
    <mergeCell ref="A58:G59"/>
    <mergeCell ref="A32:B32"/>
    <mergeCell ref="A54:G54"/>
    <mergeCell ref="A61:B61"/>
    <mergeCell ref="A53:G53"/>
    <mergeCell ref="A33:B33"/>
    <mergeCell ref="A34:B34"/>
    <mergeCell ref="A35:B35"/>
    <mergeCell ref="A37:B37"/>
    <mergeCell ref="A38:B38"/>
    <mergeCell ref="A40:B40"/>
    <mergeCell ref="A41:B41"/>
    <mergeCell ref="A42:B42"/>
    <mergeCell ref="A45:B45"/>
    <mergeCell ref="D45:E45"/>
    <mergeCell ref="A62:B62"/>
    <mergeCell ref="A64:B64"/>
    <mergeCell ref="A65:B65"/>
    <mergeCell ref="A66:B66"/>
    <mergeCell ref="A86:B86"/>
    <mergeCell ref="A67:B67"/>
    <mergeCell ref="A68:C68"/>
    <mergeCell ref="A70:B70"/>
    <mergeCell ref="A72:B72"/>
    <mergeCell ref="A73:B73"/>
    <mergeCell ref="A87:B87"/>
    <mergeCell ref="A89:B89"/>
    <mergeCell ref="A91:B91"/>
    <mergeCell ref="A92:B92"/>
    <mergeCell ref="D43:E43"/>
    <mergeCell ref="A43:B43"/>
    <mergeCell ref="A44:B44"/>
    <mergeCell ref="A46:B46"/>
    <mergeCell ref="A47:B47"/>
    <mergeCell ref="D44:E44"/>
    <mergeCell ref="D46:E46"/>
    <mergeCell ref="D47:E47"/>
    <mergeCell ref="A74:B74"/>
    <mergeCell ref="A83:B83"/>
    <mergeCell ref="A84:B84"/>
    <mergeCell ref="A85:B85"/>
  </mergeCells>
  <phoneticPr fontId="0" type="noConversion"/>
  <dataValidations count="7">
    <dataValidation type="list" allowBlank="1" showInputMessage="1" promptTitle="Select Glider Type" prompt="from drop-down menu" sqref="C16" xr:uid="{00000000-0002-0000-0000-000000000000}">
      <formula1>glider_type</formula1>
    </dataValidation>
    <dataValidation type="list" allowBlank="1" showInputMessage="1" showErrorMessage="1" promptTitle="Select Battery Type" prompt="from drop-down menu" sqref="C43" xr:uid="{00000000-0002-0000-0000-000001000000}">
      <formula1>battery_type</formula1>
    </dataValidation>
    <dataValidation type="list" allowBlank="1" showInputMessage="1" promptTitle="Select Aft Configuration" prompt="from drop-down menu" sqref="C46" xr:uid="{00000000-0002-0000-0000-000002000000}">
      <formula1>aft_config</formula1>
    </dataValidation>
    <dataValidation type="list" allowBlank="1" showInputMessage="1" promptTitle="Select Nose Configuration" prompt="from drop-down menu" sqref="C47" xr:uid="{00000000-0002-0000-0000-000003000000}">
      <formula1>nose_config</formula1>
    </dataValidation>
    <dataValidation type="list" allowBlank="1" showInputMessage="1" showErrorMessage="1" promptTitle="Select Weight Material" prompt="from the drop-down menu" sqref="C40" xr:uid="{00000000-0002-0000-0000-000004000000}">
      <formula1>weight_type</formula1>
    </dataValidation>
    <dataValidation type="list" allowBlank="1" showInputMessage="1" promptTitle="Select Pond Wings" prompt="from drop-down menu" sqref="C25" xr:uid="{00000000-0002-0000-0000-000005000000}">
      <formula1>pond_wings</formula1>
    </dataValidation>
    <dataValidation type="list" allowBlank="1" showInputMessage="1" promptTitle="Select Pinger" prompt="from drop-down menu" sqref="C26" xr:uid="{00000000-0002-0000-0000-000006000000}">
      <formula1>pinger_style</formula1>
    </dataValidation>
  </dataValidations>
  <pageMargins left="0.75" right="0.25" top="0.25" bottom="0.75" header="0.3" footer="0.3"/>
  <pageSetup scale="75" orientation="portrait" horizontalDpi="1200" verticalDpi="1200" r:id="rId1"/>
  <headerFooter alignWithMargins="0"/>
  <rowBreaks count="1" manualBreakCount="1">
    <brk id="48"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1034" r:id="rId4" name="Check Box 10">
              <controlPr defaultSize="0" autoFill="0" autoLine="0" autoPict="0">
                <anchor moveWithCells="1">
                  <from>
                    <xdr:col>2</xdr:col>
                    <xdr:colOff>464820</xdr:colOff>
                    <xdr:row>18</xdr:row>
                    <xdr:rowOff>83820</xdr:rowOff>
                  </from>
                  <to>
                    <xdr:col>2</xdr:col>
                    <xdr:colOff>708660</xdr:colOff>
                    <xdr:row>18</xdr:row>
                    <xdr:rowOff>251460</xdr:rowOff>
                  </to>
                </anchor>
              </controlPr>
            </control>
          </mc:Choice>
        </mc:AlternateContent>
        <mc:AlternateContent xmlns:mc="http://schemas.openxmlformats.org/markup-compatibility/2006">
          <mc:Choice Requires="x14">
            <control shapeId="1035" r:id="rId5" name="Check Box 11">
              <controlPr defaultSize="0" autoFill="0" autoLine="0" autoPict="0">
                <anchor moveWithCells="1">
                  <from>
                    <xdr:col>2</xdr:col>
                    <xdr:colOff>289560</xdr:colOff>
                    <xdr:row>17</xdr:row>
                    <xdr:rowOff>83820</xdr:rowOff>
                  </from>
                  <to>
                    <xdr:col>2</xdr:col>
                    <xdr:colOff>502920</xdr:colOff>
                    <xdr:row>17</xdr:row>
                    <xdr:rowOff>259080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2</xdr:col>
                    <xdr:colOff>297180</xdr:colOff>
                    <xdr:row>19</xdr:row>
                    <xdr:rowOff>83820</xdr:rowOff>
                  </from>
                  <to>
                    <xdr:col>2</xdr:col>
                    <xdr:colOff>518160</xdr:colOff>
                    <xdr:row>19</xdr:row>
                    <xdr:rowOff>251460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2</xdr:col>
                    <xdr:colOff>289560</xdr:colOff>
                    <xdr:row>16</xdr:row>
                    <xdr:rowOff>60960</xdr:rowOff>
                  </from>
                  <to>
                    <xdr:col>2</xdr:col>
                    <xdr:colOff>518160</xdr:colOff>
                    <xdr:row>16</xdr:row>
                    <xdr:rowOff>289560</xdr:rowOff>
                  </to>
                </anchor>
              </controlPr>
            </control>
          </mc:Choice>
        </mc:AlternateContent>
        <mc:AlternateContent xmlns:mc="http://schemas.openxmlformats.org/markup-compatibility/2006">
          <mc:Choice Requires="x14">
            <control shapeId="1041" r:id="rId8" name="Check Box 17">
              <controlPr defaultSize="0" autoFill="0" autoLine="0" autoPict="0">
                <anchor moveWithCells="1">
                  <from>
                    <xdr:col>2</xdr:col>
                    <xdr:colOff>922020</xdr:colOff>
                    <xdr:row>16</xdr:row>
                    <xdr:rowOff>60960</xdr:rowOff>
                  </from>
                  <to>
                    <xdr:col>3</xdr:col>
                    <xdr:colOff>0</xdr:colOff>
                    <xdr:row>16</xdr:row>
                    <xdr:rowOff>289560</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2</xdr:col>
                    <xdr:colOff>937260</xdr:colOff>
                    <xdr:row>17</xdr:row>
                    <xdr:rowOff>83820</xdr:rowOff>
                  </from>
                  <to>
                    <xdr:col>2</xdr:col>
                    <xdr:colOff>1150620</xdr:colOff>
                    <xdr:row>17</xdr:row>
                    <xdr:rowOff>259080</xdr:rowOff>
                  </to>
                </anchor>
              </controlPr>
            </control>
          </mc:Choice>
        </mc:AlternateContent>
        <mc:AlternateContent xmlns:mc="http://schemas.openxmlformats.org/markup-compatibility/2006">
          <mc:Choice Requires="x14">
            <control shapeId="1056" r:id="rId10" name="Check Box 32">
              <controlPr defaultSize="0" autoFill="0" autoLine="0" autoPict="0">
                <anchor moveWithCells="1">
                  <from>
                    <xdr:col>2</xdr:col>
                    <xdr:colOff>464820</xdr:colOff>
                    <xdr:row>21</xdr:row>
                    <xdr:rowOff>83820</xdr:rowOff>
                  </from>
                  <to>
                    <xdr:col>2</xdr:col>
                    <xdr:colOff>685800</xdr:colOff>
                    <xdr:row>21</xdr:row>
                    <xdr:rowOff>251460</xdr:rowOff>
                  </to>
                </anchor>
              </controlPr>
            </control>
          </mc:Choice>
        </mc:AlternateContent>
        <mc:AlternateContent xmlns:mc="http://schemas.openxmlformats.org/markup-compatibility/2006">
          <mc:Choice Requires="x14">
            <control shapeId="1058" r:id="rId11" name="Check Box 34">
              <controlPr defaultSize="0" autoFill="0" autoLine="0" autoPict="0">
                <anchor moveWithCells="1">
                  <from>
                    <xdr:col>2</xdr:col>
                    <xdr:colOff>464820</xdr:colOff>
                    <xdr:row>20</xdr:row>
                    <xdr:rowOff>83820</xdr:rowOff>
                  </from>
                  <to>
                    <xdr:col>2</xdr:col>
                    <xdr:colOff>685800</xdr:colOff>
                    <xdr:row>20</xdr:row>
                    <xdr:rowOff>251460</xdr:rowOff>
                  </to>
                </anchor>
              </controlPr>
            </control>
          </mc:Choice>
        </mc:AlternateContent>
        <mc:AlternateContent xmlns:mc="http://schemas.openxmlformats.org/markup-compatibility/2006">
          <mc:Choice Requires="x14">
            <control shapeId="1062" r:id="rId12" name="Check Box 38">
              <controlPr defaultSize="0" autoFill="0" autoLine="0" autoPict="0">
                <anchor moveWithCells="1">
                  <from>
                    <xdr:col>2</xdr:col>
                    <xdr:colOff>464820</xdr:colOff>
                    <xdr:row>22</xdr:row>
                    <xdr:rowOff>83820</xdr:rowOff>
                  </from>
                  <to>
                    <xdr:col>2</xdr:col>
                    <xdr:colOff>685800</xdr:colOff>
                    <xdr:row>22</xdr:row>
                    <xdr:rowOff>251460</xdr:rowOff>
                  </to>
                </anchor>
              </controlPr>
            </control>
          </mc:Choice>
        </mc:AlternateContent>
        <mc:AlternateContent xmlns:mc="http://schemas.openxmlformats.org/markup-compatibility/2006">
          <mc:Choice Requires="x14">
            <control shapeId="1064" r:id="rId13" name="Check Box 40">
              <controlPr defaultSize="0" autoFill="0" autoLine="0" autoPict="0">
                <anchor moveWithCells="1">
                  <from>
                    <xdr:col>2</xdr:col>
                    <xdr:colOff>464820</xdr:colOff>
                    <xdr:row>23</xdr:row>
                    <xdr:rowOff>83820</xdr:rowOff>
                  </from>
                  <to>
                    <xdr:col>2</xdr:col>
                    <xdr:colOff>685800</xdr:colOff>
                    <xdr:row>23</xdr:row>
                    <xdr:rowOff>251460</xdr:rowOff>
                  </to>
                </anchor>
              </controlPr>
            </control>
          </mc:Choice>
        </mc:AlternateContent>
        <mc:AlternateContent xmlns:mc="http://schemas.openxmlformats.org/markup-compatibility/2006">
          <mc:Choice Requires="x14">
            <control shapeId="1065" r:id="rId14" name="Check Box 41">
              <controlPr defaultSize="0" autoFill="0" autoLine="0" autoPict="0">
                <anchor moveWithCells="1">
                  <from>
                    <xdr:col>2</xdr:col>
                    <xdr:colOff>944880</xdr:colOff>
                    <xdr:row>19</xdr:row>
                    <xdr:rowOff>83820</xdr:rowOff>
                  </from>
                  <to>
                    <xdr:col>3</xdr:col>
                    <xdr:colOff>0</xdr:colOff>
                    <xdr:row>19</xdr:row>
                    <xdr:rowOff>251460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7000000}">
          <x14:formula1>
            <xm:f>Constants!$E$2:$E$3</xm:f>
          </x14:formula1>
          <xm:sqref>C45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B43E2-B07B-4424-A8B0-EED8D831E5C9}">
  <dimension ref="A1:J17"/>
  <sheetViews>
    <sheetView workbookViewId="0">
      <selection activeCell="D28" sqref="D28"/>
    </sheetView>
  </sheetViews>
  <sheetFormatPr defaultRowHeight="13.2" x14ac:dyDescent="0.25"/>
  <cols>
    <col min="1" max="1" width="18.88671875" bestFit="1" customWidth="1"/>
    <col min="257" max="257" width="18.88671875" bestFit="1" customWidth="1"/>
    <col min="513" max="513" width="18.88671875" bestFit="1" customWidth="1"/>
    <col min="769" max="769" width="18.88671875" bestFit="1" customWidth="1"/>
    <col min="1025" max="1025" width="18.88671875" bestFit="1" customWidth="1"/>
    <col min="1281" max="1281" width="18.88671875" bestFit="1" customWidth="1"/>
    <col min="1537" max="1537" width="18.88671875" bestFit="1" customWidth="1"/>
    <col min="1793" max="1793" width="18.88671875" bestFit="1" customWidth="1"/>
    <col min="2049" max="2049" width="18.88671875" bestFit="1" customWidth="1"/>
    <col min="2305" max="2305" width="18.88671875" bestFit="1" customWidth="1"/>
    <col min="2561" max="2561" width="18.88671875" bestFit="1" customWidth="1"/>
    <col min="2817" max="2817" width="18.88671875" bestFit="1" customWidth="1"/>
    <col min="3073" max="3073" width="18.88671875" bestFit="1" customWidth="1"/>
    <col min="3329" max="3329" width="18.88671875" bestFit="1" customWidth="1"/>
    <col min="3585" max="3585" width="18.88671875" bestFit="1" customWidth="1"/>
    <col min="3841" max="3841" width="18.88671875" bestFit="1" customWidth="1"/>
    <col min="4097" max="4097" width="18.88671875" bestFit="1" customWidth="1"/>
    <col min="4353" max="4353" width="18.88671875" bestFit="1" customWidth="1"/>
    <col min="4609" max="4609" width="18.88671875" bestFit="1" customWidth="1"/>
    <col min="4865" max="4865" width="18.88671875" bestFit="1" customWidth="1"/>
    <col min="5121" max="5121" width="18.88671875" bestFit="1" customWidth="1"/>
    <col min="5377" max="5377" width="18.88671875" bestFit="1" customWidth="1"/>
    <col min="5633" max="5633" width="18.88671875" bestFit="1" customWidth="1"/>
    <col min="5889" max="5889" width="18.88671875" bestFit="1" customWidth="1"/>
    <col min="6145" max="6145" width="18.88671875" bestFit="1" customWidth="1"/>
    <col min="6401" max="6401" width="18.88671875" bestFit="1" customWidth="1"/>
    <col min="6657" max="6657" width="18.88671875" bestFit="1" customWidth="1"/>
    <col min="6913" max="6913" width="18.88671875" bestFit="1" customWidth="1"/>
    <col min="7169" max="7169" width="18.88671875" bestFit="1" customWidth="1"/>
    <col min="7425" max="7425" width="18.88671875" bestFit="1" customWidth="1"/>
    <col min="7681" max="7681" width="18.88671875" bestFit="1" customWidth="1"/>
    <col min="7937" max="7937" width="18.88671875" bestFit="1" customWidth="1"/>
    <col min="8193" max="8193" width="18.88671875" bestFit="1" customWidth="1"/>
    <col min="8449" max="8449" width="18.88671875" bestFit="1" customWidth="1"/>
    <col min="8705" max="8705" width="18.88671875" bestFit="1" customWidth="1"/>
    <col min="8961" max="8961" width="18.88671875" bestFit="1" customWidth="1"/>
    <col min="9217" max="9217" width="18.88671875" bestFit="1" customWidth="1"/>
    <col min="9473" max="9473" width="18.88671875" bestFit="1" customWidth="1"/>
    <col min="9729" max="9729" width="18.88671875" bestFit="1" customWidth="1"/>
    <col min="9985" max="9985" width="18.88671875" bestFit="1" customWidth="1"/>
    <col min="10241" max="10241" width="18.88671875" bestFit="1" customWidth="1"/>
    <col min="10497" max="10497" width="18.88671875" bestFit="1" customWidth="1"/>
    <col min="10753" max="10753" width="18.88671875" bestFit="1" customWidth="1"/>
    <col min="11009" max="11009" width="18.88671875" bestFit="1" customWidth="1"/>
    <col min="11265" max="11265" width="18.88671875" bestFit="1" customWidth="1"/>
    <col min="11521" max="11521" width="18.88671875" bestFit="1" customWidth="1"/>
    <col min="11777" max="11777" width="18.88671875" bestFit="1" customWidth="1"/>
    <col min="12033" max="12033" width="18.88671875" bestFit="1" customWidth="1"/>
    <col min="12289" max="12289" width="18.88671875" bestFit="1" customWidth="1"/>
    <col min="12545" max="12545" width="18.88671875" bestFit="1" customWidth="1"/>
    <col min="12801" max="12801" width="18.88671875" bestFit="1" customWidth="1"/>
    <col min="13057" max="13057" width="18.88671875" bestFit="1" customWidth="1"/>
    <col min="13313" max="13313" width="18.88671875" bestFit="1" customWidth="1"/>
    <col min="13569" max="13569" width="18.88671875" bestFit="1" customWidth="1"/>
    <col min="13825" max="13825" width="18.88671875" bestFit="1" customWidth="1"/>
    <col min="14081" max="14081" width="18.88671875" bestFit="1" customWidth="1"/>
    <col min="14337" max="14337" width="18.88671875" bestFit="1" customWidth="1"/>
    <col min="14593" max="14593" width="18.88671875" bestFit="1" customWidth="1"/>
    <col min="14849" max="14849" width="18.88671875" bestFit="1" customWidth="1"/>
    <col min="15105" max="15105" width="18.88671875" bestFit="1" customWidth="1"/>
    <col min="15361" max="15361" width="18.88671875" bestFit="1" customWidth="1"/>
    <col min="15617" max="15617" width="18.88671875" bestFit="1" customWidth="1"/>
    <col min="15873" max="15873" width="18.88671875" bestFit="1" customWidth="1"/>
    <col min="16129" max="16129" width="18.88671875" bestFit="1" customWidth="1"/>
  </cols>
  <sheetData>
    <row r="1" spans="1:10" ht="18" customHeight="1" x14ac:dyDescent="0.25">
      <c r="A1" s="353" t="s">
        <v>285</v>
      </c>
      <c r="B1" s="376" t="str">
        <f>"-"</f>
        <v>-</v>
      </c>
      <c r="C1" s="376"/>
      <c r="D1" s="376"/>
      <c r="E1" s="376"/>
      <c r="F1" s="376" t="str">
        <f>"+"</f>
        <v>+</v>
      </c>
      <c r="G1" s="376"/>
      <c r="H1" s="376"/>
      <c r="I1" s="376"/>
    </row>
    <row r="2" spans="1:10" ht="18" customHeight="1" x14ac:dyDescent="0.25">
      <c r="B2" s="377"/>
      <c r="C2" s="377"/>
      <c r="D2" s="377"/>
      <c r="E2" s="377"/>
      <c r="F2" s="377"/>
      <c r="G2" s="377"/>
      <c r="H2" s="377"/>
      <c r="I2" s="377"/>
    </row>
    <row r="3" spans="1:10" ht="18" customHeight="1" x14ac:dyDescent="0.25">
      <c r="B3" s="378" t="s">
        <v>286</v>
      </c>
      <c r="C3" s="379"/>
      <c r="D3" s="380" t="s">
        <v>287</v>
      </c>
      <c r="E3" s="381"/>
      <c r="F3" s="382" t="s">
        <v>288</v>
      </c>
      <c r="G3" s="383"/>
      <c r="H3" s="384" t="s">
        <v>289</v>
      </c>
      <c r="I3" s="385"/>
    </row>
    <row r="4" spans="1:10" ht="18" customHeight="1" x14ac:dyDescent="0.25">
      <c r="B4" s="386"/>
      <c r="C4" s="387"/>
      <c r="D4" s="388" t="s">
        <v>280</v>
      </c>
      <c r="E4" s="388" t="s">
        <v>277</v>
      </c>
      <c r="F4" s="389" t="s">
        <v>280</v>
      </c>
      <c r="G4" s="390" t="s">
        <v>277</v>
      </c>
      <c r="H4" s="391"/>
      <c r="I4" s="392"/>
    </row>
    <row r="5" spans="1:10" ht="18" customHeight="1" x14ac:dyDescent="0.25">
      <c r="B5" s="366"/>
      <c r="C5" s="366"/>
      <c r="D5" s="393"/>
      <c r="E5" s="393"/>
      <c r="F5" s="393"/>
      <c r="G5" s="393"/>
      <c r="H5" s="366"/>
      <c r="I5" s="366"/>
    </row>
    <row r="6" spans="1:10" ht="18" customHeight="1" x14ac:dyDescent="0.25">
      <c r="A6" s="364" t="s">
        <v>290</v>
      </c>
      <c r="B6" s="394" t="s">
        <v>291</v>
      </c>
      <c r="C6" s="395" t="s">
        <v>292</v>
      </c>
      <c r="D6" s="395" t="s">
        <v>293</v>
      </c>
      <c r="E6" s="395"/>
      <c r="F6" s="395"/>
      <c r="G6" s="395" t="s">
        <v>294</v>
      </c>
      <c r="H6" s="395" t="s">
        <v>295</v>
      </c>
      <c r="I6" s="395" t="s">
        <v>296</v>
      </c>
    </row>
    <row r="7" spans="1:10" ht="18" customHeight="1" x14ac:dyDescent="0.25">
      <c r="A7" s="396" t="s">
        <v>297</v>
      </c>
      <c r="B7" s="273">
        <v>-24</v>
      </c>
      <c r="C7" s="273">
        <v>-15</v>
      </c>
      <c r="D7" s="273">
        <v>-7.5</v>
      </c>
      <c r="E7" s="273"/>
      <c r="F7" s="273"/>
      <c r="G7" s="273">
        <v>9</v>
      </c>
      <c r="H7" s="397">
        <v>17.5</v>
      </c>
      <c r="I7" s="273">
        <v>27.5</v>
      </c>
    </row>
    <row r="8" spans="1:10" ht="18" customHeight="1" x14ac:dyDescent="0.25">
      <c r="A8" s="396" t="s">
        <v>298</v>
      </c>
      <c r="B8" s="273">
        <v>-400</v>
      </c>
      <c r="C8" s="273">
        <v>300</v>
      </c>
      <c r="D8" s="273">
        <v>-200</v>
      </c>
      <c r="E8" s="273"/>
      <c r="F8" s="273"/>
      <c r="G8" s="273">
        <v>200</v>
      </c>
      <c r="H8" s="273">
        <v>-300</v>
      </c>
      <c r="I8" s="273">
        <v>0</v>
      </c>
    </row>
    <row r="9" spans="1:10" ht="18" customHeight="1" x14ac:dyDescent="0.25">
      <c r="A9" s="396" t="s">
        <v>299</v>
      </c>
      <c r="B9" s="398">
        <f t="shared" ref="B9:I9" si="0">B7*B8</f>
        <v>9600</v>
      </c>
      <c r="C9" s="399">
        <f t="shared" si="0"/>
        <v>-4500</v>
      </c>
      <c r="D9" s="399">
        <f t="shared" si="0"/>
        <v>1500</v>
      </c>
      <c r="E9" s="399">
        <f t="shared" si="0"/>
        <v>0</v>
      </c>
      <c r="F9" s="399">
        <f t="shared" si="0"/>
        <v>0</v>
      </c>
      <c r="G9" s="399">
        <f t="shared" si="0"/>
        <v>1800</v>
      </c>
      <c r="H9" s="399">
        <f t="shared" si="0"/>
        <v>-5250</v>
      </c>
      <c r="I9" s="400">
        <f t="shared" si="0"/>
        <v>0</v>
      </c>
    </row>
    <row r="10" spans="1:10" ht="18" customHeight="1" x14ac:dyDescent="0.25">
      <c r="A10" s="396" t="s">
        <v>300</v>
      </c>
      <c r="B10" s="273">
        <v>306</v>
      </c>
      <c r="C10" s="273"/>
      <c r="D10" s="273"/>
      <c r="E10" s="273"/>
      <c r="F10" s="273"/>
      <c r="G10" s="273"/>
      <c r="H10" s="273"/>
      <c r="I10" s="273">
        <v>130</v>
      </c>
    </row>
    <row r="11" spans="1:10" ht="18" customHeight="1" x14ac:dyDescent="0.25">
      <c r="A11" s="396" t="s">
        <v>301</v>
      </c>
      <c r="B11" s="398">
        <f t="shared" ref="B11:I11" si="1">B10*B7</f>
        <v>-7344</v>
      </c>
      <c r="C11" s="399">
        <f t="shared" si="1"/>
        <v>0</v>
      </c>
      <c r="D11" s="399">
        <f t="shared" si="1"/>
        <v>0</v>
      </c>
      <c r="E11" s="399">
        <f t="shared" si="1"/>
        <v>0</v>
      </c>
      <c r="F11" s="399">
        <f t="shared" si="1"/>
        <v>0</v>
      </c>
      <c r="G11" s="399">
        <f t="shared" si="1"/>
        <v>0</v>
      </c>
      <c r="H11" s="399">
        <f t="shared" si="1"/>
        <v>0</v>
      </c>
      <c r="I11" s="400">
        <f t="shared" si="1"/>
        <v>3575</v>
      </c>
      <c r="J11" s="353" t="s">
        <v>302</v>
      </c>
    </row>
    <row r="12" spans="1:10" ht="18" customHeight="1" x14ac:dyDescent="0.25">
      <c r="A12" s="396" t="s">
        <v>303</v>
      </c>
      <c r="B12" s="273"/>
      <c r="C12" s="273"/>
      <c r="D12" s="273"/>
      <c r="E12" s="401">
        <f>SUM(B8:I8)+SUM(B10:I10)</f>
        <v>36</v>
      </c>
      <c r="F12" s="401"/>
      <c r="G12" s="273"/>
      <c r="H12" s="273"/>
      <c r="I12" s="273"/>
    </row>
    <row r="13" spans="1:10" ht="18" customHeight="1" x14ac:dyDescent="0.25">
      <c r="A13" s="396" t="s">
        <v>304</v>
      </c>
      <c r="B13" s="402">
        <f>306+130</f>
        <v>436</v>
      </c>
      <c r="C13" s="364" t="s">
        <v>305</v>
      </c>
      <c r="D13" s="402">
        <v>-370</v>
      </c>
      <c r="E13" s="403">
        <f>B13+D13</f>
        <v>66</v>
      </c>
      <c r="F13" s="403"/>
      <c r="G13" s="404">
        <f>E13-E12</f>
        <v>30</v>
      </c>
      <c r="H13" s="353" t="s">
        <v>306</v>
      </c>
    </row>
    <row r="14" spans="1:10" ht="18" customHeight="1" x14ac:dyDescent="0.25"/>
    <row r="15" spans="1:10" ht="18" customHeight="1" x14ac:dyDescent="0.25">
      <c r="D15" s="353"/>
      <c r="E15" s="405">
        <f>SUM(B9:I9)+SUM(B11:I11)</f>
        <v>-619</v>
      </c>
      <c r="F15" s="405"/>
      <c r="G15" s="353" t="s">
        <v>307</v>
      </c>
    </row>
    <row r="16" spans="1:10" ht="18" customHeight="1" x14ac:dyDescent="0.25">
      <c r="D16" s="353"/>
      <c r="E16" s="405">
        <f>E15/20</f>
        <v>-30.95</v>
      </c>
      <c r="F16" s="405"/>
      <c r="G16" s="353" t="s">
        <v>308</v>
      </c>
    </row>
    <row r="17" ht="18" customHeight="1" x14ac:dyDescent="0.25"/>
  </sheetData>
  <mergeCells count="10">
    <mergeCell ref="E12:F12"/>
    <mergeCell ref="E13:F13"/>
    <mergeCell ref="E15:F15"/>
    <mergeCell ref="E16:F16"/>
    <mergeCell ref="B1:E2"/>
    <mergeCell ref="F1:I2"/>
    <mergeCell ref="B3:C4"/>
    <mergeCell ref="D3:E3"/>
    <mergeCell ref="F3:G3"/>
    <mergeCell ref="H3:I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7F427-7A49-44AB-B214-C6C411B8F431}">
  <dimension ref="B1:L33"/>
  <sheetViews>
    <sheetView view="pageBreakPreview" zoomScale="85" zoomScaleNormal="115" zoomScaleSheetLayoutView="85" workbookViewId="0">
      <selection activeCell="I27" sqref="I27"/>
    </sheetView>
  </sheetViews>
  <sheetFormatPr defaultColWidth="9.6640625" defaultRowHeight="22.95" customHeight="1" x14ac:dyDescent="0.25"/>
  <cols>
    <col min="1" max="1" width="2.6640625" customWidth="1"/>
    <col min="2" max="7" width="9.6640625" customWidth="1"/>
    <col min="8" max="8" width="5.5546875" customWidth="1"/>
    <col min="12" max="12" width="7.5546875" customWidth="1"/>
  </cols>
  <sheetData>
    <row r="1" spans="2:12" ht="22.95" customHeight="1" x14ac:dyDescent="0.3">
      <c r="B1" s="375" t="s">
        <v>284</v>
      </c>
      <c r="C1" s="351"/>
      <c r="D1" s="375" t="s">
        <v>283</v>
      </c>
      <c r="E1" s="351"/>
      <c r="F1" s="351"/>
      <c r="G1" s="374" t="s">
        <v>282</v>
      </c>
      <c r="I1" s="373"/>
      <c r="J1" s="351"/>
      <c r="K1" s="351"/>
    </row>
    <row r="2" spans="2:12" ht="18" customHeight="1" x14ac:dyDescent="0.25">
      <c r="F2" s="372" t="s">
        <v>267</v>
      </c>
      <c r="I2" s="371" t="s">
        <v>281</v>
      </c>
      <c r="J2" s="370"/>
      <c r="K2" s="370"/>
      <c r="L2" s="370"/>
    </row>
    <row r="3" spans="2:12" ht="22.95" customHeight="1" x14ac:dyDescent="0.25">
      <c r="B3" s="369" t="s">
        <v>280</v>
      </c>
      <c r="C3" s="368" t="s">
        <v>279</v>
      </c>
      <c r="D3" s="368" t="s">
        <v>278</v>
      </c>
      <c r="E3" s="367" t="s">
        <v>277</v>
      </c>
      <c r="F3" s="365" t="s">
        <v>276</v>
      </c>
      <c r="G3" s="351"/>
      <c r="I3" s="358"/>
      <c r="J3" s="358"/>
      <c r="K3" s="358"/>
      <c r="L3" s="358"/>
    </row>
    <row r="4" spans="2:12" ht="22.95" customHeight="1" x14ac:dyDescent="0.25">
      <c r="B4" s="366" t="s">
        <v>275</v>
      </c>
      <c r="E4" s="366" t="s">
        <v>274</v>
      </c>
      <c r="F4" s="365" t="s">
        <v>273</v>
      </c>
      <c r="G4" s="351"/>
      <c r="I4" s="358"/>
      <c r="J4" s="358"/>
      <c r="K4" s="358"/>
      <c r="L4" s="358"/>
    </row>
    <row r="5" spans="2:12" ht="22.95" customHeight="1" x14ac:dyDescent="0.25">
      <c r="B5" s="351"/>
      <c r="E5" s="351"/>
      <c r="F5" s="359" t="s">
        <v>272</v>
      </c>
      <c r="G5" s="351"/>
      <c r="I5" s="358"/>
      <c r="J5" s="358"/>
      <c r="K5" s="358"/>
      <c r="L5" s="358"/>
    </row>
    <row r="6" spans="2:12" ht="22.95" customHeight="1" x14ac:dyDescent="0.25">
      <c r="B6" s="364" t="s">
        <v>271</v>
      </c>
      <c r="C6" s="351"/>
      <c r="D6" s="364" t="s">
        <v>271</v>
      </c>
      <c r="E6" s="363"/>
      <c r="F6" s="362"/>
      <c r="I6" s="358"/>
      <c r="J6" s="358"/>
      <c r="K6" s="358"/>
      <c r="L6" s="358"/>
    </row>
    <row r="7" spans="2:12" ht="22.95" customHeight="1" x14ac:dyDescent="0.25">
      <c r="B7" s="360" t="s">
        <v>270</v>
      </c>
      <c r="C7" s="361"/>
      <c r="D7" s="360" t="s">
        <v>270</v>
      </c>
      <c r="E7" s="360"/>
      <c r="F7" s="359" t="s">
        <v>269</v>
      </c>
      <c r="G7" s="351"/>
      <c r="I7" s="358"/>
      <c r="J7" s="358"/>
      <c r="K7" s="358"/>
      <c r="L7" s="358"/>
    </row>
    <row r="8" spans="2:12" ht="22.95" customHeight="1" x14ac:dyDescent="0.25">
      <c r="B8" s="360" t="s">
        <v>268</v>
      </c>
      <c r="C8" s="360"/>
      <c r="D8" s="361" t="s">
        <v>268</v>
      </c>
      <c r="E8" s="361"/>
      <c r="F8" s="359" t="s">
        <v>267</v>
      </c>
      <c r="G8" s="351"/>
      <c r="I8" s="358"/>
      <c r="J8" s="358"/>
      <c r="K8" s="358"/>
      <c r="L8" s="358"/>
    </row>
    <row r="9" spans="2:12" ht="22.95" customHeight="1" x14ac:dyDescent="0.25">
      <c r="B9" s="360" t="s">
        <v>266</v>
      </c>
      <c r="C9" s="360"/>
      <c r="D9" s="360" t="s">
        <v>266</v>
      </c>
      <c r="E9" s="360"/>
      <c r="F9" s="359" t="s">
        <v>265</v>
      </c>
      <c r="G9" s="351"/>
      <c r="I9" s="358"/>
      <c r="J9" s="358"/>
      <c r="K9" s="358"/>
      <c r="L9" s="358"/>
    </row>
    <row r="10" spans="2:12" ht="22.95" customHeight="1" x14ac:dyDescent="0.25">
      <c r="I10" s="358"/>
      <c r="J10" s="358"/>
      <c r="K10" s="358"/>
      <c r="L10" s="358"/>
    </row>
    <row r="11" spans="2:12" ht="22.95" customHeight="1" x14ac:dyDescent="0.25">
      <c r="B11" s="351"/>
      <c r="C11" s="351"/>
      <c r="D11" s="351"/>
      <c r="E11" s="351"/>
      <c r="F11" s="351"/>
      <c r="G11" s="351"/>
      <c r="H11" s="351"/>
      <c r="I11" s="351"/>
      <c r="J11" s="351"/>
      <c r="K11" s="351"/>
      <c r="L11" s="351"/>
    </row>
    <row r="12" spans="2:12" ht="22.95" customHeight="1" x14ac:dyDescent="0.3">
      <c r="B12" s="375" t="s">
        <v>284</v>
      </c>
      <c r="C12" s="351"/>
      <c r="D12" s="375" t="s">
        <v>283</v>
      </c>
      <c r="E12" s="351"/>
      <c r="F12" s="351"/>
      <c r="G12" s="374" t="s">
        <v>282</v>
      </c>
      <c r="I12" s="373"/>
      <c r="J12" s="351"/>
      <c r="K12" s="351"/>
    </row>
    <row r="13" spans="2:12" ht="22.95" customHeight="1" x14ac:dyDescent="0.25">
      <c r="F13" s="372" t="s">
        <v>267</v>
      </c>
      <c r="I13" s="371" t="s">
        <v>281</v>
      </c>
      <c r="J13" s="370"/>
      <c r="K13" s="370"/>
      <c r="L13" s="370"/>
    </row>
    <row r="14" spans="2:12" ht="22.95" customHeight="1" x14ac:dyDescent="0.25">
      <c r="B14" s="369" t="s">
        <v>280</v>
      </c>
      <c r="C14" s="368" t="s">
        <v>279</v>
      </c>
      <c r="D14" s="368" t="s">
        <v>278</v>
      </c>
      <c r="E14" s="367" t="s">
        <v>277</v>
      </c>
      <c r="F14" s="365" t="s">
        <v>276</v>
      </c>
      <c r="G14" s="351"/>
      <c r="I14" s="358"/>
      <c r="J14" s="358"/>
      <c r="K14" s="358"/>
      <c r="L14" s="358"/>
    </row>
    <row r="15" spans="2:12" ht="22.95" customHeight="1" x14ac:dyDescent="0.25">
      <c r="B15" s="366" t="s">
        <v>275</v>
      </c>
      <c r="E15" s="366" t="s">
        <v>274</v>
      </c>
      <c r="F15" s="365" t="s">
        <v>273</v>
      </c>
      <c r="G15" s="351"/>
      <c r="I15" s="358"/>
      <c r="J15" s="358"/>
      <c r="K15" s="358"/>
      <c r="L15" s="358"/>
    </row>
    <row r="16" spans="2:12" ht="22.95" customHeight="1" x14ac:dyDescent="0.25">
      <c r="B16" s="351"/>
      <c r="E16" s="351"/>
      <c r="F16" s="359" t="s">
        <v>272</v>
      </c>
      <c r="G16" s="351"/>
      <c r="I16" s="358"/>
      <c r="J16" s="358"/>
      <c r="K16" s="358"/>
      <c r="L16" s="358"/>
    </row>
    <row r="17" spans="2:12" ht="22.95" customHeight="1" x14ac:dyDescent="0.25">
      <c r="B17" s="364" t="s">
        <v>271</v>
      </c>
      <c r="C17" s="351"/>
      <c r="D17" s="364" t="s">
        <v>271</v>
      </c>
      <c r="E17" s="363"/>
      <c r="F17" s="362"/>
      <c r="I17" s="358"/>
      <c r="J17" s="358"/>
      <c r="K17" s="358"/>
      <c r="L17" s="358"/>
    </row>
    <row r="18" spans="2:12" ht="22.95" customHeight="1" x14ac:dyDescent="0.25">
      <c r="B18" s="360" t="s">
        <v>270</v>
      </c>
      <c r="C18" s="361"/>
      <c r="D18" s="360" t="s">
        <v>270</v>
      </c>
      <c r="E18" s="360"/>
      <c r="F18" s="359" t="s">
        <v>269</v>
      </c>
      <c r="G18" s="351"/>
      <c r="I18" s="358"/>
      <c r="J18" s="358"/>
      <c r="K18" s="358"/>
      <c r="L18" s="358"/>
    </row>
    <row r="19" spans="2:12" ht="22.95" customHeight="1" x14ac:dyDescent="0.25">
      <c r="B19" s="360" t="s">
        <v>268</v>
      </c>
      <c r="C19" s="360"/>
      <c r="D19" s="361" t="s">
        <v>268</v>
      </c>
      <c r="E19" s="361"/>
      <c r="F19" s="359" t="s">
        <v>267</v>
      </c>
      <c r="G19" s="351"/>
      <c r="I19" s="358"/>
      <c r="J19" s="358"/>
      <c r="K19" s="358"/>
      <c r="L19" s="358"/>
    </row>
    <row r="20" spans="2:12" ht="22.95" customHeight="1" x14ac:dyDescent="0.25">
      <c r="B20" s="360" t="s">
        <v>266</v>
      </c>
      <c r="C20" s="360"/>
      <c r="D20" s="360" t="s">
        <v>266</v>
      </c>
      <c r="E20" s="360"/>
      <c r="F20" s="359" t="s">
        <v>265</v>
      </c>
      <c r="G20" s="351"/>
      <c r="I20" s="358"/>
      <c r="J20" s="358"/>
      <c r="K20" s="358"/>
      <c r="L20" s="358"/>
    </row>
    <row r="21" spans="2:12" ht="22.95" customHeight="1" x14ac:dyDescent="0.25">
      <c r="I21" s="358"/>
      <c r="J21" s="358"/>
      <c r="K21" s="358"/>
      <c r="L21" s="358"/>
    </row>
    <row r="22" spans="2:12" ht="22.95" customHeight="1" x14ac:dyDescent="0.25">
      <c r="B22" s="351"/>
      <c r="C22" s="351"/>
      <c r="D22" s="351"/>
      <c r="E22" s="351"/>
      <c r="F22" s="351"/>
      <c r="G22" s="351"/>
      <c r="H22" s="351"/>
      <c r="I22" s="351"/>
      <c r="J22" s="351"/>
      <c r="K22" s="351"/>
      <c r="L22" s="351"/>
    </row>
    <row r="23" spans="2:12" ht="22.95" customHeight="1" x14ac:dyDescent="0.3">
      <c r="B23" s="375" t="s">
        <v>284</v>
      </c>
      <c r="C23" s="351"/>
      <c r="D23" s="375" t="s">
        <v>283</v>
      </c>
      <c r="E23" s="351"/>
      <c r="F23" s="351"/>
      <c r="G23" s="374" t="s">
        <v>282</v>
      </c>
      <c r="I23" s="373"/>
      <c r="J23" s="351"/>
      <c r="K23" s="351"/>
    </row>
    <row r="24" spans="2:12" ht="22.95" customHeight="1" x14ac:dyDescent="0.25">
      <c r="F24" s="372" t="s">
        <v>267</v>
      </c>
      <c r="I24" s="371" t="s">
        <v>281</v>
      </c>
      <c r="J24" s="370"/>
      <c r="K24" s="370"/>
      <c r="L24" s="370"/>
    </row>
    <row r="25" spans="2:12" ht="22.95" customHeight="1" x14ac:dyDescent="0.25">
      <c r="B25" s="369" t="s">
        <v>280</v>
      </c>
      <c r="C25" s="368" t="s">
        <v>279</v>
      </c>
      <c r="D25" s="368" t="s">
        <v>278</v>
      </c>
      <c r="E25" s="367" t="s">
        <v>277</v>
      </c>
      <c r="F25" s="365" t="s">
        <v>276</v>
      </c>
      <c r="G25" s="351"/>
      <c r="I25" s="358"/>
      <c r="J25" s="358"/>
      <c r="K25" s="358"/>
      <c r="L25" s="358"/>
    </row>
    <row r="26" spans="2:12" ht="22.95" customHeight="1" x14ac:dyDescent="0.25">
      <c r="B26" s="366" t="s">
        <v>275</v>
      </c>
      <c r="E26" s="366" t="s">
        <v>274</v>
      </c>
      <c r="F26" s="365" t="s">
        <v>273</v>
      </c>
      <c r="G26" s="351"/>
      <c r="I26" s="358"/>
      <c r="J26" s="358"/>
      <c r="K26" s="358"/>
      <c r="L26" s="358"/>
    </row>
    <row r="27" spans="2:12" ht="22.95" customHeight="1" x14ac:dyDescent="0.25">
      <c r="B27" s="351"/>
      <c r="E27" s="351"/>
      <c r="F27" s="359" t="s">
        <v>272</v>
      </c>
      <c r="G27" s="351"/>
      <c r="I27" s="358"/>
      <c r="J27" s="358"/>
      <c r="K27" s="358"/>
      <c r="L27" s="358"/>
    </row>
    <row r="28" spans="2:12" ht="22.95" customHeight="1" x14ac:dyDescent="0.25">
      <c r="B28" s="364" t="s">
        <v>271</v>
      </c>
      <c r="C28" s="351"/>
      <c r="D28" s="364" t="s">
        <v>271</v>
      </c>
      <c r="E28" s="363"/>
      <c r="F28" s="362"/>
      <c r="I28" s="358"/>
      <c r="J28" s="358"/>
      <c r="K28" s="358"/>
      <c r="L28" s="358"/>
    </row>
    <row r="29" spans="2:12" ht="22.95" customHeight="1" x14ac:dyDescent="0.25">
      <c r="B29" s="360" t="s">
        <v>270</v>
      </c>
      <c r="C29" s="361"/>
      <c r="D29" s="360" t="s">
        <v>270</v>
      </c>
      <c r="E29" s="360"/>
      <c r="F29" s="359" t="s">
        <v>269</v>
      </c>
      <c r="G29" s="351"/>
      <c r="I29" s="358"/>
      <c r="J29" s="358"/>
      <c r="K29" s="358"/>
      <c r="L29" s="358"/>
    </row>
    <row r="30" spans="2:12" ht="22.95" customHeight="1" x14ac:dyDescent="0.25">
      <c r="B30" s="360" t="s">
        <v>268</v>
      </c>
      <c r="C30" s="360"/>
      <c r="D30" s="361" t="s">
        <v>268</v>
      </c>
      <c r="E30" s="361"/>
      <c r="F30" s="359" t="s">
        <v>267</v>
      </c>
      <c r="G30" s="351"/>
      <c r="I30" s="358"/>
      <c r="J30" s="358"/>
      <c r="K30" s="358"/>
      <c r="L30" s="358"/>
    </row>
    <row r="31" spans="2:12" ht="22.95" customHeight="1" x14ac:dyDescent="0.25">
      <c r="B31" s="360" t="s">
        <v>266</v>
      </c>
      <c r="C31" s="360"/>
      <c r="D31" s="360" t="s">
        <v>266</v>
      </c>
      <c r="E31" s="360"/>
      <c r="F31" s="359" t="s">
        <v>265</v>
      </c>
      <c r="G31" s="351"/>
      <c r="I31" s="358"/>
      <c r="J31" s="358"/>
      <c r="K31" s="358"/>
      <c r="L31" s="358"/>
    </row>
    <row r="32" spans="2:12" ht="22.95" customHeight="1" x14ac:dyDescent="0.25">
      <c r="I32" s="358"/>
      <c r="J32" s="358"/>
      <c r="K32" s="358"/>
      <c r="L32" s="358"/>
    </row>
    <row r="33" spans="2:12" ht="22.95" customHeight="1" x14ac:dyDescent="0.25">
      <c r="B33" s="351"/>
      <c r="C33" s="351"/>
      <c r="D33" s="351"/>
      <c r="E33" s="351"/>
      <c r="F33" s="351"/>
      <c r="G33" s="351"/>
      <c r="H33" s="351"/>
      <c r="I33" s="351"/>
      <c r="J33" s="351"/>
      <c r="K33" s="351"/>
      <c r="L33" s="351"/>
    </row>
  </sheetData>
  <pageMargins left="0.25" right="0.25" top="0.75" bottom="0.75" header="0.3" footer="0.3"/>
  <pageSetup orientation="portrait" r:id="rId1"/>
  <headerFooter>
    <oddHeader>&amp;L&amp;"Arial,Bold"
&amp;C
&amp;"Arial,Bold"GLIDER: ________</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27"/>
  <sheetViews>
    <sheetView workbookViewId="0">
      <selection activeCell="C26" sqref="C26"/>
    </sheetView>
  </sheetViews>
  <sheetFormatPr defaultColWidth="9.109375" defaultRowHeight="13.2" x14ac:dyDescent="0.25"/>
  <cols>
    <col min="1" max="1" width="30.44140625" style="12" customWidth="1"/>
    <col min="2" max="2" width="26" style="12" bestFit="1" customWidth="1"/>
    <col min="3" max="3" width="24.109375" style="12" customWidth="1"/>
    <col min="4" max="4" width="20.6640625" style="12" customWidth="1"/>
    <col min="5" max="5" width="23.109375" style="12" customWidth="1"/>
    <col min="6" max="6" width="23.33203125" style="12" customWidth="1"/>
    <col min="7" max="7" width="18.6640625" style="12" customWidth="1"/>
    <col min="8" max="8" width="13.6640625" style="12" customWidth="1"/>
    <col min="9" max="9" width="30.6640625" style="12" customWidth="1"/>
    <col min="10" max="10" width="13.33203125" style="12" customWidth="1"/>
    <col min="11" max="11" width="24.88671875" style="12" customWidth="1"/>
    <col min="12" max="16384" width="9.109375" style="12"/>
  </cols>
  <sheetData>
    <row r="1" spans="1:15" ht="36.75" customHeight="1" thickBot="1" x14ac:dyDescent="0.3">
      <c r="A1" s="115" t="s">
        <v>62</v>
      </c>
      <c r="B1" s="115" t="s">
        <v>121</v>
      </c>
      <c r="C1" s="67" t="s">
        <v>88</v>
      </c>
      <c r="D1" s="67" t="s">
        <v>97</v>
      </c>
      <c r="E1" s="132" t="s">
        <v>142</v>
      </c>
      <c r="F1" s="67" t="s">
        <v>98</v>
      </c>
      <c r="G1" s="67" t="s">
        <v>106</v>
      </c>
      <c r="H1" s="196" t="s">
        <v>161</v>
      </c>
      <c r="I1" s="196" t="s">
        <v>166</v>
      </c>
      <c r="J1" s="196" t="s">
        <v>167</v>
      </c>
      <c r="K1" s="196" t="s">
        <v>168</v>
      </c>
    </row>
    <row r="2" spans="1:15" ht="24.75" customHeight="1" thickTop="1" x14ac:dyDescent="0.25">
      <c r="A2" s="14" t="s">
        <v>63</v>
      </c>
      <c r="B2" s="28">
        <f>52-D11</f>
        <v>42.52115858655317</v>
      </c>
      <c r="C2" s="68" t="s">
        <v>89</v>
      </c>
      <c r="D2" s="68" t="s">
        <v>99</v>
      </c>
      <c r="E2" s="68" t="s">
        <v>118</v>
      </c>
      <c r="F2" s="68" t="s">
        <v>103</v>
      </c>
      <c r="G2" s="68" t="s">
        <v>107</v>
      </c>
      <c r="H2" s="197" t="s">
        <v>162</v>
      </c>
      <c r="I2" s="197">
        <v>1.6</v>
      </c>
      <c r="J2" s="199" t="s">
        <v>169</v>
      </c>
      <c r="K2" s="198">
        <v>0.43</v>
      </c>
    </row>
    <row r="3" spans="1:15" ht="30" customHeight="1" x14ac:dyDescent="0.25">
      <c r="A3" s="13" t="s">
        <v>64</v>
      </c>
      <c r="B3" s="29">
        <f>55.2-D13</f>
        <v>44.924130132398517</v>
      </c>
      <c r="C3" s="69" t="s">
        <v>90</v>
      </c>
      <c r="D3" s="69" t="s">
        <v>100</v>
      </c>
      <c r="E3" s="133" t="s">
        <v>143</v>
      </c>
      <c r="F3" s="69" t="s">
        <v>104</v>
      </c>
      <c r="G3" s="69" t="s">
        <v>108</v>
      </c>
      <c r="H3" s="194" t="s">
        <v>163</v>
      </c>
      <c r="I3" s="194">
        <v>1.5</v>
      </c>
      <c r="J3" s="200" t="s">
        <v>170</v>
      </c>
      <c r="K3" s="195">
        <v>0.68</v>
      </c>
      <c r="L3" s="70"/>
      <c r="O3" s="70"/>
    </row>
    <row r="4" spans="1:15" ht="24.75" customHeight="1" x14ac:dyDescent="0.25">
      <c r="A4" s="13" t="s">
        <v>119</v>
      </c>
      <c r="B4" s="29">
        <f>56.3-D13</f>
        <v>46.024130132398511</v>
      </c>
      <c r="C4" s="69"/>
      <c r="D4" s="69" t="s">
        <v>101</v>
      </c>
      <c r="E4" s="69"/>
      <c r="F4" s="69" t="s">
        <v>105</v>
      </c>
      <c r="G4" s="69"/>
      <c r="H4" s="194" t="s">
        <v>164</v>
      </c>
      <c r="I4" s="194">
        <v>2</v>
      </c>
      <c r="J4" s="200" t="s">
        <v>171</v>
      </c>
      <c r="K4" s="195">
        <v>0.43</v>
      </c>
      <c r="L4" s="70"/>
      <c r="O4" s="70"/>
    </row>
    <row r="5" spans="1:15" ht="24.75" customHeight="1" x14ac:dyDescent="0.25">
      <c r="A5" s="13" t="s">
        <v>65</v>
      </c>
      <c r="B5" s="29">
        <f>56.3-D13</f>
        <v>46.024130132398511</v>
      </c>
      <c r="C5" s="13"/>
      <c r="D5" s="69" t="s">
        <v>102</v>
      </c>
      <c r="E5" s="69"/>
      <c r="F5" s="69" t="s">
        <v>145</v>
      </c>
      <c r="G5" s="13"/>
      <c r="H5" s="194" t="s">
        <v>165</v>
      </c>
      <c r="I5" s="194">
        <v>2.2999999999999998</v>
      </c>
      <c r="J5" s="200" t="s">
        <v>172</v>
      </c>
      <c r="K5" s="195">
        <v>0.43</v>
      </c>
      <c r="L5" s="70"/>
      <c r="O5" s="70"/>
    </row>
    <row r="6" spans="1:15" ht="24.75" customHeight="1" x14ac:dyDescent="0.25">
      <c r="A6" s="69" t="s">
        <v>153</v>
      </c>
      <c r="B6" s="29">
        <f>56.3-D13</f>
        <v>46.024130132398511</v>
      </c>
      <c r="C6" s="69"/>
      <c r="D6" s="69" t="s">
        <v>144</v>
      </c>
      <c r="E6" s="69"/>
      <c r="F6" s="69"/>
      <c r="G6" s="69"/>
      <c r="H6" s="195"/>
      <c r="I6" s="195"/>
      <c r="J6" s="200" t="s">
        <v>173</v>
      </c>
      <c r="K6" s="195">
        <v>0.08</v>
      </c>
      <c r="L6" s="70"/>
      <c r="O6" s="70"/>
    </row>
    <row r="7" spans="1:15" ht="24.75" customHeight="1" x14ac:dyDescent="0.25">
      <c r="A7" s="69"/>
      <c r="B7" s="29"/>
      <c r="C7" s="13"/>
      <c r="D7" s="13"/>
      <c r="E7" s="13"/>
      <c r="F7" s="13"/>
      <c r="G7" s="13"/>
      <c r="H7" s="195"/>
      <c r="I7" s="195"/>
      <c r="J7" s="195"/>
      <c r="K7" s="195"/>
      <c r="L7" s="70"/>
    </row>
    <row r="8" spans="1:15" ht="22.5" customHeight="1" x14ac:dyDescent="0.25">
      <c r="A8" s="11"/>
      <c r="B8" s="11"/>
      <c r="C8" s="11"/>
      <c r="D8" s="11"/>
      <c r="E8" s="11"/>
    </row>
    <row r="9" spans="1:15" ht="24.75" customHeight="1" x14ac:dyDescent="0.25">
      <c r="A9" s="241"/>
      <c r="B9" s="238" t="s">
        <v>130</v>
      </c>
      <c r="C9" s="237" t="s">
        <v>71</v>
      </c>
      <c r="D9" s="237"/>
      <c r="E9" s="237" t="s">
        <v>70</v>
      </c>
    </row>
    <row r="10" spans="1:15" ht="24.75" customHeight="1" thickBot="1" x14ac:dyDescent="0.3">
      <c r="A10" s="242"/>
      <c r="B10" s="239"/>
      <c r="C10" s="115" t="s">
        <v>67</v>
      </c>
      <c r="D10" s="17" t="s">
        <v>68</v>
      </c>
      <c r="E10" s="240"/>
    </row>
    <row r="11" spans="1:15" ht="24.75" customHeight="1" thickTop="1" x14ac:dyDescent="0.25">
      <c r="A11" s="16" t="s">
        <v>135</v>
      </c>
      <c r="B11" s="14">
        <v>10.5</v>
      </c>
      <c r="C11" s="107">
        <f>B11*(8.375/2)^2*PI()</f>
        <v>578.42733957276607</v>
      </c>
      <c r="D11" s="107">
        <f t="shared" ref="D11:D16" si="0">C11/61.023</f>
        <v>9.4788414134468315</v>
      </c>
      <c r="E11" s="18" t="b">
        <v>0</v>
      </c>
    </row>
    <row r="12" spans="1:15" ht="24.75" customHeight="1" x14ac:dyDescent="0.25">
      <c r="A12" s="16" t="s">
        <v>136</v>
      </c>
      <c r="B12" s="14">
        <v>10</v>
      </c>
      <c r="C12" s="107">
        <f>B12*(8.375/2)^2*PI()</f>
        <v>550.88318054549143</v>
      </c>
      <c r="D12" s="107">
        <f t="shared" si="0"/>
        <v>9.027468012806505</v>
      </c>
      <c r="E12" s="18" t="b">
        <v>0</v>
      </c>
    </row>
    <row r="13" spans="1:15" ht="24.75" customHeight="1" x14ac:dyDescent="0.25">
      <c r="A13" s="16" t="s">
        <v>132</v>
      </c>
      <c r="B13" s="14">
        <v>10.5</v>
      </c>
      <c r="C13" s="107">
        <f t="shared" ref="C13:C16" si="1">B13*(8.72/2)^2*PI()</f>
        <v>627.06440693064565</v>
      </c>
      <c r="D13" s="107">
        <f t="shared" si="0"/>
        <v>10.275869867601488</v>
      </c>
      <c r="E13" s="18" t="b">
        <v>0</v>
      </c>
    </row>
    <row r="14" spans="1:15" ht="24.75" customHeight="1" x14ac:dyDescent="0.25">
      <c r="A14" s="16" t="s">
        <v>131</v>
      </c>
      <c r="B14" s="14">
        <v>10</v>
      </c>
      <c r="C14" s="107">
        <f t="shared" si="1"/>
        <v>597.20419707680537</v>
      </c>
      <c r="D14" s="107">
        <f t="shared" si="0"/>
        <v>9.7865427310490354</v>
      </c>
      <c r="E14" s="18" t="b">
        <v>0</v>
      </c>
    </row>
    <row r="15" spans="1:15" ht="24.75" customHeight="1" x14ac:dyDescent="0.25">
      <c r="A15" s="15" t="s">
        <v>134</v>
      </c>
      <c r="B15" s="13">
        <v>14.85</v>
      </c>
      <c r="C15" s="108">
        <f t="shared" si="1"/>
        <v>886.84823265905595</v>
      </c>
      <c r="D15" s="108">
        <f t="shared" si="0"/>
        <v>14.533015955607819</v>
      </c>
      <c r="E15" s="19" t="b">
        <v>0</v>
      </c>
    </row>
    <row r="16" spans="1:15" ht="24.75" customHeight="1" x14ac:dyDescent="0.25">
      <c r="A16" s="15" t="s">
        <v>160</v>
      </c>
      <c r="B16" s="13">
        <v>5.75</v>
      </c>
      <c r="C16" s="108">
        <f t="shared" si="1"/>
        <v>343.3924133191631</v>
      </c>
      <c r="D16" s="108">
        <f t="shared" si="0"/>
        <v>5.6272620703531961</v>
      </c>
      <c r="E16" s="19" t="b">
        <v>0</v>
      </c>
    </row>
    <row r="17" spans="1:8" ht="24.75" customHeight="1" x14ac:dyDescent="0.25">
      <c r="A17" s="15" t="s">
        <v>159</v>
      </c>
      <c r="B17" s="13">
        <v>5.75</v>
      </c>
      <c r="C17" s="108">
        <f t="shared" ref="C17" si="2">B17*(8.72/2)^2*PI()</f>
        <v>343.3924133191631</v>
      </c>
      <c r="D17" s="108">
        <f t="shared" ref="D17" si="3">C17/61.023</f>
        <v>5.6272620703531961</v>
      </c>
      <c r="E17" s="19" t="b">
        <v>0</v>
      </c>
      <c r="H17" s="70"/>
    </row>
    <row r="18" spans="1:8" ht="24.75" customHeight="1" x14ac:dyDescent="0.25">
      <c r="A18" s="15" t="s">
        <v>174</v>
      </c>
      <c r="B18" s="13">
        <v>15.75</v>
      </c>
      <c r="C18" s="108">
        <f t="shared" ref="C18" si="4">B18*(8.72/2)^2*PI()</f>
        <v>940.59661039596847</v>
      </c>
      <c r="D18" s="108">
        <f t="shared" ref="D18" si="5">C18/61.023</f>
        <v>15.413804801402232</v>
      </c>
      <c r="E18" s="19" t="b">
        <v>0</v>
      </c>
      <c r="H18" s="70"/>
    </row>
    <row r="19" spans="1:8" ht="24.75" customHeight="1" x14ac:dyDescent="0.25">
      <c r="A19" s="15" t="s">
        <v>122</v>
      </c>
      <c r="B19" s="128" t="s">
        <v>118</v>
      </c>
      <c r="C19" s="129" t="s">
        <v>118</v>
      </c>
      <c r="D19" s="108">
        <v>0.432</v>
      </c>
      <c r="E19" s="127" t="b">
        <v>0</v>
      </c>
      <c r="H19" s="70"/>
    </row>
    <row r="20" spans="1:8" ht="24.75" customHeight="1" x14ac:dyDescent="0.25">
      <c r="A20" s="15" t="s">
        <v>151</v>
      </c>
      <c r="B20" s="128" t="s">
        <v>118</v>
      </c>
      <c r="C20" s="129" t="s">
        <v>118</v>
      </c>
      <c r="D20" s="108">
        <v>5.58</v>
      </c>
      <c r="E20" s="127" t="b">
        <v>0</v>
      </c>
      <c r="H20" s="70"/>
    </row>
    <row r="21" spans="1:8" ht="24.75" customHeight="1" x14ac:dyDescent="0.25">
      <c r="A21" s="15" t="s">
        <v>152</v>
      </c>
      <c r="B21" s="128" t="s">
        <v>118</v>
      </c>
      <c r="C21" s="129" t="s">
        <v>118</v>
      </c>
      <c r="D21" s="108">
        <v>1.48</v>
      </c>
      <c r="E21" s="127" t="b">
        <v>0</v>
      </c>
      <c r="H21" s="70"/>
    </row>
    <row r="22" spans="1:8" x14ac:dyDescent="0.25">
      <c r="A22" s="64"/>
      <c r="B22" s="64"/>
      <c r="C22" s="64"/>
      <c r="D22" s="64"/>
      <c r="E22" s="64"/>
      <c r="F22" s="64"/>
    </row>
    <row r="23" spans="1:8" x14ac:dyDescent="0.25">
      <c r="A23" s="30"/>
      <c r="B23" s="31"/>
      <c r="C23" s="31"/>
      <c r="D23" s="31"/>
      <c r="E23" s="65"/>
      <c r="F23" s="64"/>
    </row>
    <row r="24" spans="1:8" x14ac:dyDescent="0.25">
      <c r="A24" s="30"/>
      <c r="B24" s="31"/>
      <c r="C24" s="31"/>
      <c r="D24" s="31"/>
      <c r="E24" s="65"/>
      <c r="F24" s="64"/>
      <c r="H24" s="70"/>
    </row>
    <row r="25" spans="1:8" x14ac:dyDescent="0.25">
      <c r="A25" s="64"/>
      <c r="B25" s="64"/>
      <c r="C25" s="64"/>
      <c r="D25" s="64"/>
      <c r="E25" s="64"/>
      <c r="F25" s="64"/>
      <c r="H25" s="70"/>
    </row>
    <row r="26" spans="1:8" x14ac:dyDescent="0.25">
      <c r="A26" s="64"/>
      <c r="B26" s="64"/>
      <c r="C26" s="64"/>
      <c r="D26" s="64"/>
      <c r="E26" s="64"/>
      <c r="F26" s="64"/>
    </row>
    <row r="27" spans="1:8" x14ac:dyDescent="0.25">
      <c r="A27" s="64"/>
      <c r="B27" s="64"/>
      <c r="C27" s="64"/>
      <c r="D27" s="64"/>
      <c r="E27" s="64"/>
      <c r="F27" s="64"/>
    </row>
  </sheetData>
  <mergeCells count="4">
    <mergeCell ref="C9:D9"/>
    <mergeCell ref="B9:B10"/>
    <mergeCell ref="E9:E10"/>
    <mergeCell ref="A9:A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Ballast Sheet</vt:lpstr>
      <vt:lpstr>Worksheet</vt:lpstr>
      <vt:lpstr>Oil pump test</vt:lpstr>
      <vt:lpstr>TWR Ballast</vt:lpstr>
      <vt:lpstr>Trim Calculator</vt:lpstr>
      <vt:lpstr>Ballast Iteration</vt:lpstr>
      <vt:lpstr>Constants</vt:lpstr>
      <vt:lpstr>aft_config</vt:lpstr>
      <vt:lpstr>battery_type</vt:lpstr>
      <vt:lpstr>glider_type</vt:lpstr>
      <vt:lpstr>nose_config</vt:lpstr>
      <vt:lpstr>pinger_style</vt:lpstr>
      <vt:lpstr>pond_wings</vt:lpstr>
      <vt:lpstr>'Ballast Iteration'!Print_Area</vt:lpstr>
      <vt:lpstr>'TWR Ballast'!Print_Area</vt:lpstr>
      <vt:lpstr>Worksheet!Print_Area</vt:lpstr>
      <vt:lpstr>'TWR Ballast'!Print_Titles</vt:lpstr>
      <vt:lpstr>weight_type</vt:lpstr>
    </vt:vector>
  </TitlesOfParts>
  <Company>Webb Reseach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GLIDER BALLASTING SPREADSHEET</dc:title>
  <dc:subject>GLIDER</dc:subject>
  <dc:creator>bhurley</dc:creator>
  <cp:lastModifiedBy>Anthony Cossio</cp:lastModifiedBy>
  <cp:lastPrinted>2014-05-15T17:59:22Z</cp:lastPrinted>
  <dcterms:created xsi:type="dcterms:W3CDTF">2004-03-12T20:33:34Z</dcterms:created>
  <dcterms:modified xsi:type="dcterms:W3CDTF">2025-08-08T19:17:38Z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Number">
    <vt:lpwstr>
    </vt:lpwstr>
  </property>
  <property fmtid="{D5CDD505-2E9C-101B-9397-08002B2CF9AE}" pid="3" name="Project Name">
    <vt:lpwstr>
    </vt:lpwstr>
  </property>
  <property fmtid="{D5CDD505-2E9C-101B-9397-08002B2CF9AE}" pid="4" name="Date">
    <vt:lpwstr>2011/02/23</vt:lpwstr>
  </property>
  <property fmtid="{D5CDD505-2E9C-101B-9397-08002B2CF9AE}" pid="5" name="Revision">
    <vt:lpwstr>C</vt:lpwstr>
  </property>
  <property fmtid="{D5CDD505-2E9C-101B-9397-08002B2CF9AE}" pid="6" name="Document Number">
    <vt:lpwstr>4095-GBPSH</vt:lpwstr>
  </property>
</Properties>
</file>