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cott\OneDrive\Desktop\LeFevre Mid-Latitude Aurora Substorm Model\"/>
    </mc:Choice>
  </mc:AlternateContent>
  <xr:revisionPtr revIDLastSave="0" documentId="13_ncr:1_{E3B47A27-2FB9-4EC1-BA2F-7FCA3C8A6316}" xr6:coauthVersionLast="47" xr6:coauthVersionMax="47" xr10:uidLastSave="{00000000-0000-0000-0000-000000000000}"/>
  <bookViews>
    <workbookView xWindow="1296" yWindow="1416" windowWidth="19236" windowHeight="13392" tabRatio="825" activeTab="2" xr2:uid="{98C17170-0B0C-44EF-8D1C-6AA61FCF2B09}"/>
  </bookViews>
  <sheets>
    <sheet name="Full Dataset &amp; Figure 3" sheetId="2" r:id="rId1"/>
    <sheet name="Table 1 &amp; S1" sheetId="9" r:id="rId2"/>
    <sheet name="Table 2 &amp; S2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0" l="1"/>
  <c r="M4" i="10"/>
  <c r="M5" i="10"/>
  <c r="M6" i="10"/>
  <c r="M7" i="10"/>
  <c r="M8" i="10"/>
  <c r="M9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M42" i="10"/>
  <c r="M43" i="10"/>
  <c r="M44" i="10"/>
  <c r="M45" i="10"/>
  <c r="M46" i="10"/>
  <c r="M47" i="10"/>
  <c r="M48" i="10"/>
  <c r="M49" i="10"/>
  <c r="M50" i="10"/>
  <c r="M51" i="10"/>
  <c r="M52" i="10"/>
  <c r="M53" i="10"/>
  <c r="M54" i="10"/>
  <c r="M55" i="10"/>
  <c r="M56" i="10"/>
  <c r="M57" i="10"/>
  <c r="M58" i="10"/>
  <c r="M59" i="10"/>
  <c r="M60" i="10"/>
  <c r="M61" i="10"/>
  <c r="F3" i="10"/>
  <c r="F4" i="10"/>
  <c r="F5" i="10"/>
  <c r="F6" i="10"/>
  <c r="F7" i="10"/>
  <c r="F8" i="10"/>
  <c r="F9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M2" i="10"/>
  <c r="N2" i="10"/>
  <c r="F2" i="10"/>
  <c r="G2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2" i="10"/>
  <c r="K43" i="10"/>
  <c r="K44" i="10"/>
  <c r="K45" i="10"/>
  <c r="K46" i="10"/>
  <c r="K47" i="10"/>
  <c r="K48" i="10"/>
  <c r="K49" i="10"/>
  <c r="K50" i="10"/>
  <c r="K51" i="10"/>
  <c r="K52" i="10"/>
  <c r="K53" i="10"/>
  <c r="K54" i="10"/>
  <c r="K55" i="10"/>
  <c r="K56" i="10"/>
  <c r="K57" i="10"/>
  <c r="K58" i="10"/>
  <c r="K59" i="10"/>
  <c r="K60" i="10"/>
  <c r="K61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61" i="10"/>
  <c r="P3" i="10"/>
  <c r="Q3" i="10"/>
  <c r="P4" i="10"/>
  <c r="Q4" i="10"/>
  <c r="P5" i="10"/>
  <c r="Q5" i="10"/>
  <c r="P6" i="10"/>
  <c r="Q6" i="10"/>
  <c r="P7" i="10"/>
  <c r="Q7" i="10"/>
  <c r="P8" i="10"/>
  <c r="Q8" i="10"/>
  <c r="P9" i="10"/>
  <c r="Q9" i="10"/>
  <c r="P10" i="10"/>
  <c r="Q10" i="10"/>
  <c r="P11" i="10"/>
  <c r="Q11" i="10"/>
  <c r="P12" i="10"/>
  <c r="Q12" i="10"/>
  <c r="P13" i="10"/>
  <c r="Q13" i="10"/>
  <c r="P14" i="10"/>
  <c r="Q14" i="10"/>
  <c r="P15" i="10"/>
  <c r="Q15" i="10"/>
  <c r="P16" i="10"/>
  <c r="Q16" i="10"/>
  <c r="P17" i="10"/>
  <c r="Q17" i="10"/>
  <c r="P18" i="10"/>
  <c r="Q18" i="10"/>
  <c r="P19" i="10"/>
  <c r="Q19" i="10"/>
  <c r="P20" i="10"/>
  <c r="Q20" i="10"/>
  <c r="P21" i="10"/>
  <c r="Q21" i="10"/>
  <c r="Q22" i="10"/>
  <c r="Q23" i="10"/>
  <c r="Q24" i="10"/>
  <c r="Q25" i="10"/>
  <c r="Q26" i="10"/>
  <c r="Q27" i="10"/>
  <c r="Q28" i="10"/>
  <c r="Q29" i="10"/>
  <c r="Q30" i="10"/>
  <c r="Q31" i="10"/>
  <c r="Q32" i="10"/>
  <c r="Q33" i="10"/>
  <c r="Q34" i="10"/>
  <c r="Q35" i="10"/>
  <c r="Q36" i="10"/>
  <c r="Q37" i="10"/>
  <c r="Q38" i="10"/>
  <c r="Q39" i="10"/>
  <c r="Q40" i="10"/>
  <c r="Q41" i="10"/>
  <c r="Q42" i="10"/>
  <c r="Q43" i="10"/>
  <c r="Q44" i="10"/>
  <c r="Q45" i="10"/>
  <c r="P46" i="10"/>
  <c r="P47" i="10"/>
  <c r="P48" i="10"/>
  <c r="P49" i="10"/>
  <c r="P50" i="10"/>
  <c r="P51" i="10"/>
  <c r="P52" i="10"/>
  <c r="P53" i="10"/>
  <c r="P54" i="10"/>
  <c r="P55" i="10"/>
  <c r="P56" i="10"/>
  <c r="P57" i="10"/>
  <c r="P58" i="10"/>
  <c r="P59" i="10"/>
  <c r="P60" i="10"/>
  <c r="P61" i="10"/>
  <c r="P2" i="10"/>
  <c r="Q2" i="10"/>
  <c r="I3" i="10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2" i="10"/>
  <c r="J3" i="10"/>
  <c r="J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J38" i="10"/>
  <c r="J39" i="10"/>
  <c r="J40" i="10"/>
  <c r="J41" i="10"/>
  <c r="J42" i="10"/>
  <c r="J43" i="10"/>
  <c r="J44" i="10"/>
  <c r="J45" i="10"/>
  <c r="J2" i="10"/>
  <c r="H2" i="10"/>
  <c r="S6" i="9"/>
  <c r="R6" i="9"/>
  <c r="U25" i="9"/>
  <c r="T25" i="9"/>
  <c r="U24" i="9"/>
  <c r="T24" i="9"/>
  <c r="U23" i="9"/>
  <c r="T23" i="9"/>
  <c r="U22" i="9"/>
  <c r="T22" i="9"/>
  <c r="U21" i="9"/>
  <c r="T21" i="9"/>
  <c r="U20" i="9"/>
  <c r="T20" i="9"/>
  <c r="U19" i="9"/>
  <c r="T19" i="9"/>
  <c r="U18" i="9"/>
  <c r="T18" i="9"/>
  <c r="U17" i="9"/>
  <c r="T17" i="9"/>
  <c r="U16" i="9"/>
  <c r="T16" i="9"/>
  <c r="U15" i="9"/>
  <c r="T15" i="9"/>
  <c r="U14" i="9"/>
  <c r="T14" i="9"/>
  <c r="U13" i="9"/>
  <c r="T13" i="9"/>
  <c r="U12" i="9"/>
  <c r="T12" i="9"/>
  <c r="U11" i="9"/>
  <c r="T11" i="9"/>
  <c r="U10" i="9"/>
  <c r="T10" i="9"/>
  <c r="U9" i="9"/>
  <c r="T9" i="9"/>
  <c r="U8" i="9"/>
  <c r="T8" i="9"/>
  <c r="U7" i="9"/>
  <c r="T7" i="9"/>
  <c r="U6" i="9"/>
  <c r="T6" i="9"/>
  <c r="Q25" i="9"/>
  <c r="P25" i="9"/>
  <c r="O25" i="9"/>
  <c r="N25" i="9"/>
  <c r="M25" i="9"/>
  <c r="L25" i="9"/>
  <c r="K25" i="9"/>
  <c r="Q24" i="9"/>
  <c r="P24" i="9"/>
  <c r="O24" i="9"/>
  <c r="N24" i="9"/>
  <c r="M24" i="9"/>
  <c r="L24" i="9"/>
  <c r="K24" i="9"/>
  <c r="Q23" i="9"/>
  <c r="P23" i="9"/>
  <c r="O23" i="9"/>
  <c r="N23" i="9"/>
  <c r="M23" i="9"/>
  <c r="L23" i="9"/>
  <c r="K23" i="9"/>
  <c r="Q22" i="9"/>
  <c r="P22" i="9"/>
  <c r="O22" i="9"/>
  <c r="N22" i="9"/>
  <c r="M22" i="9"/>
  <c r="L22" i="9"/>
  <c r="K22" i="9"/>
  <c r="Q21" i="9"/>
  <c r="P21" i="9"/>
  <c r="O21" i="9"/>
  <c r="N21" i="9"/>
  <c r="M21" i="9"/>
  <c r="L21" i="9"/>
  <c r="K21" i="9"/>
  <c r="Q20" i="9"/>
  <c r="P20" i="9"/>
  <c r="O20" i="9"/>
  <c r="N20" i="9"/>
  <c r="M20" i="9"/>
  <c r="L20" i="9"/>
  <c r="K20" i="9"/>
  <c r="Q19" i="9"/>
  <c r="P19" i="9"/>
  <c r="O19" i="9"/>
  <c r="N19" i="9"/>
  <c r="M19" i="9"/>
  <c r="L19" i="9"/>
  <c r="K19" i="9"/>
  <c r="Q18" i="9"/>
  <c r="P18" i="9"/>
  <c r="O18" i="9"/>
  <c r="N18" i="9"/>
  <c r="M18" i="9"/>
  <c r="L18" i="9"/>
  <c r="K18" i="9"/>
  <c r="Q17" i="9"/>
  <c r="P17" i="9"/>
  <c r="O17" i="9"/>
  <c r="N17" i="9"/>
  <c r="M17" i="9"/>
  <c r="L17" i="9"/>
  <c r="K17" i="9"/>
  <c r="Q16" i="9"/>
  <c r="P16" i="9"/>
  <c r="O16" i="9"/>
  <c r="N16" i="9"/>
  <c r="M16" i="9"/>
  <c r="L16" i="9"/>
  <c r="K16" i="9"/>
  <c r="Q15" i="9"/>
  <c r="P15" i="9"/>
  <c r="O15" i="9"/>
  <c r="N15" i="9"/>
  <c r="M15" i="9"/>
  <c r="L15" i="9"/>
  <c r="K15" i="9"/>
  <c r="Q14" i="9"/>
  <c r="P14" i="9"/>
  <c r="O14" i="9"/>
  <c r="N14" i="9"/>
  <c r="M14" i="9"/>
  <c r="L14" i="9"/>
  <c r="K14" i="9"/>
  <c r="Q13" i="9"/>
  <c r="P13" i="9"/>
  <c r="O13" i="9"/>
  <c r="N13" i="9"/>
  <c r="M13" i="9"/>
  <c r="L13" i="9"/>
  <c r="K13" i="9"/>
  <c r="Q12" i="9"/>
  <c r="P12" i="9"/>
  <c r="O12" i="9"/>
  <c r="N12" i="9"/>
  <c r="M12" i="9"/>
  <c r="L12" i="9"/>
  <c r="K12" i="9"/>
  <c r="Q11" i="9"/>
  <c r="P11" i="9"/>
  <c r="O11" i="9"/>
  <c r="N11" i="9"/>
  <c r="M11" i="9"/>
  <c r="L11" i="9"/>
  <c r="K11" i="9"/>
  <c r="Q10" i="9"/>
  <c r="P10" i="9"/>
  <c r="O10" i="9"/>
  <c r="N10" i="9"/>
  <c r="M10" i="9"/>
  <c r="L10" i="9"/>
  <c r="K10" i="9"/>
  <c r="Q9" i="9"/>
  <c r="P9" i="9"/>
  <c r="O9" i="9"/>
  <c r="N9" i="9"/>
  <c r="M9" i="9"/>
  <c r="L9" i="9"/>
  <c r="K9" i="9"/>
  <c r="Q8" i="9"/>
  <c r="P8" i="9"/>
  <c r="O8" i="9"/>
  <c r="N8" i="9"/>
  <c r="M8" i="9"/>
  <c r="L8" i="9"/>
  <c r="K8" i="9"/>
  <c r="Q7" i="9"/>
  <c r="P7" i="9"/>
  <c r="O7" i="9"/>
  <c r="N7" i="9"/>
  <c r="M7" i="9"/>
  <c r="L7" i="9"/>
  <c r="K7" i="9"/>
  <c r="Q6" i="9"/>
  <c r="P6" i="9"/>
  <c r="O6" i="9"/>
  <c r="N6" i="9"/>
  <c r="M6" i="9"/>
  <c r="L6" i="9"/>
  <c r="K6" i="9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O3" i="2"/>
  <c r="O69" i="2" s="1"/>
  <c r="P3" i="2"/>
  <c r="H24" i="9"/>
  <c r="H23" i="9"/>
  <c r="H22" i="9"/>
  <c r="H21" i="9"/>
  <c r="H20" i="9"/>
  <c r="H19" i="9"/>
  <c r="H18" i="9"/>
  <c r="H17" i="9"/>
  <c r="H16" i="9"/>
  <c r="H15" i="9"/>
  <c r="H14" i="9"/>
  <c r="H13" i="9"/>
  <c r="H12" i="9"/>
  <c r="H11" i="9"/>
  <c r="H10" i="9"/>
  <c r="H9" i="9"/>
  <c r="H8" i="9"/>
  <c r="H7" i="9"/>
  <c r="G24" i="9"/>
  <c r="G23" i="9"/>
  <c r="G22" i="9"/>
  <c r="G21" i="9"/>
  <c r="G20" i="9"/>
  <c r="G19" i="9"/>
  <c r="G18" i="9"/>
  <c r="G17" i="9"/>
  <c r="G16" i="9"/>
  <c r="G15" i="9"/>
  <c r="G13" i="9"/>
  <c r="G14" i="9"/>
  <c r="G12" i="9"/>
  <c r="G11" i="9"/>
  <c r="G10" i="9"/>
  <c r="G8" i="9"/>
  <c r="G9" i="9"/>
  <c r="G7" i="9"/>
  <c r="F24" i="9"/>
  <c r="F23" i="9"/>
  <c r="F22" i="9"/>
  <c r="F21" i="9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D24" i="9"/>
  <c r="D23" i="9"/>
  <c r="D22" i="9"/>
  <c r="D21" i="9"/>
  <c r="D20" i="9"/>
  <c r="D19" i="9"/>
  <c r="D18" i="9"/>
  <c r="D16" i="9"/>
  <c r="D17" i="9"/>
  <c r="D15" i="9"/>
  <c r="D14" i="9"/>
  <c r="D13" i="9"/>
  <c r="D12" i="9"/>
  <c r="D11" i="9"/>
  <c r="D10" i="9"/>
  <c r="D9" i="9"/>
  <c r="D8" i="9"/>
  <c r="D7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C7" i="9"/>
  <c r="B7" i="9"/>
  <c r="H6" i="9"/>
  <c r="G6" i="9"/>
  <c r="F6" i="9"/>
  <c r="E6" i="9"/>
  <c r="D6" i="9"/>
  <c r="C6" i="9"/>
  <c r="B6" i="9"/>
  <c r="H5" i="9"/>
  <c r="G5" i="9"/>
  <c r="F5" i="9"/>
  <c r="E5" i="9"/>
  <c r="D5" i="9"/>
  <c r="C5" i="9"/>
  <c r="B5" i="9"/>
  <c r="I65" i="2"/>
  <c r="L65" i="2"/>
  <c r="I66" i="2"/>
  <c r="L66" i="2"/>
  <c r="O66" i="2"/>
  <c r="I67" i="2"/>
  <c r="L67" i="2"/>
  <c r="O67" i="2"/>
  <c r="I68" i="2"/>
  <c r="L68" i="2"/>
  <c r="I69" i="2"/>
  <c r="L69" i="2"/>
  <c r="N4" i="2"/>
  <c r="O4" i="2" s="1"/>
  <c r="N5" i="2"/>
  <c r="O5" i="2" s="1"/>
  <c r="N6" i="2"/>
  <c r="O6" i="2"/>
  <c r="N7" i="2"/>
  <c r="O7" i="2" s="1"/>
  <c r="N8" i="2"/>
  <c r="O8" i="2" s="1"/>
  <c r="N9" i="2"/>
  <c r="O9" i="2"/>
  <c r="N10" i="2"/>
  <c r="O10" i="2"/>
  <c r="N11" i="2"/>
  <c r="O11" i="2"/>
  <c r="N12" i="2"/>
  <c r="O12" i="2" s="1"/>
  <c r="N13" i="2"/>
  <c r="O13" i="2" s="1"/>
  <c r="N14" i="2"/>
  <c r="O14" i="2"/>
  <c r="N15" i="2"/>
  <c r="O15" i="2"/>
  <c r="N16" i="2"/>
  <c r="O16" i="2" s="1"/>
  <c r="N17" i="2"/>
  <c r="O17" i="2"/>
  <c r="N18" i="2"/>
  <c r="O18" i="2"/>
  <c r="N19" i="2"/>
  <c r="O19" i="2"/>
  <c r="N20" i="2"/>
  <c r="O20" i="2" s="1"/>
  <c r="N21" i="2"/>
  <c r="O21" i="2" s="1"/>
  <c r="N22" i="2"/>
  <c r="O22" i="2"/>
  <c r="N23" i="2"/>
  <c r="O23" i="2"/>
  <c r="N24" i="2"/>
  <c r="O24" i="2" s="1"/>
  <c r="N25" i="2"/>
  <c r="O25" i="2"/>
  <c r="N26" i="2"/>
  <c r="O26" i="2"/>
  <c r="N27" i="2"/>
  <c r="O27" i="2"/>
  <c r="N28" i="2"/>
  <c r="O28" i="2" s="1"/>
  <c r="N29" i="2"/>
  <c r="O29" i="2" s="1"/>
  <c r="N30" i="2"/>
  <c r="O30" i="2"/>
  <c r="N31" i="2"/>
  <c r="O31" i="2"/>
  <c r="N32" i="2"/>
  <c r="O32" i="2" s="1"/>
  <c r="N33" i="2"/>
  <c r="O33" i="2"/>
  <c r="N34" i="2"/>
  <c r="O34" i="2"/>
  <c r="N35" i="2"/>
  <c r="O35" i="2"/>
  <c r="N36" i="2"/>
  <c r="O36" i="2" s="1"/>
  <c r="N37" i="2"/>
  <c r="O37" i="2" s="1"/>
  <c r="N38" i="2"/>
  <c r="O38" i="2"/>
  <c r="N39" i="2"/>
  <c r="O39" i="2"/>
  <c r="N40" i="2"/>
  <c r="O40" i="2" s="1"/>
  <c r="N41" i="2"/>
  <c r="O41" i="2"/>
  <c r="N42" i="2"/>
  <c r="O42" i="2"/>
  <c r="N43" i="2"/>
  <c r="O43" i="2"/>
  <c r="N44" i="2"/>
  <c r="O44" i="2" s="1"/>
  <c r="N45" i="2"/>
  <c r="O45" i="2" s="1"/>
  <c r="N46" i="2"/>
  <c r="O46" i="2"/>
  <c r="N47" i="2"/>
  <c r="O47" i="2"/>
  <c r="N48" i="2"/>
  <c r="O48" i="2" s="1"/>
  <c r="N49" i="2"/>
  <c r="O49" i="2"/>
  <c r="N50" i="2"/>
  <c r="O50" i="2"/>
  <c r="N51" i="2"/>
  <c r="O51" i="2"/>
  <c r="N52" i="2"/>
  <c r="O52" i="2" s="1"/>
  <c r="N53" i="2"/>
  <c r="O53" i="2" s="1"/>
  <c r="N54" i="2"/>
  <c r="O54" i="2"/>
  <c r="N55" i="2"/>
  <c r="O55" i="2"/>
  <c r="N56" i="2"/>
  <c r="O56" i="2" s="1"/>
  <c r="N57" i="2"/>
  <c r="O57" i="2"/>
  <c r="N58" i="2"/>
  <c r="O58" i="2"/>
  <c r="N59" i="2"/>
  <c r="O59" i="2"/>
  <c r="N60" i="2"/>
  <c r="O60" i="2" s="1"/>
  <c r="N61" i="2"/>
  <c r="O61" i="2" s="1"/>
  <c r="N62" i="2"/>
  <c r="O62" i="2"/>
  <c r="H4" i="2"/>
  <c r="I4" i="2" s="1"/>
  <c r="H5" i="2"/>
  <c r="I5" i="2" s="1"/>
  <c r="H6" i="2"/>
  <c r="I6" i="2"/>
  <c r="J6" i="2"/>
  <c r="H7" i="2"/>
  <c r="I7" i="2" s="1"/>
  <c r="J7" i="2"/>
  <c r="H8" i="2"/>
  <c r="I8" i="2" s="1"/>
  <c r="J8" i="2"/>
  <c r="H9" i="2"/>
  <c r="J9" i="2" s="1"/>
  <c r="I9" i="2"/>
  <c r="H10" i="2"/>
  <c r="I10" i="2"/>
  <c r="J10" i="2"/>
  <c r="H11" i="2"/>
  <c r="I11" i="2"/>
  <c r="J11" i="2"/>
  <c r="H12" i="2"/>
  <c r="I12" i="2" s="1"/>
  <c r="H13" i="2"/>
  <c r="I13" i="2" s="1"/>
  <c r="H14" i="2"/>
  <c r="I14" i="2"/>
  <c r="J14" i="2"/>
  <c r="H15" i="2"/>
  <c r="I15" i="2" s="1"/>
  <c r="J15" i="2"/>
  <c r="H16" i="2"/>
  <c r="I16" i="2" s="1"/>
  <c r="J16" i="2"/>
  <c r="H17" i="2"/>
  <c r="J17" i="2" s="1"/>
  <c r="I17" i="2"/>
  <c r="H18" i="2"/>
  <c r="J18" i="2" s="1"/>
  <c r="I18" i="2"/>
  <c r="H19" i="2"/>
  <c r="I19" i="2"/>
  <c r="J19" i="2"/>
  <c r="H20" i="2"/>
  <c r="I20" i="2" s="1"/>
  <c r="H21" i="2"/>
  <c r="I21" i="2" s="1"/>
  <c r="H22" i="2"/>
  <c r="I22" i="2"/>
  <c r="J22" i="2"/>
  <c r="H23" i="2"/>
  <c r="I23" i="2" s="1"/>
  <c r="J23" i="2"/>
  <c r="H24" i="2"/>
  <c r="I24" i="2" s="1"/>
  <c r="J24" i="2"/>
  <c r="H25" i="2"/>
  <c r="J25" i="2" s="1"/>
  <c r="I25" i="2"/>
  <c r="H26" i="2"/>
  <c r="J26" i="2" s="1"/>
  <c r="I26" i="2"/>
  <c r="H27" i="2"/>
  <c r="I27" i="2"/>
  <c r="J27" i="2"/>
  <c r="H28" i="2"/>
  <c r="I28" i="2" s="1"/>
  <c r="H29" i="2"/>
  <c r="I29" i="2" s="1"/>
  <c r="H30" i="2"/>
  <c r="I30" i="2"/>
  <c r="J30" i="2"/>
  <c r="H31" i="2"/>
  <c r="I31" i="2" s="1"/>
  <c r="J31" i="2"/>
  <c r="H32" i="2"/>
  <c r="I32" i="2" s="1"/>
  <c r="J32" i="2"/>
  <c r="H33" i="2"/>
  <c r="J33" i="2" s="1"/>
  <c r="I33" i="2"/>
  <c r="H34" i="2"/>
  <c r="J34" i="2" s="1"/>
  <c r="I34" i="2"/>
  <c r="H35" i="2"/>
  <c r="I35" i="2"/>
  <c r="J35" i="2"/>
  <c r="H36" i="2"/>
  <c r="I36" i="2" s="1"/>
  <c r="H37" i="2"/>
  <c r="I37" i="2" s="1"/>
  <c r="H38" i="2"/>
  <c r="I38" i="2"/>
  <c r="J38" i="2"/>
  <c r="H39" i="2"/>
  <c r="I39" i="2" s="1"/>
  <c r="J39" i="2"/>
  <c r="H40" i="2"/>
  <c r="I40" i="2" s="1"/>
  <c r="J40" i="2"/>
  <c r="H41" i="2"/>
  <c r="J41" i="2" s="1"/>
  <c r="I41" i="2"/>
  <c r="H42" i="2"/>
  <c r="J42" i="2" s="1"/>
  <c r="I42" i="2"/>
  <c r="H43" i="2"/>
  <c r="I43" i="2"/>
  <c r="J43" i="2"/>
  <c r="H44" i="2"/>
  <c r="I44" i="2" s="1"/>
  <c r="H45" i="2"/>
  <c r="I45" i="2" s="1"/>
  <c r="H46" i="2"/>
  <c r="I46" i="2"/>
  <c r="J46" i="2"/>
  <c r="H47" i="2"/>
  <c r="I47" i="2" s="1"/>
  <c r="J47" i="2"/>
  <c r="H48" i="2"/>
  <c r="I48" i="2" s="1"/>
  <c r="J48" i="2"/>
  <c r="H49" i="2"/>
  <c r="J49" i="2" s="1"/>
  <c r="I49" i="2"/>
  <c r="H50" i="2"/>
  <c r="J50" i="2" s="1"/>
  <c r="I50" i="2"/>
  <c r="H51" i="2"/>
  <c r="I51" i="2"/>
  <c r="J51" i="2"/>
  <c r="H52" i="2"/>
  <c r="I52" i="2" s="1"/>
  <c r="H53" i="2"/>
  <c r="I53" i="2" s="1"/>
  <c r="H54" i="2"/>
  <c r="I54" i="2"/>
  <c r="J54" i="2"/>
  <c r="H55" i="2"/>
  <c r="I55" i="2" s="1"/>
  <c r="J55" i="2"/>
  <c r="H56" i="2"/>
  <c r="I56" i="2" s="1"/>
  <c r="J56" i="2"/>
  <c r="H57" i="2"/>
  <c r="J57" i="2" s="1"/>
  <c r="I57" i="2"/>
  <c r="H58" i="2"/>
  <c r="J58" i="2" s="1"/>
  <c r="I58" i="2"/>
  <c r="H59" i="2"/>
  <c r="I59" i="2"/>
  <c r="J59" i="2"/>
  <c r="H60" i="2"/>
  <c r="I60" i="2" s="1"/>
  <c r="H61" i="2"/>
  <c r="I61" i="2" s="1"/>
  <c r="H62" i="2"/>
  <c r="I62" i="2"/>
  <c r="J62" i="2"/>
  <c r="J3" i="2"/>
  <c r="L3" i="2"/>
  <c r="G3" i="2"/>
  <c r="I3" i="2"/>
  <c r="F3" i="2"/>
  <c r="N3" i="2"/>
  <c r="K3" i="2"/>
  <c r="H3" i="2"/>
  <c r="K4" i="2"/>
  <c r="E3" i="2"/>
  <c r="AN4" i="2"/>
  <c r="AO4" i="2"/>
  <c r="AN5" i="2"/>
  <c r="AO5" i="2"/>
  <c r="AN6" i="2"/>
  <c r="AO6" i="2"/>
  <c r="AN7" i="2"/>
  <c r="AO7" i="2"/>
  <c r="AN8" i="2"/>
  <c r="AO8" i="2"/>
  <c r="AN9" i="2"/>
  <c r="AO9" i="2"/>
  <c r="AN10" i="2"/>
  <c r="AO10" i="2"/>
  <c r="AN11" i="2"/>
  <c r="AO11" i="2"/>
  <c r="AN12" i="2"/>
  <c r="AO12" i="2"/>
  <c r="AN13" i="2"/>
  <c r="AO13" i="2"/>
  <c r="AN14" i="2"/>
  <c r="AO14" i="2"/>
  <c r="AN15" i="2"/>
  <c r="AO15" i="2"/>
  <c r="AN16" i="2"/>
  <c r="AO16" i="2"/>
  <c r="AN17" i="2"/>
  <c r="AO17" i="2"/>
  <c r="AN18" i="2"/>
  <c r="AO18" i="2"/>
  <c r="AN19" i="2"/>
  <c r="AO19" i="2"/>
  <c r="AN20" i="2"/>
  <c r="AO20" i="2"/>
  <c r="AN21" i="2"/>
  <c r="AO21" i="2"/>
  <c r="AN22" i="2"/>
  <c r="AO22" i="2"/>
  <c r="AN23" i="2"/>
  <c r="AO23" i="2"/>
  <c r="AN24" i="2"/>
  <c r="AO24" i="2"/>
  <c r="AN25" i="2"/>
  <c r="AO25" i="2"/>
  <c r="AN26" i="2"/>
  <c r="AO26" i="2"/>
  <c r="AN27" i="2"/>
  <c r="AO27" i="2"/>
  <c r="AN28" i="2"/>
  <c r="AO28" i="2"/>
  <c r="AN29" i="2"/>
  <c r="AO29" i="2"/>
  <c r="AN30" i="2"/>
  <c r="AO30" i="2"/>
  <c r="AN31" i="2"/>
  <c r="AO31" i="2"/>
  <c r="AN32" i="2"/>
  <c r="AO32" i="2"/>
  <c r="AN33" i="2"/>
  <c r="AO33" i="2"/>
  <c r="AN34" i="2"/>
  <c r="AO34" i="2"/>
  <c r="AN35" i="2"/>
  <c r="AO35" i="2"/>
  <c r="AN36" i="2"/>
  <c r="AO36" i="2"/>
  <c r="AN37" i="2"/>
  <c r="AO37" i="2"/>
  <c r="AN38" i="2"/>
  <c r="AO38" i="2"/>
  <c r="AN39" i="2"/>
  <c r="AO39" i="2"/>
  <c r="AN40" i="2"/>
  <c r="AO40" i="2"/>
  <c r="AN41" i="2"/>
  <c r="AO41" i="2"/>
  <c r="AN42" i="2"/>
  <c r="AO42" i="2"/>
  <c r="AN43" i="2"/>
  <c r="AO43" i="2"/>
  <c r="AN44" i="2"/>
  <c r="AO44" i="2"/>
  <c r="AN45" i="2"/>
  <c r="AO45" i="2"/>
  <c r="AN46" i="2"/>
  <c r="AO46" i="2"/>
  <c r="AN47" i="2"/>
  <c r="AO47" i="2"/>
  <c r="AN48" i="2"/>
  <c r="AO48" i="2"/>
  <c r="AN49" i="2"/>
  <c r="AO49" i="2"/>
  <c r="AN50" i="2"/>
  <c r="AO50" i="2"/>
  <c r="AN51" i="2"/>
  <c r="AO51" i="2"/>
  <c r="AN52" i="2"/>
  <c r="AO52" i="2"/>
  <c r="AN53" i="2"/>
  <c r="AO53" i="2"/>
  <c r="AN54" i="2"/>
  <c r="AO54" i="2"/>
  <c r="AN55" i="2"/>
  <c r="AO55" i="2"/>
  <c r="AN56" i="2"/>
  <c r="AO56" i="2"/>
  <c r="AN57" i="2"/>
  <c r="AO57" i="2"/>
  <c r="AN58" i="2"/>
  <c r="AO58" i="2"/>
  <c r="AN59" i="2"/>
  <c r="AO59" i="2"/>
  <c r="AN60" i="2"/>
  <c r="AO60" i="2"/>
  <c r="AN61" i="2"/>
  <c r="AO61" i="2"/>
  <c r="AN62" i="2"/>
  <c r="AO62" i="2"/>
  <c r="AO3" i="2"/>
  <c r="AM3" i="2"/>
  <c r="AN3" i="2"/>
  <c r="AL3" i="2"/>
  <c r="H74" i="2"/>
  <c r="AB65" i="2"/>
  <c r="Z65" i="2"/>
  <c r="Z48" i="2" s="1"/>
  <c r="O65" i="2" l="1"/>
  <c r="O68" i="2"/>
  <c r="J61" i="2"/>
  <c r="J53" i="2"/>
  <c r="J45" i="2"/>
  <c r="J37" i="2"/>
  <c r="J29" i="2"/>
  <c r="J21" i="2"/>
  <c r="J13" i="2"/>
  <c r="J5" i="2"/>
  <c r="J60" i="2"/>
  <c r="J52" i="2"/>
  <c r="J44" i="2"/>
  <c r="J36" i="2"/>
  <c r="J28" i="2"/>
  <c r="J20" i="2"/>
  <c r="J12" i="2"/>
  <c r="J4" i="2"/>
  <c r="Z23" i="2"/>
  <c r="Z49" i="2"/>
  <c r="Z18" i="2"/>
  <c r="Z6" i="2"/>
  <c r="Z5" i="2"/>
  <c r="Z19" i="2"/>
  <c r="Z4" i="2"/>
  <c r="Z51" i="2"/>
  <c r="Z50" i="2"/>
  <c r="Z29" i="2"/>
  <c r="Z22" i="2"/>
  <c r="Z7" i="2"/>
  <c r="Z46" i="2"/>
  <c r="Z32" i="2"/>
  <c r="Z30" i="2"/>
  <c r="Z21" i="2"/>
  <c r="Z47" i="2"/>
  <c r="Z45" i="2"/>
  <c r="Z31" i="2"/>
  <c r="Z53" i="2"/>
  <c r="Z20" i="2"/>
  <c r="Z52" i="2"/>
  <c r="Z16" i="2"/>
  <c r="Z17" i="2"/>
  <c r="Z37" i="2"/>
  <c r="Z62" i="2"/>
  <c r="Z36" i="2"/>
  <c r="Z15" i="2"/>
  <c r="Z39" i="2"/>
  <c r="Z3" i="2"/>
  <c r="Z61" i="2"/>
  <c r="Z35" i="2"/>
  <c r="Z14" i="2"/>
  <c r="Z34" i="2"/>
  <c r="Z13" i="2"/>
  <c r="Z8" i="2"/>
  <c r="Z38" i="2"/>
  <c r="Z55" i="2"/>
  <c r="Z54" i="2"/>
  <c r="Z33" i="2"/>
  <c r="Z12" i="2"/>
  <c r="Z11" i="2"/>
  <c r="Z28" i="2"/>
  <c r="Z43" i="2"/>
  <c r="Z58" i="2"/>
  <c r="Z42" i="2"/>
  <c r="Z26" i="2"/>
  <c r="Z10" i="2"/>
  <c r="Z60" i="2"/>
  <c r="Z27" i="2"/>
  <c r="Z57" i="2"/>
  <c r="Z41" i="2"/>
  <c r="Z25" i="2"/>
  <c r="Z9" i="2"/>
  <c r="Z44" i="2"/>
  <c r="Z59" i="2"/>
  <c r="Z56" i="2"/>
  <c r="Z40" i="2"/>
  <c r="Z24" i="2"/>
  <c r="D38" i="2"/>
  <c r="N3" i="10"/>
  <c r="O3" i="10"/>
  <c r="N4" i="10"/>
  <c r="O4" i="10"/>
  <c r="N5" i="10"/>
  <c r="O5" i="10"/>
  <c r="N6" i="10"/>
  <c r="O6" i="10"/>
  <c r="N7" i="10"/>
  <c r="O7" i="10"/>
  <c r="N8" i="10"/>
  <c r="O8" i="10"/>
  <c r="N9" i="10"/>
  <c r="O9" i="10"/>
  <c r="N10" i="10"/>
  <c r="O10" i="10"/>
  <c r="N11" i="10"/>
  <c r="O11" i="10"/>
  <c r="L12" i="10"/>
  <c r="O12" i="10"/>
  <c r="L13" i="10"/>
  <c r="O13" i="10"/>
  <c r="L14" i="10"/>
  <c r="O14" i="10"/>
  <c r="L15" i="10"/>
  <c r="O15" i="10"/>
  <c r="L16" i="10"/>
  <c r="O16" i="10"/>
  <c r="L17" i="10"/>
  <c r="O17" i="10"/>
  <c r="L18" i="10"/>
  <c r="O18" i="10"/>
  <c r="L19" i="10"/>
  <c r="O19" i="10"/>
  <c r="L20" i="10"/>
  <c r="O20" i="10"/>
  <c r="L21" i="10"/>
  <c r="O21" i="10"/>
  <c r="L22" i="10"/>
  <c r="N22" i="10"/>
  <c r="L23" i="10"/>
  <c r="N23" i="10"/>
  <c r="L24" i="10"/>
  <c r="N24" i="10"/>
  <c r="L25" i="10"/>
  <c r="N25" i="10"/>
  <c r="L26" i="10"/>
  <c r="N26" i="10"/>
  <c r="L27" i="10"/>
  <c r="N27" i="10"/>
  <c r="L28" i="10"/>
  <c r="N28" i="10"/>
  <c r="L29" i="10"/>
  <c r="N29" i="10"/>
  <c r="L30" i="10"/>
  <c r="N30" i="10"/>
  <c r="L31" i="10"/>
  <c r="N31" i="10"/>
  <c r="L32" i="10"/>
  <c r="N32" i="10"/>
  <c r="L33" i="10"/>
  <c r="N33" i="10"/>
  <c r="L34" i="10"/>
  <c r="N34" i="10"/>
  <c r="L35" i="10"/>
  <c r="N35" i="10"/>
  <c r="L36" i="10"/>
  <c r="N36" i="10"/>
  <c r="L37" i="10"/>
  <c r="N37" i="10"/>
  <c r="L38" i="10"/>
  <c r="N38" i="10"/>
  <c r="L39" i="10"/>
  <c r="N39" i="10"/>
  <c r="L40" i="10"/>
  <c r="N40" i="10"/>
  <c r="L41" i="10"/>
  <c r="N41" i="10"/>
  <c r="L42" i="10"/>
  <c r="N42" i="10"/>
  <c r="L43" i="10"/>
  <c r="N43" i="10"/>
  <c r="L44" i="10"/>
  <c r="N44" i="10"/>
  <c r="L45" i="10"/>
  <c r="N45" i="10"/>
  <c r="L46" i="10"/>
  <c r="N46" i="10"/>
  <c r="L47" i="10"/>
  <c r="N47" i="10"/>
  <c r="L48" i="10"/>
  <c r="N48" i="10"/>
  <c r="L49" i="10"/>
  <c r="N49" i="10"/>
  <c r="L50" i="10"/>
  <c r="N50" i="10"/>
  <c r="L51" i="10"/>
  <c r="N51" i="10"/>
  <c r="L52" i="10"/>
  <c r="N52" i="10"/>
  <c r="L53" i="10"/>
  <c r="N53" i="10"/>
  <c r="L54" i="10"/>
  <c r="N54" i="10"/>
  <c r="L55" i="10"/>
  <c r="N55" i="10"/>
  <c r="L56" i="10"/>
  <c r="N56" i="10"/>
  <c r="L57" i="10"/>
  <c r="N57" i="10"/>
  <c r="L58" i="10"/>
  <c r="N58" i="10"/>
  <c r="L59" i="10"/>
  <c r="N59" i="10"/>
  <c r="L60" i="10"/>
  <c r="N60" i="10"/>
  <c r="L61" i="10"/>
  <c r="N61" i="10"/>
  <c r="O2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3" i="10"/>
  <c r="G4" i="10"/>
  <c r="G5" i="10"/>
  <c r="G6" i="10"/>
  <c r="G7" i="10"/>
  <c r="G8" i="10"/>
  <c r="G9" i="10"/>
  <c r="G10" i="10"/>
  <c r="G11" i="10"/>
  <c r="H3" i="10"/>
  <c r="H4" i="10"/>
  <c r="H5" i="10"/>
  <c r="H6" i="10"/>
  <c r="H7" i="10"/>
  <c r="H8" i="10"/>
  <c r="H9" i="10"/>
  <c r="H10" i="10"/>
  <c r="H11" i="10"/>
  <c r="E12" i="10"/>
  <c r="H12" i="10"/>
  <c r="E13" i="10"/>
  <c r="H13" i="10"/>
  <c r="E14" i="10"/>
  <c r="H14" i="10"/>
  <c r="E15" i="10"/>
  <c r="H15" i="10"/>
  <c r="E16" i="10"/>
  <c r="H16" i="10"/>
  <c r="E17" i="10"/>
  <c r="H17" i="10"/>
  <c r="E18" i="10"/>
  <c r="H18" i="10"/>
  <c r="E19" i="10"/>
  <c r="H19" i="10"/>
  <c r="E20" i="10"/>
  <c r="H20" i="10"/>
  <c r="E21" i="10"/>
  <c r="H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U40" i="2" l="1"/>
  <c r="W40" i="2" s="1"/>
  <c r="AA40" i="2"/>
  <c r="AC40" i="2"/>
  <c r="AA54" i="2"/>
  <c r="AC54" i="2"/>
  <c r="U54" i="2"/>
  <c r="W54" i="2" s="1"/>
  <c r="U55" i="2"/>
  <c r="W55" i="2" s="1"/>
  <c r="AA55" i="2"/>
  <c r="AC55" i="2"/>
  <c r="AB55" i="2" l="1"/>
  <c r="AB54" i="2"/>
  <c r="AB40" i="2"/>
  <c r="AU55" i="2"/>
  <c r="AV55" i="2"/>
  <c r="AT55" i="2"/>
  <c r="V54" i="2"/>
  <c r="AT54" i="2"/>
  <c r="AU54" i="2"/>
  <c r="AV54" i="2"/>
  <c r="V40" i="2"/>
  <c r="AT40" i="2"/>
  <c r="AU40" i="2"/>
  <c r="AV40" i="2"/>
  <c r="AE54" i="2"/>
  <c r="AG54" i="2" s="1"/>
  <c r="AI54" i="2" s="1"/>
  <c r="AD54" i="2"/>
  <c r="AE40" i="2"/>
  <c r="AG40" i="2" s="1"/>
  <c r="AD40" i="2"/>
  <c r="AE55" i="2"/>
  <c r="AG55" i="2" s="1"/>
  <c r="AD55" i="2"/>
  <c r="V55" i="2"/>
  <c r="AI40" i="2" l="1"/>
  <c r="Y40" i="2" s="1"/>
  <c r="AI55" i="2"/>
  <c r="Y54" i="2"/>
  <c r="AF54" i="2"/>
  <c r="AH54" i="2" s="1"/>
  <c r="X54" i="2" s="1"/>
  <c r="AF40" i="2"/>
  <c r="AH40" i="2" s="1"/>
  <c r="X40" i="2" s="1"/>
  <c r="AF55" i="2"/>
  <c r="AH55" i="2" s="1"/>
  <c r="X55" i="2" s="1"/>
  <c r="AA17" i="2"/>
  <c r="AC17" i="2"/>
  <c r="AA13" i="2"/>
  <c r="AC13" i="2"/>
  <c r="AA27" i="2"/>
  <c r="AC27" i="2"/>
  <c r="AA31" i="2"/>
  <c r="AC31" i="2"/>
  <c r="U17" i="2"/>
  <c r="V17" i="2" s="1"/>
  <c r="U13" i="2"/>
  <c r="V13" i="2" s="1"/>
  <c r="U27" i="2"/>
  <c r="W27" i="2" s="1"/>
  <c r="U31" i="2"/>
  <c r="W31" i="2" s="1"/>
  <c r="U15" i="2"/>
  <c r="V15" i="2" s="1"/>
  <c r="U6" i="2"/>
  <c r="V6" i="2" s="1"/>
  <c r="U5" i="2"/>
  <c r="V5" i="2" s="1"/>
  <c r="U3" i="2"/>
  <c r="V3" i="2" s="1"/>
  <c r="U8" i="2"/>
  <c r="V8" i="2" s="1"/>
  <c r="U56" i="2"/>
  <c r="W56" i="2" s="1"/>
  <c r="U11" i="2"/>
  <c r="V11" i="2" s="1"/>
  <c r="AA36" i="2"/>
  <c r="AC36" i="2"/>
  <c r="AA14" i="2"/>
  <c r="AC14" i="2"/>
  <c r="AA43" i="2"/>
  <c r="AC43" i="2"/>
  <c r="AA21" i="2"/>
  <c r="AC21" i="2"/>
  <c r="AA28" i="2"/>
  <c r="AC28" i="2"/>
  <c r="AA19" i="2"/>
  <c r="AC19" i="2"/>
  <c r="AA16" i="2"/>
  <c r="AC16" i="2"/>
  <c r="AA37" i="2"/>
  <c r="AC37" i="2"/>
  <c r="AA56" i="2"/>
  <c r="AC56" i="2"/>
  <c r="AA8" i="2"/>
  <c r="AC8" i="2"/>
  <c r="AA3" i="2"/>
  <c r="AC3" i="2"/>
  <c r="AA5" i="2"/>
  <c r="AC5" i="2"/>
  <c r="AA6" i="2"/>
  <c r="AC6" i="2"/>
  <c r="AA15" i="2"/>
  <c r="AC15" i="2"/>
  <c r="U36" i="2"/>
  <c r="W36" i="2" s="1"/>
  <c r="U14" i="2"/>
  <c r="V14" i="2" s="1"/>
  <c r="U43" i="2"/>
  <c r="W43" i="2" s="1"/>
  <c r="U21" i="2"/>
  <c r="V21" i="2" s="1"/>
  <c r="U28" i="2"/>
  <c r="W28" i="2" s="1"/>
  <c r="U19" i="2"/>
  <c r="V19" i="2" s="1"/>
  <c r="U16" i="2"/>
  <c r="V16" i="2" s="1"/>
  <c r="U37" i="2"/>
  <c r="W37" i="2" s="1"/>
  <c r="U45" i="2"/>
  <c r="W45" i="2" s="1"/>
  <c r="Q20" i="2"/>
  <c r="U52" i="2"/>
  <c r="W52" i="2" s="1"/>
  <c r="U20" i="2"/>
  <c r="V20" i="2" s="1"/>
  <c r="U53" i="2"/>
  <c r="W53" i="2" s="1"/>
  <c r="U58" i="2"/>
  <c r="W58" i="2" s="1"/>
  <c r="U26" i="2"/>
  <c r="W26" i="2" s="1"/>
  <c r="U35" i="2"/>
  <c r="W35" i="2" s="1"/>
  <c r="U49" i="2"/>
  <c r="W49" i="2" s="1"/>
  <c r="U61" i="2"/>
  <c r="W61" i="2" s="1"/>
  <c r="U46" i="2"/>
  <c r="W46" i="2" s="1"/>
  <c r="U48" i="2"/>
  <c r="W48" i="2" s="1"/>
  <c r="U32" i="2"/>
  <c r="W32" i="2" s="1"/>
  <c r="AA49" i="2"/>
  <c r="AC49" i="2"/>
  <c r="AA61" i="2"/>
  <c r="AC61" i="2"/>
  <c r="AA46" i="2"/>
  <c r="AC46" i="2"/>
  <c r="AA52" i="2"/>
  <c r="AC52" i="2"/>
  <c r="AC20" i="2"/>
  <c r="AA53" i="2"/>
  <c r="AC53" i="2"/>
  <c r="AA58" i="2"/>
  <c r="AC58" i="2"/>
  <c r="AA45" i="2"/>
  <c r="AC45" i="2"/>
  <c r="AA26" i="2"/>
  <c r="AC26" i="2"/>
  <c r="AA35" i="2"/>
  <c r="AC35" i="2"/>
  <c r="AA48" i="2"/>
  <c r="AC48" i="2"/>
  <c r="AA32" i="2"/>
  <c r="AC32" i="2"/>
  <c r="U29" i="2"/>
  <c r="W29" i="2" s="1"/>
  <c r="U42" i="2"/>
  <c r="W42" i="2" s="1"/>
  <c r="U23" i="2"/>
  <c r="W23" i="2" s="1"/>
  <c r="U33" i="2"/>
  <c r="W33" i="2" s="1"/>
  <c r="U39" i="2"/>
  <c r="W39" i="2" s="1"/>
  <c r="U30" i="2"/>
  <c r="W30" i="2" s="1"/>
  <c r="U24" i="2"/>
  <c r="W24" i="2" s="1"/>
  <c r="U4" i="2"/>
  <c r="V4" i="2" s="1"/>
  <c r="U9" i="2"/>
  <c r="V9" i="2" s="1"/>
  <c r="U38" i="2"/>
  <c r="W38" i="2" s="1"/>
  <c r="U44" i="2"/>
  <c r="W44" i="2" s="1"/>
  <c r="U34" i="2"/>
  <c r="W34" i="2" s="1"/>
  <c r="U57" i="2"/>
  <c r="W57" i="2" s="1"/>
  <c r="U51" i="2"/>
  <c r="W51" i="2" s="1"/>
  <c r="U59" i="2"/>
  <c r="W59" i="2" s="1"/>
  <c r="U60" i="2"/>
  <c r="W60" i="2" s="1"/>
  <c r="U18" i="2"/>
  <c r="V18" i="2" s="1"/>
  <c r="U12" i="2"/>
  <c r="V12" i="2" s="1"/>
  <c r="U22" i="2"/>
  <c r="V22" i="2" s="1"/>
  <c r="U10" i="2"/>
  <c r="V10" i="2" s="1"/>
  <c r="U7" i="2"/>
  <c r="V7" i="2" s="1"/>
  <c r="U62" i="2"/>
  <c r="W62" i="2" s="1"/>
  <c r="U41" i="2"/>
  <c r="W41" i="2" s="1"/>
  <c r="U50" i="2"/>
  <c r="W50" i="2" s="1"/>
  <c r="U47" i="2"/>
  <c r="W47" i="2" s="1"/>
  <c r="U25" i="2"/>
  <c r="W25" i="2" s="1"/>
  <c r="AA50" i="2"/>
  <c r="AC50" i="2"/>
  <c r="AA47" i="2"/>
  <c r="AC47" i="2"/>
  <c r="AA18" i="2"/>
  <c r="AC18" i="2"/>
  <c r="AA12" i="2"/>
  <c r="AC12" i="2"/>
  <c r="AA22" i="2"/>
  <c r="AC22" i="2"/>
  <c r="AA11" i="2"/>
  <c r="AC11" i="2"/>
  <c r="AA10" i="2"/>
  <c r="AC10" i="2"/>
  <c r="AA7" i="2"/>
  <c r="AC7" i="2"/>
  <c r="AA62" i="2"/>
  <c r="AC62" i="2"/>
  <c r="AA41" i="2"/>
  <c r="AC41" i="2"/>
  <c r="AB52" i="2" l="1"/>
  <c r="AB18" i="2"/>
  <c r="AB32" i="2"/>
  <c r="AB5" i="2"/>
  <c r="AB21" i="2"/>
  <c r="AB46" i="2"/>
  <c r="AA20" i="2"/>
  <c r="AB20" i="2" s="1"/>
  <c r="AB41" i="2"/>
  <c r="AB47" i="2"/>
  <c r="AB48" i="2"/>
  <c r="AB3" i="2"/>
  <c r="AB43" i="2"/>
  <c r="AB61" i="2"/>
  <c r="AB31" i="2"/>
  <c r="AB62" i="2"/>
  <c r="AB50" i="2"/>
  <c r="AB35" i="2"/>
  <c r="AB8" i="2"/>
  <c r="AB14" i="2"/>
  <c r="AB49" i="2"/>
  <c r="AB27" i="2"/>
  <c r="AB7" i="2"/>
  <c r="AB26" i="2"/>
  <c r="AB56" i="2"/>
  <c r="AB36" i="2"/>
  <c r="AB13" i="2"/>
  <c r="AB10" i="2"/>
  <c r="AB45" i="2"/>
  <c r="AB37" i="2"/>
  <c r="AB17" i="2"/>
  <c r="AB11" i="2"/>
  <c r="AB58" i="2"/>
  <c r="AB16" i="2"/>
  <c r="AB22" i="2"/>
  <c r="AB53" i="2"/>
  <c r="AB15" i="2"/>
  <c r="AB19" i="2"/>
  <c r="AB12" i="2"/>
  <c r="AB6" i="2"/>
  <c r="AB28" i="2"/>
  <c r="AT3" i="2"/>
  <c r="AT25" i="2"/>
  <c r="AU25" i="2"/>
  <c r="AV25" i="2"/>
  <c r="AT24" i="2"/>
  <c r="AU24" i="2"/>
  <c r="AV24" i="2"/>
  <c r="AV46" i="2"/>
  <c r="AT46" i="2"/>
  <c r="AU46" i="2"/>
  <c r="AT43" i="2"/>
  <c r="AU43" i="2"/>
  <c r="AV43" i="2"/>
  <c r="AU62" i="2"/>
  <c r="AT62" i="2"/>
  <c r="AV62" i="2"/>
  <c r="AV36" i="2"/>
  <c r="AT36" i="2"/>
  <c r="AU36" i="2"/>
  <c r="AU33" i="2"/>
  <c r="AT33" i="2"/>
  <c r="AV33" i="2"/>
  <c r="AT35" i="2"/>
  <c r="AU35" i="2"/>
  <c r="AV35" i="2"/>
  <c r="AV22" i="2"/>
  <c r="AU22" i="2"/>
  <c r="AV23" i="2"/>
  <c r="AT23" i="2"/>
  <c r="AU23" i="2"/>
  <c r="AT26" i="2"/>
  <c r="AU26" i="2"/>
  <c r="AV26" i="2"/>
  <c r="AT42" i="2"/>
  <c r="AU42" i="2"/>
  <c r="AV42" i="2"/>
  <c r="AT58" i="2"/>
  <c r="AU58" i="2"/>
  <c r="AV58" i="2"/>
  <c r="AU34" i="2"/>
  <c r="AV34" i="2"/>
  <c r="AT34" i="2"/>
  <c r="AT37" i="2"/>
  <c r="AV37" i="2"/>
  <c r="AU37" i="2"/>
  <c r="AT44" i="2"/>
  <c r="AU44" i="2"/>
  <c r="AV44" i="2"/>
  <c r="AV28" i="2"/>
  <c r="AT28" i="2"/>
  <c r="AU28" i="2"/>
  <c r="AT50" i="2"/>
  <c r="AU50" i="2"/>
  <c r="AV50" i="2"/>
  <c r="AV48" i="2"/>
  <c r="AT48" i="2"/>
  <c r="AU48" i="2"/>
  <c r="AV56" i="2"/>
  <c r="AU56" i="2"/>
  <c r="AT56" i="2"/>
  <c r="AT30" i="2"/>
  <c r="AV30" i="2"/>
  <c r="AU30" i="2"/>
  <c r="AT61" i="2"/>
  <c r="AU61" i="2"/>
  <c r="AV61" i="2"/>
  <c r="AT39" i="2"/>
  <c r="AV39" i="2"/>
  <c r="AU39" i="2"/>
  <c r="AT49" i="2"/>
  <c r="AV49" i="2"/>
  <c r="AU49" i="2"/>
  <c r="AU29" i="2"/>
  <c r="AT29" i="2"/>
  <c r="AV29" i="2"/>
  <c r="AU31" i="2"/>
  <c r="AT31" i="2"/>
  <c r="AV31" i="2"/>
  <c r="AT60" i="2"/>
  <c r="AU60" i="2"/>
  <c r="AV60" i="2"/>
  <c r="AT27" i="2"/>
  <c r="AU27" i="2"/>
  <c r="AV27" i="2"/>
  <c r="AV52" i="2"/>
  <c r="AT52" i="2"/>
  <c r="AU52" i="2"/>
  <c r="AT51" i="2"/>
  <c r="AU51" i="2"/>
  <c r="AV51" i="2"/>
  <c r="AT38" i="2"/>
  <c r="AV38" i="2"/>
  <c r="AU38" i="2"/>
  <c r="AU47" i="2"/>
  <c r="AT47" i="2"/>
  <c r="AV47" i="2"/>
  <c r="AV32" i="2"/>
  <c r="AT32" i="2"/>
  <c r="AU32" i="2"/>
  <c r="AT41" i="2"/>
  <c r="AU41" i="2"/>
  <c r="AV41" i="2"/>
  <c r="AT53" i="2"/>
  <c r="AU53" i="2"/>
  <c r="AV53" i="2"/>
  <c r="AT59" i="2"/>
  <c r="AU59" i="2"/>
  <c r="AV59" i="2"/>
  <c r="AV57" i="2"/>
  <c r="AT57" i="2"/>
  <c r="AU57" i="2"/>
  <c r="AU45" i="2"/>
  <c r="AV45" i="2"/>
  <c r="AT45" i="2"/>
  <c r="AU12" i="2"/>
  <c r="AT12" i="2"/>
  <c r="AV12" i="2"/>
  <c r="AT15" i="2"/>
  <c r="AU15" i="2"/>
  <c r="AV15" i="2"/>
  <c r="AU14" i="2"/>
  <c r="AV14" i="2"/>
  <c r="AT14" i="2"/>
  <c r="AT22" i="2"/>
  <c r="AU13" i="2"/>
  <c r="AT13" i="2"/>
  <c r="AV13" i="2"/>
  <c r="AT5" i="2"/>
  <c r="AU5" i="2"/>
  <c r="AV5" i="2"/>
  <c r="AT7" i="2"/>
  <c r="AU7" i="2"/>
  <c r="AV7" i="2"/>
  <c r="AT10" i="2"/>
  <c r="AU10" i="2"/>
  <c r="AV10" i="2"/>
  <c r="AU17" i="2"/>
  <c r="AV17" i="2"/>
  <c r="AT17" i="2"/>
  <c r="AT20" i="2"/>
  <c r="AU20" i="2"/>
  <c r="AV20" i="2"/>
  <c r="AT6" i="2"/>
  <c r="AU6" i="2"/>
  <c r="AV6" i="2"/>
  <c r="AU18" i="2"/>
  <c r="AV18" i="2"/>
  <c r="AT18" i="2"/>
  <c r="AU16" i="2"/>
  <c r="AT16" i="2"/>
  <c r="AV16" i="2"/>
  <c r="AV19" i="2"/>
  <c r="AU19" i="2"/>
  <c r="AT19" i="2"/>
  <c r="AT9" i="2"/>
  <c r="AU9" i="2"/>
  <c r="AV9" i="2"/>
  <c r="AV8" i="2"/>
  <c r="AU8" i="2"/>
  <c r="AT8" i="2"/>
  <c r="AT4" i="2"/>
  <c r="AU4" i="2"/>
  <c r="AV4" i="2"/>
  <c r="AT21" i="2"/>
  <c r="AV21" i="2"/>
  <c r="AU21" i="2"/>
  <c r="AT11" i="2"/>
  <c r="AU11" i="2"/>
  <c r="AV11" i="2"/>
  <c r="AU3" i="2"/>
  <c r="AV3" i="2"/>
  <c r="AE52" i="2"/>
  <c r="AG52" i="2" s="1"/>
  <c r="AD52" i="2"/>
  <c r="AE43" i="2"/>
  <c r="AG43" i="2" s="1"/>
  <c r="AD43" i="2"/>
  <c r="AE12" i="2"/>
  <c r="AG12" i="2" s="1"/>
  <c r="AD12" i="2"/>
  <c r="AE37" i="2"/>
  <c r="AG37" i="2" s="1"/>
  <c r="AI37" i="2" s="1"/>
  <c r="AD37" i="2"/>
  <c r="AE61" i="2"/>
  <c r="AF61" i="2" s="1"/>
  <c r="AD61" i="2"/>
  <c r="AE5" i="2"/>
  <c r="AG5" i="2" s="1"/>
  <c r="AD5" i="2"/>
  <c r="AE58" i="2"/>
  <c r="AG58" i="2" s="1"/>
  <c r="AD58" i="2"/>
  <c r="AE36" i="2"/>
  <c r="AG36" i="2" s="1"/>
  <c r="AI36" i="2" s="1"/>
  <c r="AD36" i="2"/>
  <c r="AE47" i="2"/>
  <c r="AG47" i="2" s="1"/>
  <c r="AD47" i="2"/>
  <c r="AE32" i="2"/>
  <c r="AF32" i="2" s="1"/>
  <c r="AD32" i="2"/>
  <c r="AE49" i="2"/>
  <c r="AG49" i="2" s="1"/>
  <c r="AD49" i="2"/>
  <c r="AE19" i="2"/>
  <c r="AG19" i="2" s="1"/>
  <c r="AI19" i="2" s="1"/>
  <c r="AD19" i="2"/>
  <c r="AE27" i="2"/>
  <c r="AG27" i="2" s="1"/>
  <c r="AD27" i="2"/>
  <c r="AE22" i="2"/>
  <c r="AG22" i="2" s="1"/>
  <c r="AD22" i="2"/>
  <c r="AE56" i="2"/>
  <c r="AG56" i="2" s="1"/>
  <c r="AD56" i="2"/>
  <c r="AE46" i="2"/>
  <c r="AG46" i="2" s="1"/>
  <c r="AD46" i="2"/>
  <c r="AE62" i="2"/>
  <c r="AG62" i="2" s="1"/>
  <c r="AI62" i="2" s="1"/>
  <c r="AD62" i="2"/>
  <c r="AE6" i="2"/>
  <c r="AG6" i="2" s="1"/>
  <c r="AD6" i="2"/>
  <c r="AE10" i="2"/>
  <c r="AG10" i="2" s="1"/>
  <c r="AI10" i="2" s="1"/>
  <c r="AD10" i="2"/>
  <c r="AE53" i="2"/>
  <c r="AF53" i="2" s="1"/>
  <c r="AD53" i="2"/>
  <c r="AE50" i="2"/>
  <c r="AG50" i="2" s="1"/>
  <c r="AD50" i="2"/>
  <c r="AE48" i="2"/>
  <c r="AG48" i="2" s="1"/>
  <c r="AD48" i="2"/>
  <c r="AE28" i="2"/>
  <c r="AG28" i="2" s="1"/>
  <c r="AD28" i="2"/>
  <c r="AE13" i="2"/>
  <c r="AG13" i="2" s="1"/>
  <c r="AD13" i="2"/>
  <c r="AE26" i="2"/>
  <c r="AG26" i="2" s="1"/>
  <c r="AI26" i="2" s="1"/>
  <c r="AD26" i="2"/>
  <c r="AE18" i="2"/>
  <c r="AG18" i="2" s="1"/>
  <c r="AD18" i="2"/>
  <c r="AE16" i="2"/>
  <c r="AG16" i="2" s="1"/>
  <c r="AD16" i="2"/>
  <c r="AE7" i="2"/>
  <c r="AG7" i="2" s="1"/>
  <c r="AD7" i="2"/>
  <c r="AE3" i="2"/>
  <c r="AG3" i="2" s="1"/>
  <c r="AI3" i="2" s="1"/>
  <c r="AD3" i="2"/>
  <c r="AE11" i="2"/>
  <c r="AG11" i="2" s="1"/>
  <c r="AD11" i="2"/>
  <c r="AE8" i="2"/>
  <c r="AG8" i="2" s="1"/>
  <c r="AD8" i="2"/>
  <c r="AE20" i="2"/>
  <c r="AG20" i="2" s="1"/>
  <c r="AD20" i="2"/>
  <c r="AE41" i="2"/>
  <c r="AG41" i="2" s="1"/>
  <c r="AD41" i="2"/>
  <c r="AE15" i="2"/>
  <c r="AG15" i="2" s="1"/>
  <c r="AD15" i="2"/>
  <c r="AE45" i="2"/>
  <c r="AF45" i="2" s="1"/>
  <c r="AD45" i="2"/>
  <c r="AE14" i="2"/>
  <c r="AG14" i="2" s="1"/>
  <c r="AD14" i="2"/>
  <c r="AE31" i="2"/>
  <c r="AG31" i="2" s="1"/>
  <c r="AD31" i="2"/>
  <c r="AE35" i="2"/>
  <c r="AF35" i="2" s="1"/>
  <c r="AH35" i="2" s="1"/>
  <c r="X35" i="2" s="1"/>
  <c r="AD35" i="2"/>
  <c r="AE21" i="2"/>
  <c r="AG21" i="2" s="1"/>
  <c r="AD21" i="2"/>
  <c r="AE17" i="2"/>
  <c r="AF17" i="2" s="1"/>
  <c r="AD17" i="2"/>
  <c r="Y55" i="2"/>
  <c r="W21" i="2"/>
  <c r="W17" i="2"/>
  <c r="V37" i="2"/>
  <c r="V53" i="2"/>
  <c r="V28" i="2"/>
  <c r="W20" i="2"/>
  <c r="V43" i="2"/>
  <c r="V38" i="2"/>
  <c r="V36" i="2"/>
  <c r="V32" i="2"/>
  <c r="V49" i="2"/>
  <c r="W5" i="2"/>
  <c r="V29" i="2"/>
  <c r="V42" i="2"/>
  <c r="V31" i="2"/>
  <c r="W8" i="2"/>
  <c r="V27" i="2"/>
  <c r="V25" i="2"/>
  <c r="W15" i="2"/>
  <c r="W6" i="2"/>
  <c r="W16" i="2"/>
  <c r="W13" i="2"/>
  <c r="V56" i="2"/>
  <c r="W3" i="2"/>
  <c r="W11" i="2"/>
  <c r="W14" i="2"/>
  <c r="W19" i="2"/>
  <c r="V45" i="2"/>
  <c r="V58" i="2"/>
  <c r="V48" i="2"/>
  <c r="V35" i="2"/>
  <c r="V61" i="2"/>
  <c r="V26" i="2"/>
  <c r="V46" i="2"/>
  <c r="V52" i="2"/>
  <c r="V41" i="2"/>
  <c r="V62" i="2"/>
  <c r="W9" i="2"/>
  <c r="W4" i="2"/>
  <c r="V59" i="2"/>
  <c r="V51" i="2"/>
  <c r="V60" i="2"/>
  <c r="V44" i="2"/>
  <c r="V39" i="2"/>
  <c r="W10" i="2"/>
  <c r="W22" i="2"/>
  <c r="V33" i="2"/>
  <c r="V23" i="2"/>
  <c r="V47" i="2"/>
  <c r="V57" i="2"/>
  <c r="V50" i="2"/>
  <c r="V34" i="2"/>
  <c r="V24" i="2"/>
  <c r="W7" i="2"/>
  <c r="V30" i="2"/>
  <c r="W12" i="2"/>
  <c r="W18" i="2"/>
  <c r="AI27" i="2" l="1"/>
  <c r="Y27" i="2" s="1"/>
  <c r="AI47" i="2"/>
  <c r="AI52" i="2"/>
  <c r="AI16" i="2"/>
  <c r="AI14" i="2"/>
  <c r="AH53" i="2"/>
  <c r="X53" i="2" s="1"/>
  <c r="AH32" i="2"/>
  <c r="X32" i="2" s="1"/>
  <c r="AI31" i="2"/>
  <c r="AI49" i="2"/>
  <c r="AI15" i="2"/>
  <c r="AI11" i="2"/>
  <c r="AI5" i="2"/>
  <c r="AI43" i="2"/>
  <c r="Y43" i="2" s="1"/>
  <c r="AI50" i="2"/>
  <c r="AI20" i="2"/>
  <c r="AI13" i="2"/>
  <c r="AI46" i="2"/>
  <c r="AI41" i="2"/>
  <c r="AI7" i="2"/>
  <c r="AI21" i="2"/>
  <c r="AI8" i="2"/>
  <c r="AI28" i="2"/>
  <c r="Y28" i="2" s="1"/>
  <c r="AI56" i="2"/>
  <c r="AI58" i="2"/>
  <c r="AI12" i="2"/>
  <c r="AI18" i="2"/>
  <c r="AI48" i="2"/>
  <c r="AI6" i="2"/>
  <c r="AI22" i="2"/>
  <c r="AH45" i="2"/>
  <c r="X45" i="2" s="1"/>
  <c r="Y37" i="2"/>
  <c r="Y14" i="2"/>
  <c r="AH61" i="2"/>
  <c r="X61" i="2" s="1"/>
  <c r="AH17" i="2"/>
  <c r="X17" i="2" s="1"/>
  <c r="AF16" i="2"/>
  <c r="AH16" i="2" s="1"/>
  <c r="X16" i="2" s="1"/>
  <c r="AF49" i="2"/>
  <c r="AH49" i="2" s="1"/>
  <c r="X49" i="2" s="1"/>
  <c r="AG53" i="2"/>
  <c r="AI53" i="2" s="1"/>
  <c r="AF47" i="2"/>
  <c r="AH47" i="2" s="1"/>
  <c r="X47" i="2" s="1"/>
  <c r="AF43" i="2"/>
  <c r="AH43" i="2" s="1"/>
  <c r="X43" i="2" s="1"/>
  <c r="AF52" i="2"/>
  <c r="AH52" i="2" s="1"/>
  <c r="X52" i="2" s="1"/>
  <c r="AF26" i="2"/>
  <c r="AH26" i="2" s="1"/>
  <c r="X26" i="2" s="1"/>
  <c r="AF41" i="2"/>
  <c r="AH41" i="2" s="1"/>
  <c r="X41" i="2" s="1"/>
  <c r="AF15" i="2"/>
  <c r="AH15" i="2" s="1"/>
  <c r="X15" i="2" s="1"/>
  <c r="AF18" i="2"/>
  <c r="AH18" i="2" s="1"/>
  <c r="X18" i="2" s="1"/>
  <c r="AF62" i="2"/>
  <c r="AH62" i="2" s="1"/>
  <c r="X62" i="2" s="1"/>
  <c r="AF14" i="2"/>
  <c r="AH14" i="2" s="1"/>
  <c r="AF7" i="2"/>
  <c r="AH7" i="2" s="1"/>
  <c r="AG32" i="2"/>
  <c r="AI32" i="2" s="1"/>
  <c r="AF12" i="2"/>
  <c r="AH12" i="2" s="1"/>
  <c r="AF6" i="2"/>
  <c r="AH6" i="2" s="1"/>
  <c r="AG45" i="2"/>
  <c r="AI45" i="2" s="1"/>
  <c r="AF50" i="2"/>
  <c r="AH50" i="2" s="1"/>
  <c r="AF10" i="2"/>
  <c r="AH10" i="2" s="1"/>
  <c r="X10" i="2" s="1"/>
  <c r="AF5" i="2"/>
  <c r="AH5" i="2" s="1"/>
  <c r="X5" i="2" s="1"/>
  <c r="AF46" i="2"/>
  <c r="AH46" i="2" s="1"/>
  <c r="X46" i="2" s="1"/>
  <c r="AF31" i="2"/>
  <c r="AH31" i="2" s="1"/>
  <c r="X31" i="2" s="1"/>
  <c r="AF11" i="2"/>
  <c r="AH11" i="2" s="1"/>
  <c r="X11" i="2" s="1"/>
  <c r="AF48" i="2"/>
  <c r="AH48" i="2" s="1"/>
  <c r="X48" i="2" s="1"/>
  <c r="AG61" i="2"/>
  <c r="AI61" i="2" s="1"/>
  <c r="AF21" i="2"/>
  <c r="AH21" i="2" s="1"/>
  <c r="X21" i="2" s="1"/>
  <c r="AF3" i="2"/>
  <c r="AH3" i="2" s="1"/>
  <c r="X3" i="2" s="1"/>
  <c r="AG17" i="2"/>
  <c r="AI17" i="2" s="1"/>
  <c r="AF22" i="2"/>
  <c r="AH22" i="2" s="1"/>
  <c r="X22" i="2" s="1"/>
  <c r="AF20" i="2"/>
  <c r="AH20" i="2" s="1"/>
  <c r="X20" i="2" s="1"/>
  <c r="AF8" i="2"/>
  <c r="AH8" i="2" s="1"/>
  <c r="AF28" i="2"/>
  <c r="AH28" i="2" s="1"/>
  <c r="AF19" i="2"/>
  <c r="AH19" i="2" s="1"/>
  <c r="X19" i="2" s="1"/>
  <c r="AF13" i="2"/>
  <c r="AH13" i="2" s="1"/>
  <c r="X13" i="2" s="1"/>
  <c r="AG35" i="2"/>
  <c r="AI35" i="2" s="1"/>
  <c r="AF36" i="2"/>
  <c r="AH36" i="2" s="1"/>
  <c r="X36" i="2" s="1"/>
  <c r="AF56" i="2"/>
  <c r="AH56" i="2" s="1"/>
  <c r="X56" i="2" s="1"/>
  <c r="AF58" i="2"/>
  <c r="AH58" i="2" s="1"/>
  <c r="X58" i="2" s="1"/>
  <c r="AF37" i="2"/>
  <c r="AH37" i="2" s="1"/>
  <c r="AF27" i="2"/>
  <c r="AH27" i="2" s="1"/>
  <c r="Y17" i="2" l="1"/>
  <c r="Y3" i="2"/>
  <c r="X6" i="2"/>
  <c r="X12" i="2"/>
  <c r="X7" i="2"/>
  <c r="X50" i="2"/>
  <c r="X28" i="2"/>
  <c r="X8" i="2"/>
  <c r="X37" i="2"/>
  <c r="X27" i="2"/>
  <c r="X14" i="2"/>
  <c r="Y15" i="2"/>
  <c r="Y13" i="2"/>
  <c r="Y31" i="2"/>
  <c r="Y8" i="2"/>
  <c r="Y21" i="2"/>
  <c r="Y5" i="2"/>
  <c r="Y16" i="2"/>
  <c r="Y6" i="2"/>
  <c r="Y56" i="2"/>
  <c r="Y19" i="2"/>
  <c r="Y36" i="2"/>
  <c r="Y49" i="2"/>
  <c r="Y26" i="2"/>
  <c r="Y35" i="2"/>
  <c r="Y52" i="2"/>
  <c r="Y48" i="2"/>
  <c r="Y45" i="2"/>
  <c r="Y32" i="2"/>
  <c r="Y58" i="2"/>
  <c r="Y53" i="2"/>
  <c r="Y20" i="2"/>
  <c r="Y61" i="2"/>
  <c r="Y50" i="2"/>
  <c r="Y46" i="2"/>
  <c r="Y22" i="2"/>
  <c r="Y18" i="2"/>
  <c r="Y62" i="2"/>
  <c r="Y41" i="2"/>
  <c r="Y12" i="2"/>
  <c r="Y10" i="2"/>
  <c r="Y47" i="2" l="1"/>
  <c r="Y7" i="2"/>
  <c r="Y11" i="2"/>
  <c r="AA51" i="2"/>
  <c r="AC51" i="2"/>
  <c r="AA59" i="2"/>
  <c r="AC59" i="2"/>
  <c r="AA60" i="2"/>
  <c r="AC60" i="2"/>
  <c r="AC25" i="2"/>
  <c r="AA29" i="2"/>
  <c r="AC29" i="2"/>
  <c r="AA42" i="2"/>
  <c r="AC42" i="2"/>
  <c r="AA23" i="2"/>
  <c r="AC23" i="2"/>
  <c r="AA33" i="2"/>
  <c r="AC33" i="2"/>
  <c r="AA39" i="2"/>
  <c r="AC39" i="2"/>
  <c r="AA30" i="2"/>
  <c r="AC30" i="2"/>
  <c r="AA24" i="2"/>
  <c r="AC24" i="2"/>
  <c r="AA4" i="2"/>
  <c r="AC4" i="2"/>
  <c r="AA9" i="2"/>
  <c r="AC9" i="2"/>
  <c r="AA38" i="2"/>
  <c r="AC38" i="2"/>
  <c r="AA44" i="2"/>
  <c r="AC44" i="2"/>
  <c r="AA34" i="2"/>
  <c r="AC34" i="2"/>
  <c r="AA57" i="2"/>
  <c r="AC57" i="2"/>
  <c r="AA25" i="2"/>
  <c r="AB44" i="2" l="1"/>
  <c r="AB23" i="2"/>
  <c r="AB38" i="2"/>
  <c r="AB42" i="2"/>
  <c r="AB9" i="2"/>
  <c r="AB29" i="2"/>
  <c r="AB4" i="2"/>
  <c r="AB60" i="2"/>
  <c r="AB24" i="2"/>
  <c r="AB25" i="2"/>
  <c r="AB59" i="2"/>
  <c r="AB30" i="2"/>
  <c r="AB51" i="2"/>
  <c r="AB57" i="2"/>
  <c r="AB39" i="2"/>
  <c r="AB34" i="2"/>
  <c r="AB33" i="2"/>
  <c r="AE23" i="2"/>
  <c r="AG23" i="2" s="1"/>
  <c r="AI23" i="2" s="1"/>
  <c r="AD23" i="2"/>
  <c r="AE42" i="2"/>
  <c r="AG42" i="2" s="1"/>
  <c r="AI42" i="2" s="1"/>
  <c r="AD42" i="2"/>
  <c r="AE9" i="2"/>
  <c r="AG9" i="2" s="1"/>
  <c r="AD9" i="2"/>
  <c r="AE24" i="2"/>
  <c r="AF24" i="2" s="1"/>
  <c r="AD24" i="2"/>
  <c r="AE30" i="2"/>
  <c r="AG30" i="2" s="1"/>
  <c r="AD30" i="2"/>
  <c r="AE44" i="2"/>
  <c r="AG44" i="2" s="1"/>
  <c r="AD44" i="2"/>
  <c r="AE25" i="2"/>
  <c r="AG25" i="2" s="1"/>
  <c r="AI25" i="2" s="1"/>
  <c r="AD25" i="2"/>
  <c r="AE51" i="2"/>
  <c r="AG51" i="2" s="1"/>
  <c r="AI51" i="2" s="1"/>
  <c r="AD51" i="2"/>
  <c r="AE34" i="2"/>
  <c r="AG34" i="2" s="1"/>
  <c r="AD34" i="2"/>
  <c r="AE29" i="2"/>
  <c r="AG29" i="2" s="1"/>
  <c r="AD29" i="2"/>
  <c r="AE60" i="2"/>
  <c r="AG60" i="2" s="1"/>
  <c r="AD60" i="2"/>
  <c r="AE4" i="2"/>
  <c r="AG4" i="2" s="1"/>
  <c r="AI4" i="2" s="1"/>
  <c r="AD4" i="2"/>
  <c r="AE57" i="2"/>
  <c r="AG57" i="2" s="1"/>
  <c r="AD57" i="2"/>
  <c r="AE39" i="2"/>
  <c r="AG39" i="2" s="1"/>
  <c r="AD39" i="2"/>
  <c r="AE38" i="2"/>
  <c r="AG38" i="2" s="1"/>
  <c r="AD38" i="2"/>
  <c r="AE33" i="2"/>
  <c r="AF33" i="2" s="1"/>
  <c r="AH33" i="2" s="1"/>
  <c r="AD33" i="2"/>
  <c r="AE59" i="2"/>
  <c r="AG59" i="2" s="1"/>
  <c r="AD59" i="2"/>
  <c r="AI38" i="2" l="1"/>
  <c r="AI9" i="2"/>
  <c r="AI44" i="2"/>
  <c r="AI59" i="2"/>
  <c r="AI60" i="2"/>
  <c r="AI39" i="2"/>
  <c r="AI30" i="2"/>
  <c r="Y30" i="2" s="1"/>
  <c r="AI29" i="2"/>
  <c r="AI57" i="2"/>
  <c r="Y57" i="2" s="1"/>
  <c r="AI34" i="2"/>
  <c r="Y42" i="2"/>
  <c r="AH24" i="2"/>
  <c r="X24" i="2" s="1"/>
  <c r="AF38" i="2"/>
  <c r="AH38" i="2" s="1"/>
  <c r="X38" i="2" s="1"/>
  <c r="AF29" i="2"/>
  <c r="AH29" i="2" s="1"/>
  <c r="X29" i="2" s="1"/>
  <c r="AF39" i="2"/>
  <c r="AH39" i="2" s="1"/>
  <c r="X39" i="2" s="1"/>
  <c r="AF42" i="2"/>
  <c r="AH42" i="2" s="1"/>
  <c r="X42" i="2" s="1"/>
  <c r="AF23" i="2"/>
  <c r="AH23" i="2" s="1"/>
  <c r="X23" i="2" s="1"/>
  <c r="AF34" i="2"/>
  <c r="AH34" i="2" s="1"/>
  <c r="X34" i="2" s="1"/>
  <c r="AF51" i="2"/>
  <c r="AH51" i="2" s="1"/>
  <c r="AF60" i="2"/>
  <c r="AH60" i="2" s="1"/>
  <c r="X60" i="2" s="1"/>
  <c r="AG24" i="2"/>
  <c r="AI24" i="2" s="1"/>
  <c r="AF59" i="2"/>
  <c r="AH59" i="2" s="1"/>
  <c r="AF25" i="2"/>
  <c r="AH25" i="2" s="1"/>
  <c r="AF44" i="2"/>
  <c r="AH44" i="2" s="1"/>
  <c r="AG33" i="2"/>
  <c r="AI33" i="2" s="1"/>
  <c r="AF4" i="2"/>
  <c r="AH4" i="2" s="1"/>
  <c r="AF30" i="2"/>
  <c r="AH30" i="2" s="1"/>
  <c r="AF9" i="2"/>
  <c r="AH9" i="2" s="1"/>
  <c r="AF57" i="2"/>
  <c r="AH57" i="2" s="1"/>
  <c r="Y9" i="2"/>
  <c r="X33" i="2"/>
  <c r="Y38" i="2" l="1"/>
  <c r="X51" i="2"/>
  <c r="X25" i="2"/>
  <c r="X4" i="2"/>
  <c r="X59" i="2"/>
  <c r="X44" i="2"/>
  <c r="X30" i="2"/>
  <c r="X57" i="2"/>
  <c r="X9" i="2"/>
  <c r="Y23" i="2"/>
  <c r="Y4" i="2"/>
  <c r="Y29" i="2"/>
  <c r="Y39" i="2"/>
  <c r="Y59" i="2"/>
  <c r="Y51" i="2"/>
  <c r="Y60" i="2"/>
  <c r="Y33" i="2"/>
  <c r="Y24" i="2"/>
  <c r="Y34" i="2"/>
  <c r="X65" i="2" l="1"/>
  <c r="I79" i="2" a="1"/>
  <c r="I79" i="2" s="1"/>
  <c r="J103" i="2" a="1"/>
  <c r="J103" i="2" s="1"/>
  <c r="I99" i="2" a="1"/>
  <c r="Y44" i="2"/>
  <c r="J79" i="2" l="1"/>
  <c r="K79" i="2"/>
  <c r="L79" i="2"/>
  <c r="AK9" i="2" s="1"/>
  <c r="K103" i="2"/>
  <c r="L103" i="2"/>
  <c r="I99" i="2"/>
  <c r="L99" i="2"/>
  <c r="K99" i="2"/>
  <c r="J99" i="2"/>
  <c r="Y25" i="2"/>
  <c r="AK16" i="2" l="1"/>
  <c r="AK18" i="2"/>
  <c r="AK12" i="2"/>
  <c r="AK6" i="2"/>
  <c r="AK20" i="2"/>
  <c r="AK11" i="2"/>
  <c r="AM11" i="2" s="1"/>
  <c r="K11" i="2" s="1"/>
  <c r="AK13" i="2"/>
  <c r="AM13" i="2" s="1"/>
  <c r="K13" i="2" s="1"/>
  <c r="AK21" i="2"/>
  <c r="AK4" i="2"/>
  <c r="AK7" i="2"/>
  <c r="AM7" i="2" s="1"/>
  <c r="K7" i="2" s="1"/>
  <c r="AK17" i="2"/>
  <c r="AK19" i="2"/>
  <c r="AK8" i="2"/>
  <c r="AM8" i="2" s="1"/>
  <c r="K8" i="2" s="1"/>
  <c r="J83" i="2" a="1"/>
  <c r="L83" i="2" s="1"/>
  <c r="Y65" i="2"/>
  <c r="AK5" i="2"/>
  <c r="AM5" i="2" s="1"/>
  <c r="K5" i="2" s="1"/>
  <c r="AK15" i="2"/>
  <c r="AM15" i="2" s="1"/>
  <c r="K15" i="2" s="1"/>
  <c r="AK3" i="2"/>
  <c r="AK10" i="2"/>
  <c r="AK14" i="2"/>
  <c r="AK22" i="2"/>
  <c r="AJ55" i="2"/>
  <c r="AL55" i="2" s="1"/>
  <c r="E55" i="2" s="1"/>
  <c r="AJ48" i="2"/>
  <c r="AL48" i="2" s="1"/>
  <c r="E48" i="2" s="1"/>
  <c r="F48" i="2" s="1"/>
  <c r="B47" i="10" s="1"/>
  <c r="AJ32" i="2"/>
  <c r="AL32" i="2" s="1"/>
  <c r="E32" i="2" s="1"/>
  <c r="G32" i="2" s="1"/>
  <c r="AJ35" i="2"/>
  <c r="AL35" i="2" s="1"/>
  <c r="E35" i="2" s="1"/>
  <c r="G35" i="2" s="1"/>
  <c r="AJ40" i="2"/>
  <c r="AL40" i="2" s="1"/>
  <c r="E40" i="2" s="1"/>
  <c r="G40" i="2" s="1"/>
  <c r="AJ28" i="2"/>
  <c r="AL28" i="2" s="1"/>
  <c r="E28" i="2" s="1"/>
  <c r="F28" i="2" s="1"/>
  <c r="B27" i="10" s="1"/>
  <c r="AJ57" i="2"/>
  <c r="AL57" i="2" s="1"/>
  <c r="E57" i="2" s="1"/>
  <c r="F57" i="2" s="1"/>
  <c r="B56" i="10" s="1"/>
  <c r="AJ42" i="2"/>
  <c r="AJ33" i="2"/>
  <c r="AL33" i="2" s="1"/>
  <c r="E33" i="2" s="1"/>
  <c r="G33" i="2" s="1"/>
  <c r="AJ54" i="2"/>
  <c r="AL54" i="2" s="1"/>
  <c r="E54" i="2" s="1"/>
  <c r="G54" i="2" s="1"/>
  <c r="AJ50" i="2"/>
  <c r="AL50" i="2" s="1"/>
  <c r="E50" i="2" s="1"/>
  <c r="G50" i="2" s="1"/>
  <c r="AJ29" i="2"/>
  <c r="AL29" i="2" s="1"/>
  <c r="E29" i="2" s="1"/>
  <c r="F29" i="2" s="1"/>
  <c r="B28" i="10" s="1"/>
  <c r="AJ36" i="2"/>
  <c r="AL36" i="2" s="1"/>
  <c r="E36" i="2" s="1"/>
  <c r="G36" i="2" s="1"/>
  <c r="AJ31" i="2"/>
  <c r="AL31" i="2" s="1"/>
  <c r="E31" i="2" s="1"/>
  <c r="G31" i="2" s="1"/>
  <c r="AJ25" i="2"/>
  <c r="AL25" i="2" s="1"/>
  <c r="E25" i="2" s="1"/>
  <c r="F25" i="2" s="1"/>
  <c r="B24" i="10" s="1"/>
  <c r="AJ52" i="2"/>
  <c r="AL52" i="2" s="1"/>
  <c r="E52" i="2" s="1"/>
  <c r="F52" i="2" s="1"/>
  <c r="B51" i="10" s="1"/>
  <c r="AJ53" i="2"/>
  <c r="AL53" i="2" s="1"/>
  <c r="E53" i="2" s="1"/>
  <c r="G53" i="2" s="1"/>
  <c r="AJ51" i="2"/>
  <c r="AL51" i="2" s="1"/>
  <c r="E51" i="2" s="1"/>
  <c r="G51" i="2" s="1"/>
  <c r="AJ30" i="2"/>
  <c r="AJ58" i="2"/>
  <c r="AL58" i="2" s="1"/>
  <c r="E58" i="2" s="1"/>
  <c r="F58" i="2" s="1"/>
  <c r="B57" i="10" s="1"/>
  <c r="AJ26" i="2"/>
  <c r="AL26" i="2" s="1"/>
  <c r="E26" i="2" s="1"/>
  <c r="G26" i="2" s="1"/>
  <c r="AJ34" i="2"/>
  <c r="AJ45" i="2"/>
  <c r="AL45" i="2" s="1"/>
  <c r="E45" i="2" s="1"/>
  <c r="F45" i="2" s="1"/>
  <c r="B44" i="10" s="1"/>
  <c r="AJ49" i="2"/>
  <c r="AL49" i="2" s="1"/>
  <c r="E49" i="2" s="1"/>
  <c r="F49" i="2" s="1"/>
  <c r="B48" i="10" s="1"/>
  <c r="AJ56" i="2"/>
  <c r="AL56" i="2" s="1"/>
  <c r="E56" i="2" s="1"/>
  <c r="F56" i="2" s="1"/>
  <c r="B55" i="10" s="1"/>
  <c r="AJ47" i="2"/>
  <c r="AL47" i="2" s="1"/>
  <c r="E47" i="2" s="1"/>
  <c r="G47" i="2" s="1"/>
  <c r="AJ60" i="2"/>
  <c r="AL60" i="2" s="1"/>
  <c r="E60" i="2" s="1"/>
  <c r="G60" i="2" s="1"/>
  <c r="AJ62" i="2"/>
  <c r="AJ46" i="2"/>
  <c r="AL46" i="2" s="1"/>
  <c r="E46" i="2" s="1"/>
  <c r="AJ39" i="2"/>
  <c r="AJ61" i="2"/>
  <c r="AL61" i="2" s="1"/>
  <c r="E61" i="2" s="1"/>
  <c r="G61" i="2" s="1"/>
  <c r="AJ44" i="2"/>
  <c r="AL44" i="2" s="1"/>
  <c r="E44" i="2" s="1"/>
  <c r="G44" i="2" s="1"/>
  <c r="AJ27" i="2"/>
  <c r="AJ43" i="2"/>
  <c r="AL43" i="2" s="1"/>
  <c r="E43" i="2" s="1"/>
  <c r="F43" i="2" s="1"/>
  <c r="B42" i="10" s="1"/>
  <c r="AJ59" i="2"/>
  <c r="AJ37" i="2"/>
  <c r="AL37" i="2" s="1"/>
  <c r="E37" i="2" s="1"/>
  <c r="F37" i="2" s="1"/>
  <c r="B36" i="10" s="1"/>
  <c r="AJ41" i="2"/>
  <c r="AL41" i="2" s="1"/>
  <c r="E41" i="2" s="1"/>
  <c r="G41" i="2" s="1"/>
  <c r="AJ24" i="2"/>
  <c r="AJ23" i="2"/>
  <c r="AL23" i="2" s="1"/>
  <c r="E23" i="2" s="1"/>
  <c r="G23" i="2" s="1"/>
  <c r="AJ38" i="2"/>
  <c r="AL38" i="2" s="1"/>
  <c r="E38" i="2" s="1"/>
  <c r="G38" i="2" s="1"/>
  <c r="AJ9" i="2"/>
  <c r="AL9" i="2" s="1"/>
  <c r="E9" i="2" s="1"/>
  <c r="AJ12" i="2"/>
  <c r="AJ16" i="2"/>
  <c r="AJ6" i="2"/>
  <c r="AJ5" i="2"/>
  <c r="AL5" i="2" s="1"/>
  <c r="E5" i="2" s="1"/>
  <c r="AJ7" i="2"/>
  <c r="AJ17" i="2"/>
  <c r="AL17" i="2" s="1"/>
  <c r="E17" i="2" s="1"/>
  <c r="AJ14" i="2"/>
  <c r="AL14" i="2" s="1"/>
  <c r="E14" i="2" s="1"/>
  <c r="AJ13" i="2"/>
  <c r="AL13" i="2" s="1"/>
  <c r="E13" i="2" s="1"/>
  <c r="AJ22" i="2"/>
  <c r="AL22" i="2" s="1"/>
  <c r="E22" i="2" s="1"/>
  <c r="AJ21" i="2"/>
  <c r="AJ15" i="2"/>
  <c r="AL15" i="2" s="1"/>
  <c r="E15" i="2" s="1"/>
  <c r="AJ18" i="2"/>
  <c r="AJ10" i="2"/>
  <c r="AL10" i="2" s="1"/>
  <c r="E10" i="2" s="1"/>
  <c r="AJ3" i="2"/>
  <c r="AJ19" i="2"/>
  <c r="AJ11" i="2"/>
  <c r="AL11" i="2" s="1"/>
  <c r="E11" i="2" s="1"/>
  <c r="AJ8" i="2"/>
  <c r="AJ4" i="2"/>
  <c r="AJ20" i="2"/>
  <c r="AL20" i="2" s="1"/>
  <c r="E20" i="2" s="1"/>
  <c r="AM6" i="2"/>
  <c r="K6" i="2" s="1"/>
  <c r="AM12" i="2"/>
  <c r="K12" i="2" s="1"/>
  <c r="AM10" i="2"/>
  <c r="K10" i="2" s="1"/>
  <c r="AM4" i="2"/>
  <c r="AM16" i="2"/>
  <c r="K16" i="2" s="1"/>
  <c r="AM14" i="2"/>
  <c r="K14" i="2" s="1"/>
  <c r="AM20" i="2"/>
  <c r="K20" i="2" s="1"/>
  <c r="AM22" i="2"/>
  <c r="K22" i="2" s="1"/>
  <c r="AM17" i="2"/>
  <c r="K17" i="2" s="1"/>
  <c r="AM9" i="2"/>
  <c r="K9" i="2" s="1"/>
  <c r="AM18" i="2"/>
  <c r="K18" i="2" s="1"/>
  <c r="H42" i="10" l="1"/>
  <c r="I42" i="10"/>
  <c r="H44" i="10"/>
  <c r="I44" i="10"/>
  <c r="H24" i="10"/>
  <c r="I24" i="10"/>
  <c r="H27" i="10"/>
  <c r="I27" i="10"/>
  <c r="H36" i="10"/>
  <c r="I36" i="10"/>
  <c r="H28" i="10"/>
  <c r="I28" i="10"/>
  <c r="H47" i="10"/>
  <c r="J47" i="10"/>
  <c r="H55" i="10"/>
  <c r="J55" i="10"/>
  <c r="H48" i="10"/>
  <c r="J48" i="10"/>
  <c r="H51" i="10"/>
  <c r="J51" i="10"/>
  <c r="H56" i="10"/>
  <c r="J56" i="10"/>
  <c r="H57" i="10"/>
  <c r="J57" i="10"/>
  <c r="AM21" i="2"/>
  <c r="K21" i="2" s="1"/>
  <c r="AM19" i="2"/>
  <c r="K19" i="2" s="1"/>
  <c r="M19" i="2" s="1"/>
  <c r="J83" i="2"/>
  <c r="AK45" i="2" s="1"/>
  <c r="K83" i="2"/>
  <c r="G48" i="2"/>
  <c r="F32" i="2"/>
  <c r="B31" i="10" s="1"/>
  <c r="G25" i="2"/>
  <c r="F54" i="2"/>
  <c r="B53" i="10" s="1"/>
  <c r="F35" i="2"/>
  <c r="B34" i="10" s="1"/>
  <c r="G28" i="2"/>
  <c r="G29" i="2"/>
  <c r="AL42" i="2"/>
  <c r="E42" i="2" s="1"/>
  <c r="F42" i="2" s="1"/>
  <c r="G57" i="2"/>
  <c r="F31" i="2"/>
  <c r="B30" i="10" s="1"/>
  <c r="F36" i="2"/>
  <c r="B35" i="10" s="1"/>
  <c r="F50" i="2"/>
  <c r="B49" i="10" s="1"/>
  <c r="G52" i="2"/>
  <c r="F40" i="2"/>
  <c r="B39" i="10" s="1"/>
  <c r="F33" i="2"/>
  <c r="B32" i="10" s="1"/>
  <c r="G49" i="2"/>
  <c r="F53" i="2"/>
  <c r="B52" i="10" s="1"/>
  <c r="G58" i="2"/>
  <c r="F51" i="2"/>
  <c r="B50" i="10" s="1"/>
  <c r="F60" i="2"/>
  <c r="B59" i="10" s="1"/>
  <c r="AL30" i="2"/>
  <c r="E30" i="2" s="1"/>
  <c r="G30" i="2" s="1"/>
  <c r="F47" i="2"/>
  <c r="B46" i="10" s="1"/>
  <c r="F26" i="2"/>
  <c r="B25" i="10" s="1"/>
  <c r="AL34" i="2"/>
  <c r="E34" i="2" s="1"/>
  <c r="F34" i="2" s="1"/>
  <c r="B33" i="10" s="1"/>
  <c r="G45" i="2"/>
  <c r="G56" i="2"/>
  <c r="AL39" i="2"/>
  <c r="E39" i="2" s="1"/>
  <c r="F39" i="2" s="1"/>
  <c r="B38" i="10" s="1"/>
  <c r="F44" i="2"/>
  <c r="B43" i="10" s="1"/>
  <c r="AL27" i="2"/>
  <c r="E27" i="2" s="1"/>
  <c r="F27" i="2" s="1"/>
  <c r="B26" i="10" s="1"/>
  <c r="AL62" i="2"/>
  <c r="E62" i="2" s="1"/>
  <c r="G62" i="2" s="1"/>
  <c r="F61" i="2"/>
  <c r="B60" i="10" s="1"/>
  <c r="AL24" i="2"/>
  <c r="E24" i="2" s="1"/>
  <c r="G24" i="2" s="1"/>
  <c r="F41" i="2"/>
  <c r="AL59" i="2"/>
  <c r="E59" i="2" s="1"/>
  <c r="G59" i="2" s="1"/>
  <c r="F23" i="2"/>
  <c r="B22" i="10" s="1"/>
  <c r="G43" i="2"/>
  <c r="G37" i="2"/>
  <c r="F38" i="2"/>
  <c r="B37" i="10" s="1"/>
  <c r="G13" i="2"/>
  <c r="F13" i="2"/>
  <c r="B12" i="10" s="1"/>
  <c r="F12" i="10" s="1"/>
  <c r="G55" i="2"/>
  <c r="F55" i="2"/>
  <c r="B54" i="10" s="1"/>
  <c r="AL7" i="2"/>
  <c r="E7" i="2" s="1"/>
  <c r="G14" i="2"/>
  <c r="F14" i="2"/>
  <c r="B13" i="10" s="1"/>
  <c r="G17" i="2"/>
  <c r="F17" i="2"/>
  <c r="B16" i="10" s="1"/>
  <c r="G20" i="2"/>
  <c r="F20" i="2"/>
  <c r="B19" i="10" s="1"/>
  <c r="AL6" i="2"/>
  <c r="E6" i="2" s="1"/>
  <c r="AL4" i="2"/>
  <c r="E4" i="2" s="1"/>
  <c r="AL16" i="2"/>
  <c r="E16" i="2" s="1"/>
  <c r="AL18" i="2"/>
  <c r="E18" i="2" s="1"/>
  <c r="AL21" i="2"/>
  <c r="E21" i="2" s="1"/>
  <c r="G5" i="2"/>
  <c r="F5" i="2"/>
  <c r="B4" i="10" s="1"/>
  <c r="AL8" i="2"/>
  <c r="E8" i="2" s="1"/>
  <c r="G15" i="2"/>
  <c r="F15" i="2"/>
  <c r="B14" i="10" s="1"/>
  <c r="G11" i="2"/>
  <c r="F11" i="2"/>
  <c r="B10" i="10" s="1"/>
  <c r="G9" i="2"/>
  <c r="F9" i="2"/>
  <c r="B8" i="10" s="1"/>
  <c r="G46" i="2"/>
  <c r="F46" i="2"/>
  <c r="B45" i="10" s="1"/>
  <c r="AL12" i="2"/>
  <c r="E12" i="2" s="1"/>
  <c r="AL19" i="2"/>
  <c r="E19" i="2" s="1"/>
  <c r="G22" i="2"/>
  <c r="F22" i="2"/>
  <c r="B21" i="10" s="1"/>
  <c r="G10" i="2"/>
  <c r="F10" i="2"/>
  <c r="B9" i="10" s="1"/>
  <c r="AK27" i="2"/>
  <c r="AK60" i="2"/>
  <c r="AK59" i="2"/>
  <c r="AK48" i="2"/>
  <c r="M16" i="2"/>
  <c r="L16" i="2"/>
  <c r="C15" i="10" s="1"/>
  <c r="M20" i="2"/>
  <c r="L20" i="2"/>
  <c r="C19" i="10" s="1"/>
  <c r="M13" i="2"/>
  <c r="L13" i="2"/>
  <c r="M4" i="2"/>
  <c r="L4" i="2"/>
  <c r="C3" i="10" s="1"/>
  <c r="M10" i="2"/>
  <c r="L10" i="2"/>
  <c r="M8" i="2"/>
  <c r="L8" i="2"/>
  <c r="C7" i="10" s="1"/>
  <c r="M22" i="2"/>
  <c r="L22" i="2"/>
  <c r="C21" i="10" s="1"/>
  <c r="M9" i="2"/>
  <c r="L9" i="2"/>
  <c r="C8" i="10" s="1"/>
  <c r="M3" i="2"/>
  <c r="M17" i="2"/>
  <c r="L17" i="2"/>
  <c r="C16" i="10" s="1"/>
  <c r="M15" i="2"/>
  <c r="L15" i="2"/>
  <c r="C14" i="10" s="1"/>
  <c r="M12" i="2"/>
  <c r="L12" i="2"/>
  <c r="C11" i="10" s="1"/>
  <c r="M6" i="2"/>
  <c r="L6" i="2"/>
  <c r="M21" i="2"/>
  <c r="L21" i="2"/>
  <c r="C20" i="10" s="1"/>
  <c r="M18" i="2"/>
  <c r="L18" i="2"/>
  <c r="C17" i="10" s="1"/>
  <c r="M7" i="2"/>
  <c r="L7" i="2"/>
  <c r="M14" i="2"/>
  <c r="L14" i="2"/>
  <c r="C13" i="10" s="1"/>
  <c r="M11" i="2"/>
  <c r="L11" i="2"/>
  <c r="M5" i="2"/>
  <c r="L5" i="2"/>
  <c r="C4" i="10" s="1"/>
  <c r="N13" i="10" l="1"/>
  <c r="M13" i="10"/>
  <c r="L11" i="10"/>
  <c r="M11" i="10"/>
  <c r="G14" i="10"/>
  <c r="F14" i="10"/>
  <c r="N21" i="10"/>
  <c r="M21" i="10"/>
  <c r="G19" i="10"/>
  <c r="F19" i="10"/>
  <c r="N17" i="10"/>
  <c r="M17" i="10"/>
  <c r="G16" i="10"/>
  <c r="F16" i="10"/>
  <c r="N14" i="10"/>
  <c r="M14" i="10"/>
  <c r="N20" i="10"/>
  <c r="M20" i="10"/>
  <c r="N19" i="10"/>
  <c r="M19" i="10"/>
  <c r="N16" i="10"/>
  <c r="M16" i="10"/>
  <c r="N15" i="10"/>
  <c r="M15" i="10"/>
  <c r="G21" i="10"/>
  <c r="F21" i="10"/>
  <c r="E10" i="10"/>
  <c r="F10" i="10"/>
  <c r="G13" i="10"/>
  <c r="F13" i="10"/>
  <c r="L8" i="10"/>
  <c r="K8" i="10"/>
  <c r="L4" i="10"/>
  <c r="K4" i="10"/>
  <c r="E9" i="10"/>
  <c r="D9" i="10"/>
  <c r="L3" i="10"/>
  <c r="K3" i="10"/>
  <c r="E4" i="10"/>
  <c r="D4" i="10"/>
  <c r="E8" i="10"/>
  <c r="D8" i="10"/>
  <c r="L7" i="10"/>
  <c r="K7" i="10"/>
  <c r="H30" i="10"/>
  <c r="I30" i="10"/>
  <c r="H45" i="10"/>
  <c r="I45" i="10"/>
  <c r="H22" i="10"/>
  <c r="I22" i="10"/>
  <c r="H35" i="10"/>
  <c r="I35" i="10"/>
  <c r="H31" i="10"/>
  <c r="I31" i="10"/>
  <c r="G12" i="10"/>
  <c r="H33" i="10"/>
  <c r="I33" i="10"/>
  <c r="H25" i="10"/>
  <c r="I25" i="10"/>
  <c r="H32" i="10"/>
  <c r="I32" i="10"/>
  <c r="H38" i="10"/>
  <c r="I38" i="10"/>
  <c r="H37" i="10"/>
  <c r="I37" i="10"/>
  <c r="H39" i="10"/>
  <c r="I39" i="10"/>
  <c r="H43" i="10"/>
  <c r="I43" i="10"/>
  <c r="H26" i="10"/>
  <c r="I26" i="10"/>
  <c r="H34" i="10"/>
  <c r="I34" i="10"/>
  <c r="H46" i="10"/>
  <c r="J46" i="10"/>
  <c r="H59" i="10"/>
  <c r="J59" i="10"/>
  <c r="H49" i="10"/>
  <c r="J49" i="10"/>
  <c r="H53" i="10"/>
  <c r="J53" i="10"/>
  <c r="H50" i="10"/>
  <c r="J50" i="10"/>
  <c r="H54" i="10"/>
  <c r="J54" i="10"/>
  <c r="H60" i="10"/>
  <c r="J60" i="10"/>
  <c r="H52" i="10"/>
  <c r="J52" i="10"/>
  <c r="AK55" i="2"/>
  <c r="AK43" i="2"/>
  <c r="AK36" i="2"/>
  <c r="AK51" i="2"/>
  <c r="AK24" i="2"/>
  <c r="AK34" i="2"/>
  <c r="AK39" i="2"/>
  <c r="AK56" i="2"/>
  <c r="AM56" i="2" s="1"/>
  <c r="K56" i="2" s="1"/>
  <c r="AK29" i="2"/>
  <c r="AM29" i="2" s="1"/>
  <c r="K29" i="2" s="1"/>
  <c r="AK49" i="2"/>
  <c r="AM49" i="2" s="1"/>
  <c r="K49" i="2" s="1"/>
  <c r="AK47" i="2"/>
  <c r="AM47" i="2" s="1"/>
  <c r="K47" i="2" s="1"/>
  <c r="AK40" i="2"/>
  <c r="AK42" i="2"/>
  <c r="AK32" i="2"/>
  <c r="L19" i="2"/>
  <c r="C18" i="10" s="1"/>
  <c r="AK31" i="2"/>
  <c r="AK35" i="2"/>
  <c r="AK52" i="2"/>
  <c r="AK30" i="2"/>
  <c r="AK38" i="2"/>
  <c r="AK62" i="2"/>
  <c r="AK26" i="2"/>
  <c r="AK23" i="2"/>
  <c r="AM23" i="2" s="1"/>
  <c r="K23" i="2" s="1"/>
  <c r="AK57" i="2"/>
  <c r="AM57" i="2" s="1"/>
  <c r="K57" i="2" s="1"/>
  <c r="AK61" i="2"/>
  <c r="AM61" i="2" s="1"/>
  <c r="K61" i="2" s="1"/>
  <c r="AK53" i="2"/>
  <c r="AM53" i="2" s="1"/>
  <c r="K53" i="2" s="1"/>
  <c r="AK44" i="2"/>
  <c r="AM44" i="2" s="1"/>
  <c r="K44" i="2" s="1"/>
  <c r="AK25" i="2"/>
  <c r="AM25" i="2" s="1"/>
  <c r="K25" i="2" s="1"/>
  <c r="AK46" i="2"/>
  <c r="AK50" i="2"/>
  <c r="AK41" i="2"/>
  <c r="AM41" i="2" s="1"/>
  <c r="K41" i="2" s="1"/>
  <c r="AK33" i="2"/>
  <c r="AK28" i="2"/>
  <c r="AK58" i="2"/>
  <c r="AK54" i="2"/>
  <c r="AK37" i="2"/>
  <c r="AM37" i="2" s="1"/>
  <c r="K37" i="2" s="1"/>
  <c r="G42" i="2"/>
  <c r="F30" i="2"/>
  <c r="B29" i="10" s="1"/>
  <c r="G34" i="2"/>
  <c r="G27" i="2"/>
  <c r="F62" i="2"/>
  <c r="B61" i="10" s="1"/>
  <c r="G39" i="2"/>
  <c r="F59" i="2"/>
  <c r="B58" i="10" s="1"/>
  <c r="F24" i="2"/>
  <c r="B23" i="10" s="1"/>
  <c r="G8" i="2"/>
  <c r="F8" i="2"/>
  <c r="B7" i="10" s="1"/>
  <c r="G21" i="2"/>
  <c r="F21" i="2"/>
  <c r="B20" i="10" s="1"/>
  <c r="G7" i="2"/>
  <c r="F7" i="2"/>
  <c r="B6" i="10" s="1"/>
  <c r="G18" i="2"/>
  <c r="F18" i="2"/>
  <c r="B17" i="10" s="1"/>
  <c r="G12" i="2"/>
  <c r="F12" i="2"/>
  <c r="B11" i="10" s="1"/>
  <c r="G16" i="2"/>
  <c r="F16" i="2"/>
  <c r="B15" i="10" s="1"/>
  <c r="B40" i="10"/>
  <c r="B41" i="10"/>
  <c r="G4" i="2"/>
  <c r="F4" i="2"/>
  <c r="B3" i="10" s="1"/>
  <c r="G19" i="2"/>
  <c r="F19" i="2"/>
  <c r="B18" i="10" s="1"/>
  <c r="G6" i="2"/>
  <c r="F6" i="2"/>
  <c r="B5" i="10" s="1"/>
  <c r="AM59" i="2"/>
  <c r="K59" i="2" s="1"/>
  <c r="AM60" i="2"/>
  <c r="K60" i="2" s="1"/>
  <c r="AM45" i="2"/>
  <c r="K45" i="2" s="1"/>
  <c r="AM32" i="2"/>
  <c r="K32" i="2" s="1"/>
  <c r="AM62" i="2"/>
  <c r="K62" i="2" s="1"/>
  <c r="AM52" i="2"/>
  <c r="K52" i="2" s="1"/>
  <c r="AM28" i="2"/>
  <c r="K28" i="2" s="1"/>
  <c r="AM54" i="2"/>
  <c r="K54" i="2" s="1"/>
  <c r="AM39" i="2"/>
  <c r="K39" i="2" s="1"/>
  <c r="AM35" i="2"/>
  <c r="K35" i="2" s="1"/>
  <c r="AM48" i="2"/>
  <c r="K48" i="2" s="1"/>
  <c r="AM43" i="2"/>
  <c r="K43" i="2" s="1"/>
  <c r="AM31" i="2"/>
  <c r="K31" i="2" s="1"/>
  <c r="AM51" i="2"/>
  <c r="K51" i="2" s="1"/>
  <c r="AM55" i="2"/>
  <c r="K55" i="2" s="1"/>
  <c r="AM34" i="2"/>
  <c r="K34" i="2" s="1"/>
  <c r="AM24" i="2"/>
  <c r="K24" i="2" s="1"/>
  <c r="AM40" i="2"/>
  <c r="K40" i="2" s="1"/>
  <c r="AM36" i="2"/>
  <c r="K36" i="2" s="1"/>
  <c r="AM27" i="2"/>
  <c r="K27" i="2" s="1"/>
  <c r="AM58" i="2"/>
  <c r="K58" i="2" s="1"/>
  <c r="AM46" i="2"/>
  <c r="K46" i="2" s="1"/>
  <c r="AM50" i="2"/>
  <c r="K50" i="2" s="1"/>
  <c r="AM33" i="2"/>
  <c r="K33" i="2" s="1"/>
  <c r="AM42" i="2"/>
  <c r="K42" i="2" s="1"/>
  <c r="AM38" i="2"/>
  <c r="K38" i="2" s="1"/>
  <c r="AM26" i="2"/>
  <c r="K26" i="2" s="1"/>
  <c r="C6" i="10"/>
  <c r="C10" i="10"/>
  <c r="C9" i="10"/>
  <c r="C5" i="10"/>
  <c r="C12" i="10"/>
  <c r="M12" i="10" s="1"/>
  <c r="C2" i="10"/>
  <c r="T17" i="10" l="1"/>
  <c r="E11" i="10"/>
  <c r="F11" i="10"/>
  <c r="X16" i="10" s="1"/>
  <c r="G17" i="10"/>
  <c r="V6" i="10" s="1"/>
  <c r="F17" i="10"/>
  <c r="N18" i="10"/>
  <c r="M18" i="10"/>
  <c r="G18" i="10"/>
  <c r="F18" i="10"/>
  <c r="L10" i="10"/>
  <c r="M10" i="10"/>
  <c r="G15" i="10"/>
  <c r="X6" i="10" s="1"/>
  <c r="F15" i="10"/>
  <c r="G20" i="10"/>
  <c r="F20" i="10"/>
  <c r="L6" i="10"/>
  <c r="K6" i="10"/>
  <c r="K2" i="10"/>
  <c r="L2" i="10"/>
  <c r="E5" i="10"/>
  <c r="D5" i="10"/>
  <c r="E3" i="10"/>
  <c r="D3" i="10"/>
  <c r="E6" i="10"/>
  <c r="D6" i="10"/>
  <c r="L5" i="10"/>
  <c r="K5" i="10"/>
  <c r="L9" i="10"/>
  <c r="K9" i="10"/>
  <c r="E7" i="10"/>
  <c r="D7" i="10"/>
  <c r="H23" i="10"/>
  <c r="I23" i="10"/>
  <c r="H41" i="10"/>
  <c r="I41" i="10"/>
  <c r="H40" i="10"/>
  <c r="I40" i="10"/>
  <c r="H29" i="10"/>
  <c r="I29" i="10"/>
  <c r="N12" i="10"/>
  <c r="AA6" i="10" s="1"/>
  <c r="H58" i="10"/>
  <c r="J58" i="10"/>
  <c r="H61" i="10"/>
  <c r="J61" i="10"/>
  <c r="AM30" i="2"/>
  <c r="K30" i="2" s="1"/>
  <c r="B2" i="10"/>
  <c r="F67" i="2"/>
  <c r="F68" i="2"/>
  <c r="F65" i="2"/>
  <c r="F69" i="2"/>
  <c r="F66" i="2"/>
  <c r="T6" i="10"/>
  <c r="M30" i="2"/>
  <c r="L30" i="2"/>
  <c r="C29" i="10" s="1"/>
  <c r="M54" i="2"/>
  <c r="L54" i="2"/>
  <c r="M40" i="2"/>
  <c r="L40" i="2"/>
  <c r="C39" i="10" s="1"/>
  <c r="M43" i="2"/>
  <c r="L43" i="2"/>
  <c r="C42" i="10" s="1"/>
  <c r="M28" i="2"/>
  <c r="L28" i="2"/>
  <c r="C27" i="10" s="1"/>
  <c r="M32" i="2"/>
  <c r="L32" i="2"/>
  <c r="M35" i="2"/>
  <c r="L35" i="2"/>
  <c r="C34" i="10" s="1"/>
  <c r="M50" i="2"/>
  <c r="L50" i="2"/>
  <c r="C49" i="10" s="1"/>
  <c r="M24" i="2"/>
  <c r="L24" i="2"/>
  <c r="C23" i="10" s="1"/>
  <c r="M25" i="2"/>
  <c r="L25" i="2"/>
  <c r="C24" i="10" s="1"/>
  <c r="M58" i="2"/>
  <c r="L58" i="2"/>
  <c r="C57" i="10" s="1"/>
  <c r="M34" i="2"/>
  <c r="L34" i="2"/>
  <c r="C33" i="10" s="1"/>
  <c r="M23" i="2"/>
  <c r="L23" i="2"/>
  <c r="M37" i="2"/>
  <c r="L37" i="2"/>
  <c r="C36" i="10" s="1"/>
  <c r="M53" i="2"/>
  <c r="L53" i="2"/>
  <c r="C52" i="10" s="1"/>
  <c r="M27" i="2"/>
  <c r="L27" i="2"/>
  <c r="C26" i="10" s="1"/>
  <c r="M41" i="2"/>
  <c r="L41" i="2"/>
  <c r="M45" i="2"/>
  <c r="L45" i="2"/>
  <c r="C44" i="10" s="1"/>
  <c r="M48" i="2"/>
  <c r="L48" i="2"/>
  <c r="C47" i="10" s="1"/>
  <c r="M44" i="2"/>
  <c r="L44" i="2"/>
  <c r="C43" i="10" s="1"/>
  <c r="M57" i="2"/>
  <c r="L57" i="2"/>
  <c r="M56" i="2"/>
  <c r="L56" i="2"/>
  <c r="C55" i="10" s="1"/>
  <c r="M60" i="2"/>
  <c r="L60" i="2"/>
  <c r="C59" i="10" s="1"/>
  <c r="M29" i="2"/>
  <c r="L29" i="2"/>
  <c r="C28" i="10" s="1"/>
  <c r="M42" i="2"/>
  <c r="L42" i="2"/>
  <c r="M51" i="2"/>
  <c r="L51" i="2"/>
  <c r="C50" i="10" s="1"/>
  <c r="M46" i="2"/>
  <c r="L46" i="2"/>
  <c r="C45" i="10" s="1"/>
  <c r="M36" i="2"/>
  <c r="L36" i="2"/>
  <c r="C35" i="10" s="1"/>
  <c r="M49" i="2"/>
  <c r="L49" i="2"/>
  <c r="C48" i="10" s="1"/>
  <c r="M52" i="2"/>
  <c r="L52" i="2"/>
  <c r="C51" i="10" s="1"/>
  <c r="M59" i="2"/>
  <c r="L59" i="2"/>
  <c r="C58" i="10" s="1"/>
  <c r="M38" i="2"/>
  <c r="L38" i="2"/>
  <c r="C37" i="10" s="1"/>
  <c r="M26" i="2"/>
  <c r="L26" i="2"/>
  <c r="M39" i="2"/>
  <c r="L39" i="2"/>
  <c r="C38" i="10" s="1"/>
  <c r="M55" i="2"/>
  <c r="L55" i="2"/>
  <c r="C54" i="10" s="1"/>
  <c r="M33" i="2"/>
  <c r="L33" i="2"/>
  <c r="C32" i="10" s="1"/>
  <c r="M47" i="2"/>
  <c r="L47" i="2"/>
  <c r="C46" i="10" s="1"/>
  <c r="M31" i="2"/>
  <c r="L31" i="2"/>
  <c r="C30" i="10" s="1"/>
  <c r="M61" i="2"/>
  <c r="L61" i="2"/>
  <c r="C60" i="10" s="1"/>
  <c r="M62" i="2"/>
  <c r="L62" i="2"/>
  <c r="C61" i="10" s="1"/>
  <c r="Y16" i="10" l="1"/>
  <c r="Z16" i="10"/>
  <c r="AA16" i="10"/>
  <c r="AB16" i="10"/>
  <c r="AC16" i="10"/>
  <c r="T16" i="10"/>
  <c r="W16" i="10"/>
  <c r="X18" i="10"/>
  <c r="W18" i="10"/>
  <c r="V18" i="10"/>
  <c r="U18" i="10"/>
  <c r="T18" i="10"/>
  <c r="V16" i="10"/>
  <c r="AD16" i="10"/>
  <c r="U16" i="10"/>
  <c r="W7" i="10"/>
  <c r="AB6" i="10"/>
  <c r="W6" i="10"/>
  <c r="U6" i="10"/>
  <c r="AD17" i="10"/>
  <c r="D2" i="10"/>
  <c r="E2" i="10"/>
  <c r="T15" i="10" s="1"/>
  <c r="W17" i="10"/>
  <c r="U7" i="10"/>
  <c r="X7" i="10"/>
  <c r="O58" i="10"/>
  <c r="Q58" i="10"/>
  <c r="O47" i="10"/>
  <c r="Q47" i="10"/>
  <c r="O34" i="10"/>
  <c r="P34" i="10"/>
  <c r="AC6" i="10"/>
  <c r="O30" i="10"/>
  <c r="P30" i="10"/>
  <c r="O51" i="10"/>
  <c r="Q51" i="10"/>
  <c r="O50" i="10"/>
  <c r="Q50" i="10"/>
  <c r="O44" i="10"/>
  <c r="P44" i="10"/>
  <c r="O36" i="10"/>
  <c r="P36" i="10"/>
  <c r="O24" i="10"/>
  <c r="P24" i="10"/>
  <c r="U17" i="10"/>
  <c r="Y6" i="10"/>
  <c r="O27" i="10"/>
  <c r="P27" i="10"/>
  <c r="V17" i="10"/>
  <c r="O46" i="10"/>
  <c r="Q46" i="10"/>
  <c r="O48" i="10"/>
  <c r="Q48" i="10"/>
  <c r="O23" i="10"/>
  <c r="P23" i="10"/>
  <c r="O29" i="10"/>
  <c r="P29" i="10"/>
  <c r="Z15" i="10"/>
  <c r="AC15" i="10"/>
  <c r="AA15" i="10"/>
  <c r="AB15" i="10"/>
  <c r="Y15" i="10"/>
  <c r="V7" i="10"/>
  <c r="O54" i="10"/>
  <c r="Q54" i="10"/>
  <c r="O45" i="10"/>
  <c r="P45" i="10"/>
  <c r="O52" i="10"/>
  <c r="Q52" i="10"/>
  <c r="O39" i="10"/>
  <c r="P39" i="10"/>
  <c r="Z6" i="10"/>
  <c r="O61" i="10"/>
  <c r="Q61" i="10"/>
  <c r="O35" i="10"/>
  <c r="P35" i="10"/>
  <c r="O43" i="10"/>
  <c r="P43" i="10"/>
  <c r="O33" i="10"/>
  <c r="P33" i="10"/>
  <c r="O42" i="10"/>
  <c r="P42" i="10"/>
  <c r="O60" i="10"/>
  <c r="Q60" i="10"/>
  <c r="O59" i="10"/>
  <c r="Q59" i="10"/>
  <c r="O57" i="10"/>
  <c r="Q57" i="10"/>
  <c r="O38" i="10"/>
  <c r="P38" i="10"/>
  <c r="O55" i="10"/>
  <c r="Q55" i="10"/>
  <c r="O32" i="10"/>
  <c r="P32" i="10"/>
  <c r="O37" i="10"/>
  <c r="P37" i="10"/>
  <c r="O28" i="10"/>
  <c r="P28" i="10"/>
  <c r="O26" i="10"/>
  <c r="P26" i="10"/>
  <c r="O49" i="10"/>
  <c r="Q49" i="10"/>
  <c r="T7" i="10"/>
  <c r="X17" i="10"/>
  <c r="U8" i="10"/>
  <c r="X8" i="10"/>
  <c r="W8" i="10"/>
  <c r="V8" i="10"/>
  <c r="T8" i="10"/>
  <c r="C22" i="10"/>
  <c r="C53" i="10"/>
  <c r="C56" i="10"/>
  <c r="C25" i="10"/>
  <c r="C31" i="10"/>
  <c r="C40" i="10"/>
  <c r="C41" i="10"/>
  <c r="AC5" i="10"/>
  <c r="Z5" i="10"/>
  <c r="AA5" i="10"/>
  <c r="Y5" i="10"/>
  <c r="AB5" i="10"/>
  <c r="AA18" i="10" l="1"/>
  <c r="Z18" i="10"/>
  <c r="AC18" i="10"/>
  <c r="AB18" i="10"/>
  <c r="Y18" i="10"/>
  <c r="O40" i="10"/>
  <c r="P40" i="10"/>
  <c r="P22" i="10"/>
  <c r="O31" i="10"/>
  <c r="P31" i="10"/>
  <c r="O53" i="10"/>
  <c r="Q53" i="10"/>
  <c r="O41" i="10"/>
  <c r="P41" i="10"/>
  <c r="O25" i="10"/>
  <c r="P25" i="10"/>
  <c r="O56" i="10"/>
  <c r="Q56" i="10"/>
  <c r="W15" i="10"/>
  <c r="V15" i="10"/>
  <c r="U15" i="10"/>
  <c r="AD15" i="10"/>
  <c r="X15" i="10"/>
  <c r="X5" i="10"/>
  <c r="T5" i="10"/>
  <c r="W5" i="10"/>
  <c r="U5" i="10"/>
  <c r="V5" i="10"/>
  <c r="O22" i="10"/>
  <c r="AB8" i="10"/>
  <c r="Y8" i="10"/>
  <c r="Z8" i="10"/>
  <c r="AC8" i="10"/>
  <c r="AA8" i="10"/>
  <c r="AA17" i="10" l="1"/>
  <c r="Z17" i="10"/>
  <c r="Y17" i="10"/>
  <c r="AC17" i="10"/>
  <c r="AB17" i="10"/>
  <c r="AC7" i="10"/>
  <c r="Z7" i="10"/>
  <c r="AA7" i="10"/>
  <c r="AB7" i="10"/>
  <c r="Y7" i="10"/>
</calcChain>
</file>

<file path=xl/sharedStrings.xml><?xml version="1.0" encoding="utf-8"?>
<sst xmlns="http://schemas.openxmlformats.org/spreadsheetml/2006/main" count="447" uniqueCount="140">
  <si>
    <t>θ/2</t>
  </si>
  <si>
    <t>Min</t>
  </si>
  <si>
    <t>Charging Start - GOES (UTC)</t>
  </si>
  <si>
    <t>V (avg.)</t>
  </si>
  <si>
    <t>C</t>
  </si>
  <si>
    <t>sin term</t>
  </si>
  <si>
    <t>Median</t>
  </si>
  <si>
    <t>Max</t>
  </si>
  <si>
    <t>avg. solar wind data</t>
  </si>
  <si>
    <t>Calculations</t>
  </si>
  <si>
    <t>Bx (avg.)</t>
  </si>
  <si>
    <t>By (avg.)</t>
  </si>
  <si>
    <t>Bz (avg.)</t>
  </si>
  <si>
    <t>Visually Confirmed?</t>
  </si>
  <si>
    <t>YES</t>
  </si>
  <si>
    <t>NO</t>
  </si>
  <si>
    <t>Location</t>
  </si>
  <si>
    <t>Saratoga County, NY</t>
  </si>
  <si>
    <t>N/A</t>
  </si>
  <si>
    <t>sin8/3(θ/2)</t>
  </si>
  <si>
    <t>Newell</t>
  </si>
  <si>
    <t>Dataset</t>
  </si>
  <si>
    <t>-Bz onset</t>
  </si>
  <si>
    <t>prior substorm</t>
  </si>
  <si>
    <t>OMNIWeb</t>
  </si>
  <si>
    <t>Total Charging Time (hours)</t>
  </si>
  <si>
    <t>X^3</t>
  </si>
  <si>
    <t>X^2</t>
  </si>
  <si>
    <t>X</t>
  </si>
  <si>
    <t>X^4</t>
  </si>
  <si>
    <t>STRONG STORM - polynomial fit constants</t>
  </si>
  <si>
    <t>WEAK STORM polynomial fit constants</t>
  </si>
  <si>
    <t>YES*</t>
  </si>
  <si>
    <t>NY - all</t>
  </si>
  <si>
    <t>V*|Bz|/100 (DST proxy)</t>
  </si>
  <si>
    <t>* excluding positive values of V*Bz</t>
  </si>
  <si>
    <t>-Bz onest</t>
  </si>
  <si>
    <t>Newell STRONG STORM - polynomial fit constants</t>
  </si>
  <si>
    <t>Newell WEAK STORM polynomial fit constants</t>
  </si>
  <si>
    <t>Charging Initiation Event</t>
  </si>
  <si>
    <t>Substorm Onset Time - GOES (UTC)</t>
  </si>
  <si>
    <t>Weak Coupling Regime</t>
  </si>
  <si>
    <t>Strong Coupling Regime</t>
  </si>
  <si>
    <t>STD DEV</t>
  </si>
  <si>
    <t>Start Type</t>
  </si>
  <si>
    <t>Charging Time (min)</t>
  </si>
  <si>
    <t>Model Error (min)</t>
  </si>
  <si>
    <t>Newell-based</t>
  </si>
  <si>
    <t>Present study</t>
  </si>
  <si>
    <t>Storm Details</t>
  </si>
  <si>
    <t>Present Study</t>
  </si>
  <si>
    <t>Mean (min)</t>
  </si>
  <si>
    <r>
      <t>X</t>
    </r>
    <r>
      <rPr>
        <b/>
        <vertAlign val="subscript"/>
        <sz val="12"/>
        <color theme="1"/>
        <rFont val="Arial"/>
        <family val="2"/>
      </rPr>
      <t>Dst</t>
    </r>
  </si>
  <si>
    <t>Std. Dev. (min)</t>
  </si>
  <si>
    <r>
      <t>Response Scalar (x 10</t>
    </r>
    <r>
      <rPr>
        <vertAlign val="superscript"/>
        <sz val="12"/>
        <color theme="1"/>
        <rFont val="Arial"/>
        <family val="2"/>
      </rPr>
      <t>4</t>
    </r>
    <r>
      <rPr>
        <sz val="12"/>
        <color theme="1"/>
        <rFont val="Arial"/>
        <family val="2"/>
      </rPr>
      <t>)</t>
    </r>
  </si>
  <si>
    <t>Median   (min)</t>
  </si>
  <si>
    <t>Min   (min)</t>
  </si>
  <si>
    <t>Max     (min)</t>
  </si>
  <si>
    <t>Newell (Rs-dyn) Model Delta (min)</t>
  </si>
  <si>
    <t xml:space="preserve">Mean </t>
  </si>
  <si>
    <t>Lf</t>
  </si>
  <si>
    <t>Rf-N</t>
  </si>
  <si>
    <t>Rf-Lf</t>
  </si>
  <si>
    <t>Lf - Tdelay</t>
  </si>
  <si>
    <t>Newell - Tdelay</t>
  </si>
  <si>
    <t>Lf Prediction Error Time (min)</t>
  </si>
  <si>
    <t>XDst</t>
  </si>
  <si>
    <t>n</t>
  </si>
  <si>
    <t>Very Strong (&lt;–150)</t>
  </si>
  <si>
    <t>Moderate (–150 to –75)</t>
  </si>
  <si>
    <t>Weak (&gt; –75)</t>
  </si>
  <si>
    <t>All Points</t>
  </si>
  <si>
    <t>XDst Bin</t>
  </si>
  <si>
    <t>Table 2: Total Dataset Summary Statistics</t>
  </si>
  <si>
    <r>
      <t>R</t>
    </r>
    <r>
      <rPr>
        <vertAlign val="subscript"/>
        <sz val="11"/>
        <color theme="1"/>
        <rFont val="Aptos Narrow"/>
        <family val="2"/>
        <scheme val="minor"/>
      </rPr>
      <t>f</t>
    </r>
    <r>
      <rPr>
        <sz val="11"/>
        <color theme="1"/>
        <rFont val="Aptos Narrow"/>
        <family val="2"/>
        <scheme val="minor"/>
      </rPr>
      <t xml:space="preserve"> fit</t>
    </r>
  </si>
  <si>
    <t>Cs-Newell</t>
  </si>
  <si>
    <t>Storm  Details</t>
  </si>
  <si>
    <t>Model with Newell</t>
  </si>
  <si>
    <t>Model with Lf</t>
  </si>
  <si>
    <t>Visually Confirmation</t>
  </si>
  <si>
    <t>Table1: Example Data Subset (n=20)</t>
  </si>
  <si>
    <t>θ  (degrees)</t>
  </si>
  <si>
    <r>
      <t>C</t>
    </r>
    <r>
      <rPr>
        <b/>
        <vertAlign val="subscript"/>
        <sz val="11"/>
        <rFont val="Aptos Narrow"/>
        <family val="2"/>
        <scheme val="minor"/>
      </rPr>
      <t>s</t>
    </r>
    <r>
      <rPr>
        <b/>
        <sz val="11"/>
        <rFont val="Aptos Narrow"/>
        <family val="2"/>
        <scheme val="minor"/>
      </rPr>
      <t>-Lf</t>
    </r>
  </si>
  <si>
    <r>
      <t>B</t>
    </r>
    <r>
      <rPr>
        <b/>
        <vertAlign val="subscript"/>
        <sz val="11"/>
        <rFont val="Aptos Narrow"/>
        <family val="2"/>
        <scheme val="minor"/>
      </rPr>
      <t>T</t>
    </r>
  </si>
  <si>
    <r>
      <t>θ</t>
    </r>
    <r>
      <rPr>
        <b/>
        <vertAlign val="subscript"/>
        <sz val="11"/>
        <rFont val="Times New Roman"/>
        <family val="1"/>
      </rPr>
      <t>atan2</t>
    </r>
  </si>
  <si>
    <t>NOAA NGDC</t>
  </si>
  <si>
    <t>NOAA SWPC</t>
  </si>
  <si>
    <t>CDAWeb</t>
  </si>
  <si>
    <t>* external confirmation</t>
  </si>
  <si>
    <r>
      <t>B</t>
    </r>
    <r>
      <rPr>
        <b/>
        <vertAlign val="subscript"/>
        <sz val="11"/>
        <rFont val="Aptos Narrow"/>
        <family val="2"/>
        <scheme val="minor"/>
      </rPr>
      <t>T^b</t>
    </r>
  </si>
  <si>
    <t>V^a</t>
  </si>
  <si>
    <t>a</t>
  </si>
  <si>
    <t>b</t>
  </si>
  <si>
    <t>2/3</t>
  </si>
  <si>
    <t>4/3</t>
  </si>
  <si>
    <t>orig</t>
  </si>
  <si>
    <r>
      <t>sin</t>
    </r>
    <r>
      <rPr>
        <b/>
        <vertAlign val="superscript"/>
        <sz val="11"/>
        <rFont val="Aptos Narrow"/>
        <family val="2"/>
        <scheme val="minor"/>
      </rPr>
      <t>0.32</t>
    </r>
    <r>
      <rPr>
        <b/>
        <sz val="11"/>
        <rFont val="Aptos Narrow"/>
        <family val="2"/>
        <scheme val="minor"/>
      </rPr>
      <t>(θ/2)</t>
    </r>
  </si>
  <si>
    <t>best</t>
  </si>
  <si>
    <t>Calculation Support Placeholder</t>
  </si>
  <si>
    <t>Newell-Rf Predicted Time</t>
  </si>
  <si>
    <t>Newell-Rf Δ [absolute] (min)</t>
  </si>
  <si>
    <t>Newell-Rf Δ  [signed] (min)</t>
  </si>
  <si>
    <t>Newell-Cs Predicted Time</t>
  </si>
  <si>
    <t>Newell-Cs Δ [absolute] (min)</t>
  </si>
  <si>
    <t>Newell-Cs Δ [signed] (min)</t>
  </si>
  <si>
    <t>Lf-Rf Predicted Time</t>
  </si>
  <si>
    <t>LF-Rf Δ [absolute] (min)</t>
  </si>
  <si>
    <t>LF-Rf Δ  [signed] (min)</t>
  </si>
  <si>
    <t>Lf-Cs Predicted Time</t>
  </si>
  <si>
    <t>LF-Cs Δ [absolute] (min)</t>
  </si>
  <si>
    <t>LF-Cs Δ [signed] (min)</t>
  </si>
  <si>
    <t>Cs-Newell Avg.</t>
  </si>
  <si>
    <r>
      <t>C</t>
    </r>
    <r>
      <rPr>
        <b/>
        <vertAlign val="subscript"/>
        <sz val="11"/>
        <rFont val="Aptos Narrow"/>
        <family val="2"/>
        <scheme val="minor"/>
      </rPr>
      <t>s</t>
    </r>
    <r>
      <rPr>
        <b/>
        <sz val="11"/>
        <rFont val="Aptos Narrow"/>
        <family val="2"/>
        <scheme val="minor"/>
      </rPr>
      <t>-Lf Avg</t>
    </r>
  </si>
  <si>
    <t>Newell-Cs Tdelay</t>
  </si>
  <si>
    <t>LF-Cs-Tdelay</t>
  </si>
  <si>
    <t xml:space="preserve">Newell-Rf </t>
  </si>
  <si>
    <t>Newell-Cs</t>
  </si>
  <si>
    <t>LF-Cs</t>
  </si>
  <si>
    <t>LF-Rf</t>
  </si>
  <si>
    <r>
      <t>X</t>
    </r>
    <r>
      <rPr>
        <b/>
        <vertAlign val="subscript"/>
        <sz val="11"/>
        <color theme="1"/>
        <rFont val="Arial"/>
        <family val="2"/>
      </rPr>
      <t>Dst</t>
    </r>
  </si>
  <si>
    <t>Dynamic Response Scalar (Rf)</t>
  </si>
  <si>
    <r>
      <t>Rf (x 10</t>
    </r>
    <r>
      <rPr>
        <b/>
        <vertAlign val="superscript"/>
        <sz val="10"/>
        <color theme="1"/>
        <rFont val="Arial"/>
        <family val="2"/>
      </rPr>
      <t>4</t>
    </r>
    <r>
      <rPr>
        <b/>
        <sz val="10"/>
        <color theme="1"/>
        <rFont val="Arial"/>
        <family val="2"/>
      </rPr>
      <t>)</t>
    </r>
  </si>
  <si>
    <t>N-Rf</t>
  </si>
  <si>
    <t>Lf-Rf</t>
  </si>
  <si>
    <t>N-Cs</t>
  </si>
  <si>
    <t>Lf-Cs</t>
  </si>
  <si>
    <t>very weak (&lt;20)</t>
  </si>
  <si>
    <t>Weak (–75 to -20)</t>
  </si>
  <si>
    <t>Very Weak (&gt;-20)</t>
  </si>
  <si>
    <t>Very Strong (&lt;–200)</t>
  </si>
  <si>
    <t>Moderately Strong (-200 to -75)</t>
  </si>
  <si>
    <t>Mid Range (-200 to -75)</t>
  </si>
  <si>
    <t>* original binning</t>
  </si>
  <si>
    <t>* alternate binning to align with figure 4</t>
  </si>
  <si>
    <t>Alternate table showing use with static (Cs) and dynamic (Rf) response  scaling</t>
  </si>
  <si>
    <t>TableS1: Example Data Subset (n=20)</t>
  </si>
  <si>
    <t>Table S2: Total Dataset Summary Statistics</t>
  </si>
  <si>
    <r>
      <t>C̅s(x 10</t>
    </r>
    <r>
      <rPr>
        <b/>
        <vertAlign val="superscript"/>
        <sz val="10"/>
        <color theme="1"/>
        <rFont val="Arial"/>
        <family val="2"/>
      </rPr>
      <t>4</t>
    </r>
    <r>
      <rPr>
        <b/>
        <sz val="10"/>
        <color theme="1"/>
        <rFont val="Arial"/>
        <family val="2"/>
      </rPr>
      <t>)</t>
    </r>
  </si>
  <si>
    <t>Constant Scalar (C̅s)</t>
  </si>
  <si>
    <t>*blacked out boxes are unused variables - these are carryovers from testing higher level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</si>
</sst>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h:mm;@"/>
    <numFmt numFmtId="166" formatCode="0.0000"/>
    <numFmt numFmtId="167" formatCode="m/d/yy\ h:mm;@"/>
  </numFmts>
  <fonts count="2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theme="0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8"/>
      <color theme="0"/>
      <name val="Aptos Narrow"/>
      <family val="2"/>
      <scheme val="minor"/>
    </font>
    <font>
      <sz val="8"/>
      <color theme="0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vertAlign val="subscript"/>
      <sz val="12"/>
      <color theme="1"/>
      <name val="Arial"/>
      <family val="2"/>
    </font>
    <font>
      <sz val="12"/>
      <name val="Arial"/>
      <family val="2"/>
    </font>
    <font>
      <vertAlign val="superscript"/>
      <sz val="12"/>
      <color theme="1"/>
      <name val="Arial"/>
      <family val="2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name val="Aptos Narrow"/>
      <family val="2"/>
      <scheme val="minor"/>
    </font>
    <font>
      <b/>
      <vertAlign val="subscript"/>
      <sz val="11"/>
      <name val="Aptos Narrow"/>
      <family val="2"/>
      <scheme val="minor"/>
    </font>
    <font>
      <b/>
      <vertAlign val="superscript"/>
      <sz val="11"/>
      <name val="Aptos Narrow"/>
      <family val="2"/>
      <scheme val="minor"/>
    </font>
    <font>
      <b/>
      <vertAlign val="subscript"/>
      <sz val="11"/>
      <name val="Times New Roman"/>
      <family val="1"/>
    </font>
    <font>
      <b/>
      <vertAlign val="subscript"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</cellStyleXfs>
  <cellXfs count="156">
    <xf numFmtId="0" fontId="0" fillId="0" borderId="0" xfId="0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0" xfId="0" applyAlignment="1">
      <alignment horizontal="center"/>
    </xf>
    <xf numFmtId="2" fontId="0" fillId="0" borderId="2" xfId="0" applyNumberFormat="1" applyBorder="1" applyAlignment="1">
      <alignment horizontal="center"/>
    </xf>
    <xf numFmtId="165" fontId="0" fillId="0" borderId="0" xfId="0" applyNumberFormat="1"/>
    <xf numFmtId="165" fontId="0" fillId="0" borderId="2" xfId="0" applyNumberFormat="1" applyBorder="1" applyAlignment="1">
      <alignment horizontal="center" vertical="center"/>
    </xf>
    <xf numFmtId="166" fontId="0" fillId="0" borderId="2" xfId="0" applyNumberFormat="1" applyBorder="1" applyAlignment="1">
      <alignment horizontal="center"/>
    </xf>
    <xf numFmtId="0" fontId="1" fillId="4" borderId="2" xfId="3" applyBorder="1"/>
    <xf numFmtId="2" fontId="0" fillId="0" borderId="0" xfId="0" applyNumberFormat="1" applyAlignment="1">
      <alignment horizontal="center"/>
    </xf>
    <xf numFmtId="0" fontId="8" fillId="0" borderId="0" xfId="0" applyFont="1"/>
    <xf numFmtId="0" fontId="0" fillId="0" borderId="0" xfId="0" applyAlignment="1">
      <alignment horizontal="right"/>
    </xf>
    <xf numFmtId="0" fontId="9" fillId="0" borderId="0" xfId="0" applyFont="1"/>
    <xf numFmtId="0" fontId="9" fillId="0" borderId="6" xfId="0" applyFont="1" applyBorder="1" applyAlignment="1">
      <alignment horizontal="center"/>
    </xf>
    <xf numFmtId="0" fontId="10" fillId="0" borderId="6" xfId="0" applyFont="1" applyBorder="1" applyAlignment="1">
      <alignment horizontal="center" wrapText="1"/>
    </xf>
    <xf numFmtId="1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" fontId="12" fillId="0" borderId="0" xfId="0" applyNumberFormat="1" applyFont="1" applyAlignment="1">
      <alignment horizontal="center"/>
    </xf>
    <xf numFmtId="1" fontId="9" fillId="0" borderId="5" xfId="0" applyNumberFormat="1" applyFont="1" applyBorder="1" applyAlignment="1">
      <alignment horizontal="center"/>
    </xf>
    <xf numFmtId="0" fontId="12" fillId="0" borderId="0" xfId="4" applyFont="1" applyFill="1" applyBorder="1" applyAlignment="1">
      <alignment horizontal="center" wrapText="1"/>
    </xf>
    <xf numFmtId="0" fontId="9" fillId="0" borderId="0" xfId="0" applyFont="1" applyAlignment="1">
      <alignment wrapText="1"/>
    </xf>
    <xf numFmtId="2" fontId="9" fillId="0" borderId="0" xfId="0" applyNumberFormat="1" applyFont="1" applyAlignment="1">
      <alignment horizontal="center"/>
    </xf>
    <xf numFmtId="2" fontId="9" fillId="0" borderId="5" xfId="0" applyNumberFormat="1" applyFont="1" applyBorder="1" applyAlignment="1">
      <alignment horizontal="center"/>
    </xf>
    <xf numFmtId="164" fontId="9" fillId="0" borderId="0" xfId="0" applyNumberFormat="1" applyFont="1" applyAlignment="1">
      <alignment horizontal="center"/>
    </xf>
    <xf numFmtId="164" fontId="9" fillId="0" borderId="5" xfId="0" applyNumberFormat="1" applyFont="1" applyBorder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0" fontId="14" fillId="8" borderId="0" xfId="0" applyFont="1" applyFill="1" applyAlignment="1">
      <alignment vertical="center" wrapText="1"/>
    </xf>
    <xf numFmtId="0" fontId="14" fillId="9" borderId="0" xfId="0" applyFont="1" applyFill="1" applyAlignment="1">
      <alignment vertical="center" wrapText="1"/>
    </xf>
    <xf numFmtId="1" fontId="9" fillId="0" borderId="0" xfId="0" applyNumberFormat="1" applyFont="1"/>
    <xf numFmtId="0" fontId="8" fillId="0" borderId="6" xfId="0" applyFont="1" applyBorder="1"/>
    <xf numFmtId="1" fontId="17" fillId="0" borderId="2" xfId="0" applyNumberFormat="1" applyFont="1" applyBorder="1" applyAlignment="1">
      <alignment horizontal="center"/>
    </xf>
    <xf numFmtId="0" fontId="17" fillId="0" borderId="0" xfId="0" applyFont="1"/>
    <xf numFmtId="14" fontId="17" fillId="0" borderId="0" xfId="0" quotePrefix="1" applyNumberFormat="1" applyFont="1" applyAlignment="1">
      <alignment horizontal="center"/>
    </xf>
    <xf numFmtId="165" fontId="17" fillId="0" borderId="0" xfId="0" applyNumberFormat="1" applyFont="1" applyAlignment="1">
      <alignment horizontal="center"/>
    </xf>
    <xf numFmtId="2" fontId="17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1" fontId="17" fillId="0" borderId="0" xfId="0" applyNumberFormat="1" applyFont="1" applyAlignment="1">
      <alignment horizontal="center"/>
    </xf>
    <xf numFmtId="165" fontId="17" fillId="0" borderId="0" xfId="0" applyNumberFormat="1" applyFont="1"/>
    <xf numFmtId="165" fontId="17" fillId="0" borderId="2" xfId="0" applyNumberFormat="1" applyFont="1" applyBorder="1" applyAlignment="1">
      <alignment horizontal="center" vertical="center"/>
    </xf>
    <xf numFmtId="2" fontId="17" fillId="0" borderId="2" xfId="0" applyNumberFormat="1" applyFont="1" applyBorder="1" applyAlignment="1">
      <alignment horizontal="center" vertical="center"/>
    </xf>
    <xf numFmtId="2" fontId="17" fillId="0" borderId="0" xfId="0" applyNumberFormat="1" applyFont="1"/>
    <xf numFmtId="167" fontId="17" fillId="0" borderId="1" xfId="1" applyNumberFormat="1" applyFont="1" applyFill="1" applyAlignment="1">
      <alignment horizontal="center"/>
    </xf>
    <xf numFmtId="1" fontId="17" fillId="0" borderId="2" xfId="1" applyNumberFormat="1" applyFont="1" applyFill="1" applyBorder="1" applyAlignment="1">
      <alignment horizontal="center"/>
    </xf>
    <xf numFmtId="165" fontId="17" fillId="0" borderId="0" xfId="1" applyNumberFormat="1" applyFont="1" applyFill="1" applyBorder="1" applyAlignment="1">
      <alignment horizontal="center"/>
    </xf>
    <xf numFmtId="11" fontId="17" fillId="0" borderId="0" xfId="0" applyNumberFormat="1" applyFont="1" applyAlignment="1">
      <alignment horizontal="center"/>
    </xf>
    <xf numFmtId="166" fontId="0" fillId="0" borderId="2" xfId="0" applyNumberFormat="1" applyBorder="1"/>
    <xf numFmtId="166" fontId="0" fillId="0" borderId="0" xfId="0" applyNumberFormat="1"/>
    <xf numFmtId="0" fontId="9" fillId="0" borderId="15" xfId="0" applyFont="1" applyBorder="1" applyAlignment="1">
      <alignment horizontal="center"/>
    </xf>
    <xf numFmtId="14" fontId="9" fillId="0" borderId="0" xfId="0" quotePrefix="1" applyNumberFormat="1" applyFont="1" applyAlignment="1">
      <alignment horizontal="center"/>
    </xf>
    <xf numFmtId="1" fontId="9" fillId="0" borderId="0" xfId="0" quotePrefix="1" applyNumberFormat="1" applyFont="1" applyAlignment="1">
      <alignment horizontal="center"/>
    </xf>
    <xf numFmtId="14" fontId="9" fillId="0" borderId="5" xfId="0" quotePrefix="1" applyNumberFormat="1" applyFont="1" applyBorder="1" applyAlignment="1">
      <alignment horizontal="center"/>
    </xf>
    <xf numFmtId="1" fontId="9" fillId="0" borderId="5" xfId="0" quotePrefix="1" applyNumberFormat="1" applyFont="1" applyBorder="1" applyAlignment="1">
      <alignment horizontal="center"/>
    </xf>
    <xf numFmtId="0" fontId="0" fillId="0" borderId="8" xfId="0" applyBorder="1"/>
    <xf numFmtId="0" fontId="15" fillId="0" borderId="11" xfId="0" applyFont="1" applyBorder="1"/>
    <xf numFmtId="165" fontId="16" fillId="0" borderId="8" xfId="0" applyNumberFormat="1" applyFont="1" applyBorder="1" applyAlignment="1">
      <alignment horizontal="center" vertical="center" wrapText="1"/>
    </xf>
    <xf numFmtId="165" fontId="16" fillId="0" borderId="6" xfId="0" applyNumberFormat="1" applyFont="1" applyBorder="1" applyAlignment="1">
      <alignment horizontal="center" vertical="center" wrapText="1"/>
    </xf>
    <xf numFmtId="165" fontId="16" fillId="0" borderId="9" xfId="0" applyNumberFormat="1" applyFont="1" applyBorder="1" applyAlignment="1">
      <alignment horizontal="center" vertical="center" wrapText="1"/>
    </xf>
    <xf numFmtId="165" fontId="16" fillId="0" borderId="12" xfId="0" applyNumberFormat="1" applyFont="1" applyBorder="1" applyAlignment="1">
      <alignment horizontal="center" vertical="center" wrapText="1"/>
    </xf>
    <xf numFmtId="0" fontId="10" fillId="0" borderId="10" xfId="0" applyFont="1" applyBorder="1" applyAlignment="1">
      <alignment horizontal="right" vertical="center" wrapText="1"/>
    </xf>
    <xf numFmtId="1" fontId="9" fillId="0" borderId="0" xfId="0" applyNumberFormat="1" applyFont="1" applyAlignment="1">
      <alignment horizontal="center" vertical="center"/>
    </xf>
    <xf numFmtId="1" fontId="9" fillId="0" borderId="10" xfId="0" applyNumberFormat="1" applyFont="1" applyBorder="1" applyAlignment="1">
      <alignment horizontal="center"/>
    </xf>
    <xf numFmtId="0" fontId="9" fillId="0" borderId="13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right" vertical="center" wrapText="1"/>
    </xf>
    <xf numFmtId="1" fontId="9" fillId="0" borderId="6" xfId="0" applyNumberFormat="1" applyFont="1" applyBorder="1" applyAlignment="1">
      <alignment horizontal="center" vertical="center"/>
    </xf>
    <xf numFmtId="1" fontId="9" fillId="0" borderId="6" xfId="0" applyNumberFormat="1" applyFont="1" applyBorder="1" applyAlignment="1">
      <alignment horizontal="center"/>
    </xf>
    <xf numFmtId="1" fontId="9" fillId="0" borderId="9" xfId="0" applyNumberFormat="1" applyFont="1" applyBorder="1" applyAlignment="1">
      <alignment horizontal="center"/>
    </xf>
    <xf numFmtId="0" fontId="9" fillId="0" borderId="12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right" vertical="center" wrapText="1"/>
    </xf>
    <xf numFmtId="1" fontId="9" fillId="0" borderId="7" xfId="0" applyNumberFormat="1" applyFont="1" applyBorder="1" applyAlignment="1">
      <alignment horizontal="center" vertical="center"/>
    </xf>
    <xf numFmtId="1" fontId="9" fillId="0" borderId="7" xfId="0" applyNumberFormat="1" applyFont="1" applyBorder="1" applyAlignment="1">
      <alignment horizontal="center"/>
    </xf>
    <xf numFmtId="1" fontId="9" fillId="0" borderId="8" xfId="0" applyNumberFormat="1" applyFont="1" applyBorder="1" applyAlignment="1">
      <alignment horizontal="center"/>
    </xf>
    <xf numFmtId="0" fontId="9" fillId="0" borderId="11" xfId="0" applyFont="1" applyBorder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6" fillId="7" borderId="16" xfId="0" applyFont="1" applyFill="1" applyBorder="1" applyAlignment="1">
      <alignment horizontal="center" wrapText="1"/>
    </xf>
    <xf numFmtId="0" fontId="7" fillId="8" borderId="16" xfId="5" applyFont="1" applyFill="1" applyBorder="1" applyAlignment="1">
      <alignment horizontal="center" wrapText="1"/>
    </xf>
    <xf numFmtId="0" fontId="7" fillId="6" borderId="16" xfId="5" applyFont="1" applyBorder="1" applyAlignment="1">
      <alignment horizontal="center" wrapText="1"/>
    </xf>
    <xf numFmtId="0" fontId="5" fillId="10" borderId="2" xfId="2" applyFont="1" applyFill="1" applyBorder="1" applyAlignment="1">
      <alignment horizontal="center" wrapText="1"/>
    </xf>
    <xf numFmtId="0" fontId="5" fillId="11" borderId="2" xfId="5" applyFont="1" applyFill="1" applyBorder="1" applyAlignment="1">
      <alignment horizontal="center" wrapText="1"/>
    </xf>
    <xf numFmtId="0" fontId="5" fillId="11" borderId="2" xfId="0" applyFont="1" applyFill="1" applyBorder="1" applyAlignment="1">
      <alignment horizontal="center" wrapText="1"/>
    </xf>
    <xf numFmtId="0" fontId="5" fillId="12" borderId="2" xfId="0" applyFont="1" applyFill="1" applyBorder="1" applyAlignment="1">
      <alignment horizontal="center" wrapText="1"/>
    </xf>
    <xf numFmtId="0" fontId="5" fillId="12" borderId="2" xfId="0" quotePrefix="1" applyFont="1" applyFill="1" applyBorder="1" applyAlignment="1">
      <alignment horizontal="center" wrapText="1"/>
    </xf>
    <xf numFmtId="0" fontId="5" fillId="12" borderId="2" xfId="2" applyFont="1" applyFill="1" applyBorder="1" applyAlignment="1">
      <alignment horizontal="center" wrapText="1"/>
    </xf>
    <xf numFmtId="14" fontId="17" fillId="13" borderId="2" xfId="0" quotePrefix="1" applyNumberFormat="1" applyFont="1" applyFill="1" applyBorder="1" applyAlignment="1">
      <alignment horizontal="center"/>
    </xf>
    <xf numFmtId="167" fontId="17" fillId="13" borderId="2" xfId="0" applyNumberFormat="1" applyFont="1" applyFill="1" applyBorder="1" applyAlignment="1">
      <alignment horizontal="center"/>
    </xf>
    <xf numFmtId="2" fontId="17" fillId="13" borderId="2" xfId="0" applyNumberFormat="1" applyFont="1" applyFill="1" applyBorder="1" applyAlignment="1">
      <alignment horizontal="center"/>
    </xf>
    <xf numFmtId="14" fontId="17" fillId="13" borderId="2" xfId="0" applyNumberFormat="1" applyFont="1" applyFill="1" applyBorder="1" applyAlignment="1">
      <alignment horizontal="center"/>
    </xf>
    <xf numFmtId="167" fontId="17" fillId="13" borderId="2" xfId="1" applyNumberFormat="1" applyFont="1" applyFill="1" applyBorder="1" applyAlignment="1">
      <alignment horizontal="center"/>
    </xf>
    <xf numFmtId="1" fontId="17" fillId="13" borderId="2" xfId="1" applyNumberFormat="1" applyFont="1" applyFill="1" applyBorder="1" applyAlignment="1">
      <alignment horizontal="center"/>
    </xf>
    <xf numFmtId="1" fontId="17" fillId="13" borderId="2" xfId="0" applyNumberFormat="1" applyFont="1" applyFill="1" applyBorder="1" applyAlignment="1">
      <alignment horizontal="center"/>
    </xf>
    <xf numFmtId="0" fontId="17" fillId="13" borderId="2" xfId="0" applyFont="1" applyFill="1" applyBorder="1" applyAlignment="1">
      <alignment horizontal="center"/>
    </xf>
    <xf numFmtId="0" fontId="5" fillId="11" borderId="3" xfId="0" applyFont="1" applyFill="1" applyBorder="1" applyAlignment="1">
      <alignment horizontal="center" wrapText="1"/>
    </xf>
    <xf numFmtId="1" fontId="17" fillId="0" borderId="3" xfId="0" applyNumberFormat="1" applyFont="1" applyBorder="1" applyAlignment="1">
      <alignment horizontal="center"/>
    </xf>
    <xf numFmtId="2" fontId="0" fillId="0" borderId="2" xfId="0" applyNumberFormat="1" applyBorder="1"/>
    <xf numFmtId="0" fontId="17" fillId="0" borderId="2" xfId="0" applyFont="1" applyBorder="1"/>
    <xf numFmtId="0" fontId="17" fillId="0" borderId="16" xfId="0" applyFont="1" applyBorder="1" applyAlignment="1">
      <alignment horizontal="right"/>
    </xf>
    <xf numFmtId="14" fontId="17" fillId="0" borderId="17" xfId="0" applyNumberFormat="1" applyFont="1" applyBorder="1" applyAlignment="1">
      <alignment horizontal="right"/>
    </xf>
    <xf numFmtId="11" fontId="0" fillId="14" borderId="3" xfId="0" applyNumberFormat="1" applyFill="1" applyBorder="1"/>
    <xf numFmtId="11" fontId="0" fillId="14" borderId="2" xfId="0" applyNumberFormat="1" applyFill="1" applyBorder="1"/>
    <xf numFmtId="166" fontId="0" fillId="14" borderId="3" xfId="0" applyNumberFormat="1" applyFill="1" applyBorder="1"/>
    <xf numFmtId="166" fontId="0" fillId="14" borderId="2" xfId="0" applyNumberFormat="1" applyFill="1" applyBorder="1"/>
    <xf numFmtId="0" fontId="5" fillId="12" borderId="4" xfId="0" applyFont="1" applyFill="1" applyBorder="1" applyAlignment="1">
      <alignment horizontal="center" wrapText="1"/>
    </xf>
    <xf numFmtId="2" fontId="17" fillId="0" borderId="2" xfId="0" applyNumberFormat="1" applyFont="1" applyBorder="1" applyAlignment="1">
      <alignment horizontal="center"/>
    </xf>
    <xf numFmtId="0" fontId="17" fillId="0" borderId="0" xfId="0" quotePrefix="1" applyFont="1" applyAlignment="1">
      <alignment horizontal="center"/>
    </xf>
    <xf numFmtId="2" fontId="17" fillId="0" borderId="0" xfId="0" quotePrefix="1" applyNumberFormat="1" applyFont="1" applyAlignment="1">
      <alignment horizontal="center"/>
    </xf>
    <xf numFmtId="167" fontId="17" fillId="0" borderId="2" xfId="1" applyNumberFormat="1" applyFont="1" applyFill="1" applyBorder="1" applyAlignment="1">
      <alignment horizontal="center"/>
    </xf>
    <xf numFmtId="2" fontId="17" fillId="0" borderId="2" xfId="0" applyNumberFormat="1" applyFont="1" applyBorder="1"/>
    <xf numFmtId="0" fontId="1" fillId="0" borderId="0" xfId="0" applyFont="1"/>
    <xf numFmtId="0" fontId="14" fillId="0" borderId="2" xfId="0" applyFont="1" applyBorder="1" applyAlignment="1">
      <alignment horizontal="center" vertical="center"/>
    </xf>
    <xf numFmtId="0" fontId="17" fillId="0" borderId="0" xfId="0" quotePrefix="1" applyFont="1"/>
    <xf numFmtId="2" fontId="17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7" fillId="0" borderId="2" xfId="0" quotePrefix="1" applyFont="1" applyBorder="1"/>
    <xf numFmtId="0" fontId="16" fillId="0" borderId="6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0" fillId="0" borderId="6" xfId="0" applyFont="1" applyBorder="1" applyAlignment="1">
      <alignment horizontal="left"/>
    </xf>
    <xf numFmtId="0" fontId="10" fillId="0" borderId="0" xfId="0" applyFont="1" applyAlignment="1">
      <alignment horizontal="right" vertical="center" wrapText="1"/>
    </xf>
    <xf numFmtId="165" fontId="22" fillId="0" borderId="8" xfId="0" applyNumberFormat="1" applyFont="1" applyBorder="1" applyAlignment="1">
      <alignment horizontal="center" vertical="center" wrapText="1"/>
    </xf>
    <xf numFmtId="165" fontId="22" fillId="0" borderId="6" xfId="0" applyNumberFormat="1" applyFont="1" applyBorder="1" applyAlignment="1">
      <alignment horizontal="center" vertical="center" wrapText="1"/>
    </xf>
    <xf numFmtId="165" fontId="22" fillId="0" borderId="9" xfId="0" applyNumberFormat="1" applyFont="1" applyBorder="1" applyAlignment="1">
      <alignment horizontal="center" vertical="center" wrapText="1"/>
    </xf>
    <xf numFmtId="165" fontId="22" fillId="0" borderId="12" xfId="0" applyNumberFormat="1" applyFont="1" applyBorder="1" applyAlignment="1">
      <alignment horizontal="center" vertical="center" wrapText="1"/>
    </xf>
    <xf numFmtId="1" fontId="9" fillId="0" borderId="12" xfId="0" applyNumberFormat="1" applyFont="1" applyBorder="1" applyAlignment="1">
      <alignment horizontal="center" vertical="center"/>
    </xf>
    <xf numFmtId="0" fontId="24" fillId="0" borderId="0" xfId="0" applyFont="1" applyAlignment="1">
      <alignment horizontal="right" vertical="center" wrapText="1"/>
    </xf>
    <xf numFmtId="0" fontId="25" fillId="0" borderId="6" xfId="0" applyFont="1" applyBorder="1"/>
    <xf numFmtId="0" fontId="0" fillId="0" borderId="2" xfId="0" applyBorder="1" applyAlignment="1">
      <alignment horizontal="center"/>
    </xf>
    <xf numFmtId="0" fontId="5" fillId="11" borderId="3" xfId="5" applyFont="1" applyFill="1" applyBorder="1" applyAlignment="1">
      <alignment horizontal="center" wrapText="1"/>
    </xf>
    <xf numFmtId="0" fontId="5" fillId="11" borderId="14" xfId="5" applyFont="1" applyFill="1" applyBorder="1" applyAlignment="1">
      <alignment horizontal="center" wrapText="1"/>
    </xf>
    <xf numFmtId="0" fontId="5" fillId="11" borderId="4" xfId="5" applyFont="1" applyFill="1" applyBorder="1" applyAlignment="1">
      <alignment horizontal="center" wrapText="1"/>
    </xf>
    <xf numFmtId="0" fontId="5" fillId="10" borderId="3" xfId="2" applyFont="1" applyFill="1" applyBorder="1" applyAlignment="1">
      <alignment horizontal="center" wrapText="1"/>
    </xf>
    <xf numFmtId="0" fontId="5" fillId="10" borderId="14" xfId="2" applyFont="1" applyFill="1" applyBorder="1" applyAlignment="1">
      <alignment horizontal="center" wrapText="1"/>
    </xf>
    <xf numFmtId="0" fontId="5" fillId="10" borderId="4" xfId="2" applyFont="1" applyFill="1" applyBorder="1" applyAlignment="1">
      <alignment horizontal="center" wrapText="1"/>
    </xf>
    <xf numFmtId="0" fontId="5" fillId="12" borderId="3" xfId="0" applyFont="1" applyFill="1" applyBorder="1" applyAlignment="1">
      <alignment horizontal="center" wrapText="1"/>
    </xf>
    <xf numFmtId="0" fontId="5" fillId="12" borderId="14" xfId="0" applyFont="1" applyFill="1" applyBorder="1" applyAlignment="1">
      <alignment horizontal="center" wrapText="1"/>
    </xf>
    <xf numFmtId="0" fontId="5" fillId="12" borderId="4" xfId="0" applyFont="1" applyFill="1" applyBorder="1" applyAlignment="1">
      <alignment horizontal="center" wrapText="1"/>
    </xf>
    <xf numFmtId="0" fontId="5" fillId="11" borderId="2" xfId="0" applyFont="1" applyFill="1" applyBorder="1" applyAlignment="1">
      <alignment horizontal="center" wrapText="1"/>
    </xf>
    <xf numFmtId="0" fontId="5" fillId="11" borderId="16" xfId="0" applyFont="1" applyFill="1" applyBorder="1" applyAlignment="1">
      <alignment horizontal="center" wrapText="1"/>
    </xf>
    <xf numFmtId="0" fontId="5" fillId="12" borderId="3" xfId="2" applyFont="1" applyFill="1" applyBorder="1" applyAlignment="1">
      <alignment horizontal="center" wrapText="1"/>
    </xf>
    <xf numFmtId="0" fontId="5" fillId="12" borderId="14" xfId="2" applyFont="1" applyFill="1" applyBorder="1" applyAlignment="1">
      <alignment horizontal="center" wrapText="1"/>
    </xf>
    <xf numFmtId="0" fontId="5" fillId="12" borderId="4" xfId="2" applyFont="1" applyFill="1" applyBorder="1" applyAlignment="1">
      <alignment horizontal="center" wrapText="1"/>
    </xf>
    <xf numFmtId="0" fontId="5" fillId="11" borderId="3" xfId="2" applyFont="1" applyFill="1" applyBorder="1" applyAlignment="1">
      <alignment horizontal="center" wrapText="1"/>
    </xf>
    <xf numFmtId="0" fontId="5" fillId="11" borderId="14" xfId="2" applyFont="1" applyFill="1" applyBorder="1" applyAlignment="1">
      <alignment horizontal="center" wrapText="1"/>
    </xf>
    <xf numFmtId="0" fontId="5" fillId="11" borderId="4" xfId="2" applyFont="1" applyFill="1" applyBorder="1" applyAlignment="1">
      <alignment horizontal="center" wrapText="1"/>
    </xf>
    <xf numFmtId="0" fontId="10" fillId="0" borderId="7" xfId="0" applyFont="1" applyBorder="1" applyAlignment="1">
      <alignment horizontal="left"/>
    </xf>
    <xf numFmtId="0" fontId="9" fillId="0" borderId="6" xfId="0" applyFont="1" applyBorder="1" applyAlignment="1">
      <alignment horizontal="center" wrapText="1"/>
    </xf>
    <xf numFmtId="0" fontId="22" fillId="0" borderId="6" xfId="0" applyFont="1" applyBorder="1" applyAlignment="1">
      <alignment horizontal="center" wrapText="1"/>
    </xf>
    <xf numFmtId="164" fontId="9" fillId="0" borderId="19" xfId="0" applyNumberFormat="1" applyFont="1" applyBorder="1" applyAlignment="1">
      <alignment horizontal="center" vertical="center"/>
    </xf>
    <xf numFmtId="164" fontId="9" fillId="0" borderId="13" xfId="0" applyNumberFormat="1" applyFont="1" applyBorder="1" applyAlignment="1">
      <alignment horizontal="center" vertical="center"/>
    </xf>
    <xf numFmtId="2" fontId="9" fillId="0" borderId="18" xfId="0" applyNumberFormat="1" applyFont="1" applyBorder="1" applyAlignment="1">
      <alignment horizontal="center" vertical="center"/>
    </xf>
    <xf numFmtId="2" fontId="9" fillId="0" borderId="0" xfId="0" applyNumberFormat="1" applyFont="1" applyAlignment="1">
      <alignment horizontal="center" vertical="center"/>
    </xf>
    <xf numFmtId="0" fontId="22" fillId="0" borderId="11" xfId="0" applyFont="1" applyBorder="1" applyAlignment="1">
      <alignment horizontal="center" wrapText="1"/>
    </xf>
    <xf numFmtId="0" fontId="22" fillId="0" borderId="7" xfId="0" applyFont="1" applyBorder="1" applyAlignment="1">
      <alignment horizontal="center" wrapText="1"/>
    </xf>
    <xf numFmtId="0" fontId="22" fillId="0" borderId="7" xfId="0" applyFont="1" applyBorder="1" applyAlignment="1">
      <alignment horizontal="center" vertical="center" wrapText="1"/>
    </xf>
    <xf numFmtId="165" fontId="10" fillId="0" borderId="7" xfId="0" applyNumberFormat="1" applyFont="1" applyBorder="1" applyAlignment="1">
      <alignment horizontal="left" vertical="center" wrapText="1"/>
    </xf>
    <xf numFmtId="0" fontId="15" fillId="0" borderId="7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11" xfId="0" applyFont="1" applyBorder="1" applyAlignment="1">
      <alignment horizontal="center"/>
    </xf>
  </cellXfs>
  <cellStyles count="6">
    <cellStyle name="40% - Accent1" xfId="3" builtinId="31"/>
    <cellStyle name="Accent1" xfId="2" builtinId="29"/>
    <cellStyle name="Accent2" xfId="4" builtinId="33"/>
    <cellStyle name="Accent5" xfId="5" builtinId="45"/>
    <cellStyle name="Calculation" xfId="1" builtinId="22"/>
    <cellStyle name="Normal" xfId="0" builtinId="0"/>
  </cellStyles>
  <dxfs count="0"/>
  <tableStyles count="0" defaultTableStyle="TableStyleMedium2" defaultPivotStyle="PivotStyleLight16"/>
  <colors>
    <mruColors>
      <color rgb="FFEAEAEA"/>
      <color rgb="FFEB297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Lf-Based R</a:t>
            </a:r>
            <a:r>
              <a:rPr lang="en-US" baseline="-25000"/>
              <a:t>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436784315444848"/>
          <c:y val="9.2802347468342719E-2"/>
          <c:w val="0.8644648652921979"/>
          <c:h val="0.79629695301162429"/>
        </c:manualLayout>
      </c:layout>
      <c:scatterChart>
        <c:scatterStyle val="lineMarker"/>
        <c:varyColors val="0"/>
        <c:ser>
          <c:idx val="0"/>
          <c:order val="0"/>
          <c:tx>
            <c:v>Weak Coupling Regime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7.4534157202169327E-2"/>
                  <c:y val="-0.6223781446597122"/>
                </c:manualLayout>
              </c:layout>
              <c:numFmt formatCode="General" sourceLinked="0"/>
              <c:spPr>
                <a:solidFill>
                  <a:sysClr val="window" lastClr="FFFFFF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'Full Dataset &amp; Figure 3'!$V$3:$V$62</c:f>
              <c:numCache>
                <c:formatCode>General</c:formatCode>
                <c:ptCount val="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 formatCode="0.00">
                  <c:v>-70.3590102</c:v>
                </c:pt>
                <c:pt idx="21" formatCode="0.00">
                  <c:v>-65.250964819999993</c:v>
                </c:pt>
                <c:pt idx="22" formatCode="0.00">
                  <c:v>-63.109757579999993</c:v>
                </c:pt>
                <c:pt idx="23" formatCode="0.00">
                  <c:v>-60.261200000000002</c:v>
                </c:pt>
                <c:pt idx="24" formatCode="0.00">
                  <c:v>-56.500067000000001</c:v>
                </c:pt>
                <c:pt idx="25" formatCode="0.00">
                  <c:v>-53.126919360000002</c:v>
                </c:pt>
                <c:pt idx="26" formatCode="0.00">
                  <c:v>-47.279749391999992</c:v>
                </c:pt>
                <c:pt idx="27" formatCode="0.00">
                  <c:v>-44.853995359999999</c:v>
                </c:pt>
                <c:pt idx="28" formatCode="0.00">
                  <c:v>-44.02282499999999</c:v>
                </c:pt>
                <c:pt idx="29" formatCode="0.00">
                  <c:v>-42.80259564</c:v>
                </c:pt>
                <c:pt idx="30" formatCode="0.00">
                  <c:v>-42.298070289000009</c:v>
                </c:pt>
                <c:pt idx="31" formatCode="0.00">
                  <c:v>-40.174978400000001</c:v>
                </c:pt>
                <c:pt idx="32" formatCode="0.00">
                  <c:v>-38.741413140000006</c:v>
                </c:pt>
                <c:pt idx="33" formatCode="0.00">
                  <c:v>-38.537550926000002</c:v>
                </c:pt>
                <c:pt idx="34" formatCode="0.00">
                  <c:v>-35.572755946000001</c:v>
                </c:pt>
                <c:pt idx="35" formatCode="0.00">
                  <c:v>-35.485065616</c:v>
                </c:pt>
                <c:pt idx="36" formatCode="0.00">
                  <c:v>-30.75952113</c:v>
                </c:pt>
                <c:pt idx="37" formatCode="0.00">
                  <c:v>-30.329636736000001</c:v>
                </c:pt>
                <c:pt idx="38" formatCode="0.00">
                  <c:v>-28.576508699999998</c:v>
                </c:pt>
                <c:pt idx="39" formatCode="0.00">
                  <c:v>-28.37739281</c:v>
                </c:pt>
                <c:pt idx="40" formatCode="0.00">
                  <c:v>-28.189042375999996</c:v>
                </c:pt>
                <c:pt idx="41" formatCode="0.00">
                  <c:v>-25.634191544</c:v>
                </c:pt>
                <c:pt idx="42" formatCode="0.00">
                  <c:v>-23.340135126</c:v>
                </c:pt>
                <c:pt idx="43" formatCode="0.00">
                  <c:v>-20.60352</c:v>
                </c:pt>
                <c:pt idx="44" formatCode="0.00">
                  <c:v>-16.274532239999999</c:v>
                </c:pt>
                <c:pt idx="45" formatCode="0.00">
                  <c:v>-15.933332608000001</c:v>
                </c:pt>
                <c:pt idx="46" formatCode="0.00">
                  <c:v>-15.398807780000002</c:v>
                </c:pt>
                <c:pt idx="47" formatCode="0.00">
                  <c:v>-14.352519134</c:v>
                </c:pt>
                <c:pt idx="48" formatCode="0.00">
                  <c:v>-14.115688716000001</c:v>
                </c:pt>
                <c:pt idx="49" formatCode="0.00">
                  <c:v>-14.032897757999999</c:v>
                </c:pt>
                <c:pt idx="50" formatCode="0.00">
                  <c:v>-13.953935</c:v>
                </c:pt>
                <c:pt idx="51" formatCode="0.00">
                  <c:v>-13.745494114000001</c:v>
                </c:pt>
                <c:pt idx="52" formatCode="0.00">
                  <c:v>-12.723442426999998</c:v>
                </c:pt>
                <c:pt idx="53" formatCode="0.00">
                  <c:v>-11.454316925999999</c:v>
                </c:pt>
                <c:pt idx="54" formatCode="0.00">
                  <c:v>-9.7093120000000006</c:v>
                </c:pt>
                <c:pt idx="55" formatCode="0.00">
                  <c:v>-7.7988999999999997</c:v>
                </c:pt>
                <c:pt idx="56" formatCode="0.00">
                  <c:v>-6.2478936760000003</c:v>
                </c:pt>
                <c:pt idx="57" formatCode="0.00">
                  <c:v>-6.1817878410000002</c:v>
                </c:pt>
                <c:pt idx="58" formatCode="0.00">
                  <c:v>-5.4258011689999996</c:v>
                </c:pt>
                <c:pt idx="59" formatCode="0.00">
                  <c:v>-4.1067436879999999</c:v>
                </c:pt>
              </c:numCache>
            </c:numRef>
          </c:xVal>
          <c:yVal>
            <c:numRef>
              <c:f>'Full Dataset &amp; Figure 3'!$Y$3:$Y$62</c:f>
              <c:numCache>
                <c:formatCode>0.00</c:formatCode>
                <c:ptCount val="60"/>
                <c:pt idx="0">
                  <c:v>57396.984107786717</c:v>
                </c:pt>
                <c:pt idx="1">
                  <c:v>41682.307275601983</c:v>
                </c:pt>
                <c:pt idx="2">
                  <c:v>64245.961462760053</c:v>
                </c:pt>
                <c:pt idx="3">
                  <c:v>67678.009855144148</c:v>
                </c:pt>
                <c:pt idx="4">
                  <c:v>52833.088050990598</c:v>
                </c:pt>
                <c:pt idx="5">
                  <c:v>34741.883648816467</c:v>
                </c:pt>
                <c:pt idx="6">
                  <c:v>55052.230752507377</c:v>
                </c:pt>
                <c:pt idx="7">
                  <c:v>51384.427520544974</c:v>
                </c:pt>
                <c:pt idx="8">
                  <c:v>10921.242100939209</c:v>
                </c:pt>
                <c:pt idx="9">
                  <c:v>27752.621680277924</c:v>
                </c:pt>
                <c:pt idx="10">
                  <c:v>22447.734857899068</c:v>
                </c:pt>
                <c:pt idx="11">
                  <c:v>29757.69711928062</c:v>
                </c:pt>
                <c:pt idx="12">
                  <c:v>25720.712356409971</c:v>
                </c:pt>
                <c:pt idx="13">
                  <c:v>10365.503183123828</c:v>
                </c:pt>
                <c:pt idx="14">
                  <c:v>37597.010046691321</c:v>
                </c:pt>
                <c:pt idx="15">
                  <c:v>19520.337661080368</c:v>
                </c:pt>
                <c:pt idx="16">
                  <c:v>33820.393278608666</c:v>
                </c:pt>
                <c:pt idx="17">
                  <c:v>17473.929643266936</c:v>
                </c:pt>
                <c:pt idx="18">
                  <c:v>24257.853566830043</c:v>
                </c:pt>
                <c:pt idx="19">
                  <c:v>14839.446048748992</c:v>
                </c:pt>
                <c:pt idx="20">
                  <c:v>46314.566995823334</c:v>
                </c:pt>
                <c:pt idx="21">
                  <c:v>40345.104729013226</c:v>
                </c:pt>
                <c:pt idx="22">
                  <c:v>54473.548673388483</c:v>
                </c:pt>
                <c:pt idx="23">
                  <c:v>27738.435118198566</c:v>
                </c:pt>
                <c:pt idx="24">
                  <c:v>36366.875024765206</c:v>
                </c:pt>
                <c:pt idx="25">
                  <c:v>45116.195551025681</c:v>
                </c:pt>
                <c:pt idx="26">
                  <c:v>24597.066407026829</c:v>
                </c:pt>
                <c:pt idx="27">
                  <c:v>20642.524789686846</c:v>
                </c:pt>
                <c:pt idx="28">
                  <c:v>18295.293442002534</c:v>
                </c:pt>
                <c:pt idx="29">
                  <c:v>12541.476074774742</c:v>
                </c:pt>
                <c:pt idx="30">
                  <c:v>36122.943702263176</c:v>
                </c:pt>
                <c:pt idx="31">
                  <c:v>22478.986840912494</c:v>
                </c:pt>
                <c:pt idx="32">
                  <c:v>15134.668980453664</c:v>
                </c:pt>
                <c:pt idx="33">
                  <c:v>20052.727125034657</c:v>
                </c:pt>
                <c:pt idx="34">
                  <c:v>9169.4861231094528</c:v>
                </c:pt>
                <c:pt idx="35">
                  <c:v>10524.991688518481</c:v>
                </c:pt>
                <c:pt idx="36">
                  <c:v>25042.585738588055</c:v>
                </c:pt>
                <c:pt idx="37">
                  <c:v>21238.887447781679</c:v>
                </c:pt>
                <c:pt idx="38">
                  <c:v>13692.863472975894</c:v>
                </c:pt>
                <c:pt idx="39">
                  <c:v>20195.550937076416</c:v>
                </c:pt>
                <c:pt idx="40">
                  <c:v>10739.869820502208</c:v>
                </c:pt>
                <c:pt idx="41">
                  <c:v>18693.091760425083</c:v>
                </c:pt>
                <c:pt idx="42">
                  <c:v>16829.225578019454</c:v>
                </c:pt>
                <c:pt idx="43">
                  <c:v>18465.878823750652</c:v>
                </c:pt>
                <c:pt idx="44">
                  <c:v>22213.463776570181</c:v>
                </c:pt>
                <c:pt idx="45">
                  <c:v>15204.164800714188</c:v>
                </c:pt>
                <c:pt idx="46">
                  <c:v>12814.948637255562</c:v>
                </c:pt>
                <c:pt idx="47">
                  <c:v>11373.223714483864</c:v>
                </c:pt>
                <c:pt idx="48">
                  <c:v>17153.280511261404</c:v>
                </c:pt>
                <c:pt idx="49">
                  <c:v>16210.72639263406</c:v>
                </c:pt>
                <c:pt idx="50">
                  <c:v>8774.6154685697711</c:v>
                </c:pt>
                <c:pt idx="51">
                  <c:v>9210.5674803952679</c:v>
                </c:pt>
                <c:pt idx="52">
                  <c:v>16673.780326888671</c:v>
                </c:pt>
                <c:pt idx="53">
                  <c:v>10701.459155526165</c:v>
                </c:pt>
                <c:pt idx="54">
                  <c:v>14845.769744033541</c:v>
                </c:pt>
                <c:pt idx="55">
                  <c:v>21874.58688154857</c:v>
                </c:pt>
                <c:pt idx="56">
                  <c:v>18056.118429944781</c:v>
                </c:pt>
                <c:pt idx="57">
                  <c:v>19386.283278248251</c:v>
                </c:pt>
                <c:pt idx="58">
                  <c:v>21677.146204498258</c:v>
                </c:pt>
                <c:pt idx="59">
                  <c:v>17362.983452728877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EE-4D34-A2C5-7E3F4A059C33}"/>
            </c:ext>
          </c:extLst>
        </c:ser>
        <c:ser>
          <c:idx val="1"/>
          <c:order val="1"/>
          <c:tx>
            <c:v>Strong Coupling Regime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61957976751487964"/>
                  <c:y val="-0.5755872964546880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'Full Dataset &amp; Figure 3'!$W$3:$W$62</c:f>
              <c:numCache>
                <c:formatCode>0.00</c:formatCode>
                <c:ptCount val="60"/>
                <c:pt idx="0">
                  <c:v>-339.50278985999995</c:v>
                </c:pt>
                <c:pt idx="1">
                  <c:v>-304.02249196000002</c:v>
                </c:pt>
                <c:pt idx="2">
                  <c:v>-288.49212119999999</c:v>
                </c:pt>
                <c:pt idx="3">
                  <c:v>-250.61111250000002</c:v>
                </c:pt>
                <c:pt idx="4">
                  <c:v>-249.35007438</c:v>
                </c:pt>
                <c:pt idx="5">
                  <c:v>-213.478272</c:v>
                </c:pt>
                <c:pt idx="6">
                  <c:v>-204.44579150999999</c:v>
                </c:pt>
                <c:pt idx="7">
                  <c:v>-200.40550469999999</c:v>
                </c:pt>
                <c:pt idx="8">
                  <c:v>-181.36573461999996</c:v>
                </c:pt>
                <c:pt idx="9">
                  <c:v>-160.708856</c:v>
                </c:pt>
                <c:pt idx="10">
                  <c:v>-142.57208578000001</c:v>
                </c:pt>
                <c:pt idx="11">
                  <c:v>-119.44024080000001</c:v>
                </c:pt>
                <c:pt idx="12">
                  <c:v>-104.5218072</c:v>
                </c:pt>
                <c:pt idx="13">
                  <c:v>-97.706210640000009</c:v>
                </c:pt>
                <c:pt idx="14">
                  <c:v>-87.487503360000005</c:v>
                </c:pt>
                <c:pt idx="15">
                  <c:v>-85.5</c:v>
                </c:pt>
                <c:pt idx="16">
                  <c:v>-82.80241765000001</c:v>
                </c:pt>
                <c:pt idx="17">
                  <c:v>-82.403999999999996</c:v>
                </c:pt>
                <c:pt idx="18">
                  <c:v>-79.967710749999995</c:v>
                </c:pt>
                <c:pt idx="19">
                  <c:v>-75.770754719999999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</c:numCache>
            </c:numRef>
          </c:xVal>
          <c:yVal>
            <c:numRef>
              <c:f>'Full Dataset &amp; Figure 3'!$Y$3:$Y$62</c:f>
              <c:numCache>
                <c:formatCode>0.00</c:formatCode>
                <c:ptCount val="60"/>
                <c:pt idx="0">
                  <c:v>57396.984107786717</c:v>
                </c:pt>
                <c:pt idx="1">
                  <c:v>41682.307275601983</c:v>
                </c:pt>
                <c:pt idx="2">
                  <c:v>64245.961462760053</c:v>
                </c:pt>
                <c:pt idx="3">
                  <c:v>67678.009855144148</c:v>
                </c:pt>
                <c:pt idx="4">
                  <c:v>52833.088050990598</c:v>
                </c:pt>
                <c:pt idx="5">
                  <c:v>34741.883648816467</c:v>
                </c:pt>
                <c:pt idx="6">
                  <c:v>55052.230752507377</c:v>
                </c:pt>
                <c:pt idx="7">
                  <c:v>51384.427520544974</c:v>
                </c:pt>
                <c:pt idx="8">
                  <c:v>10921.242100939209</c:v>
                </c:pt>
                <c:pt idx="9">
                  <c:v>27752.621680277924</c:v>
                </c:pt>
                <c:pt idx="10">
                  <c:v>22447.734857899068</c:v>
                </c:pt>
                <c:pt idx="11">
                  <c:v>29757.69711928062</c:v>
                </c:pt>
                <c:pt idx="12">
                  <c:v>25720.712356409971</c:v>
                </c:pt>
                <c:pt idx="13">
                  <c:v>10365.503183123828</c:v>
                </c:pt>
                <c:pt idx="14">
                  <c:v>37597.010046691321</c:v>
                </c:pt>
                <c:pt idx="15">
                  <c:v>19520.337661080368</c:v>
                </c:pt>
                <c:pt idx="16">
                  <c:v>33820.393278608666</c:v>
                </c:pt>
                <c:pt idx="17">
                  <c:v>17473.929643266936</c:v>
                </c:pt>
                <c:pt idx="18">
                  <c:v>24257.853566830043</c:v>
                </c:pt>
                <c:pt idx="19">
                  <c:v>14839.446048748992</c:v>
                </c:pt>
                <c:pt idx="20">
                  <c:v>46314.566995823334</c:v>
                </c:pt>
                <c:pt idx="21">
                  <c:v>40345.104729013226</c:v>
                </c:pt>
                <c:pt idx="22">
                  <c:v>54473.548673388483</c:v>
                </c:pt>
                <c:pt idx="23">
                  <c:v>27738.435118198566</c:v>
                </c:pt>
                <c:pt idx="24">
                  <c:v>36366.875024765206</c:v>
                </c:pt>
                <c:pt idx="25">
                  <c:v>45116.195551025681</c:v>
                </c:pt>
                <c:pt idx="26">
                  <c:v>24597.066407026829</c:v>
                </c:pt>
                <c:pt idx="27">
                  <c:v>20642.524789686846</c:v>
                </c:pt>
                <c:pt idx="28">
                  <c:v>18295.293442002534</c:v>
                </c:pt>
                <c:pt idx="29">
                  <c:v>12541.476074774742</c:v>
                </c:pt>
                <c:pt idx="30">
                  <c:v>36122.943702263176</c:v>
                </c:pt>
                <c:pt idx="31">
                  <c:v>22478.986840912494</c:v>
                </c:pt>
                <c:pt idx="32">
                  <c:v>15134.668980453664</c:v>
                </c:pt>
                <c:pt idx="33">
                  <c:v>20052.727125034657</c:v>
                </c:pt>
                <c:pt idx="34">
                  <c:v>9169.4861231094528</c:v>
                </c:pt>
                <c:pt idx="35">
                  <c:v>10524.991688518481</c:v>
                </c:pt>
                <c:pt idx="36">
                  <c:v>25042.585738588055</c:v>
                </c:pt>
                <c:pt idx="37">
                  <c:v>21238.887447781679</c:v>
                </c:pt>
                <c:pt idx="38">
                  <c:v>13692.863472975894</c:v>
                </c:pt>
                <c:pt idx="39">
                  <c:v>20195.550937076416</c:v>
                </c:pt>
                <c:pt idx="40">
                  <c:v>10739.869820502208</c:v>
                </c:pt>
                <c:pt idx="41">
                  <c:v>18693.091760425083</c:v>
                </c:pt>
                <c:pt idx="42">
                  <c:v>16829.225578019454</c:v>
                </c:pt>
                <c:pt idx="43">
                  <c:v>18465.878823750652</c:v>
                </c:pt>
                <c:pt idx="44">
                  <c:v>22213.463776570181</c:v>
                </c:pt>
                <c:pt idx="45">
                  <c:v>15204.164800714188</c:v>
                </c:pt>
                <c:pt idx="46">
                  <c:v>12814.948637255562</c:v>
                </c:pt>
                <c:pt idx="47">
                  <c:v>11373.223714483864</c:v>
                </c:pt>
                <c:pt idx="48">
                  <c:v>17153.280511261404</c:v>
                </c:pt>
                <c:pt idx="49">
                  <c:v>16210.72639263406</c:v>
                </c:pt>
                <c:pt idx="50">
                  <c:v>8774.6154685697711</c:v>
                </c:pt>
                <c:pt idx="51">
                  <c:v>9210.5674803952679</c:v>
                </c:pt>
                <c:pt idx="52">
                  <c:v>16673.780326888671</c:v>
                </c:pt>
                <c:pt idx="53">
                  <c:v>10701.459155526165</c:v>
                </c:pt>
                <c:pt idx="54">
                  <c:v>14845.769744033541</c:v>
                </c:pt>
                <c:pt idx="55">
                  <c:v>21874.58688154857</c:v>
                </c:pt>
                <c:pt idx="56">
                  <c:v>18056.118429944781</c:v>
                </c:pt>
                <c:pt idx="57">
                  <c:v>19386.283278248251</c:v>
                </c:pt>
                <c:pt idx="58">
                  <c:v>21677.146204498258</c:v>
                </c:pt>
                <c:pt idx="59">
                  <c:v>17362.983452728877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8EE-4D34-A2C5-7E3F4A059C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17999"/>
        <c:axId val="25918959"/>
      </c:scatterChart>
      <c:valAx>
        <c:axId val="25917999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V*Bz|/100 (DST proxy)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18959"/>
        <c:crosses val="autoZero"/>
        <c:crossBetween val="midCat"/>
      </c:valAx>
      <c:valAx>
        <c:axId val="25918959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Correlation Factor (Cs)</a:t>
                </a:r>
              </a:p>
            </c:rich>
          </c:tx>
          <c:layout>
            <c:manualLayout>
              <c:xMode val="edge"/>
              <c:yMode val="edge"/>
              <c:x val="9.2973574533349555E-4"/>
              <c:y val="0.342877311523029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17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Newell-Based</a:t>
            </a:r>
            <a:r>
              <a:rPr lang="en-US" baseline="0"/>
              <a:t> </a:t>
            </a:r>
            <a:r>
              <a:rPr lang="en-US"/>
              <a:t>R</a:t>
            </a:r>
            <a:r>
              <a:rPr lang="en-US" baseline="-25000"/>
              <a:t>f</a:t>
            </a:r>
          </a:p>
        </c:rich>
      </c:tx>
      <c:layout>
        <c:manualLayout>
          <c:xMode val="edge"/>
          <c:yMode val="edge"/>
          <c:x val="0.39666290887647854"/>
          <c:y val="8.4507004765662745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67650629574387"/>
          <c:y val="9.2802347468342719E-2"/>
          <c:w val="0.85500745776821951"/>
          <c:h val="0.79629695301162429"/>
        </c:manualLayout>
      </c:layout>
      <c:scatterChart>
        <c:scatterStyle val="lineMarker"/>
        <c:varyColors val="0"/>
        <c:ser>
          <c:idx val="0"/>
          <c:order val="0"/>
          <c:tx>
            <c:v>Weak Coupling Regime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0572687224669604"/>
                  <c:y val="-0.76301389196119984"/>
                </c:manualLayout>
              </c:layout>
              <c:numFmt formatCode="General" sourceLinked="0"/>
              <c:spPr>
                <a:solidFill>
                  <a:sysClr val="window" lastClr="FFFFFF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'Full Dataset &amp; Figure 3'!$V$3:$V$62</c:f>
              <c:numCache>
                <c:formatCode>General</c:formatCode>
                <c:ptCount val="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 formatCode="0.00">
                  <c:v>-70.3590102</c:v>
                </c:pt>
                <c:pt idx="21" formatCode="0.00">
                  <c:v>-65.250964819999993</c:v>
                </c:pt>
                <c:pt idx="22" formatCode="0.00">
                  <c:v>-63.109757579999993</c:v>
                </c:pt>
                <c:pt idx="23" formatCode="0.00">
                  <c:v>-60.261200000000002</c:v>
                </c:pt>
                <c:pt idx="24" formatCode="0.00">
                  <c:v>-56.500067000000001</c:v>
                </c:pt>
                <c:pt idx="25" formatCode="0.00">
                  <c:v>-53.126919360000002</c:v>
                </c:pt>
                <c:pt idx="26" formatCode="0.00">
                  <c:v>-47.279749391999992</c:v>
                </c:pt>
                <c:pt idx="27" formatCode="0.00">
                  <c:v>-44.853995359999999</c:v>
                </c:pt>
                <c:pt idx="28" formatCode="0.00">
                  <c:v>-44.02282499999999</c:v>
                </c:pt>
                <c:pt idx="29" formatCode="0.00">
                  <c:v>-42.80259564</c:v>
                </c:pt>
                <c:pt idx="30" formatCode="0.00">
                  <c:v>-42.298070289000009</c:v>
                </c:pt>
                <c:pt idx="31" formatCode="0.00">
                  <c:v>-40.174978400000001</c:v>
                </c:pt>
                <c:pt idx="32" formatCode="0.00">
                  <c:v>-38.741413140000006</c:v>
                </c:pt>
                <c:pt idx="33" formatCode="0.00">
                  <c:v>-38.537550926000002</c:v>
                </c:pt>
                <c:pt idx="34" formatCode="0.00">
                  <c:v>-35.572755946000001</c:v>
                </c:pt>
                <c:pt idx="35" formatCode="0.00">
                  <c:v>-35.485065616</c:v>
                </c:pt>
                <c:pt idx="36" formatCode="0.00">
                  <c:v>-30.75952113</c:v>
                </c:pt>
                <c:pt idx="37" formatCode="0.00">
                  <c:v>-30.329636736000001</c:v>
                </c:pt>
                <c:pt idx="38" formatCode="0.00">
                  <c:v>-28.576508699999998</c:v>
                </c:pt>
                <c:pt idx="39" formatCode="0.00">
                  <c:v>-28.37739281</c:v>
                </c:pt>
                <c:pt idx="40" formatCode="0.00">
                  <c:v>-28.189042375999996</c:v>
                </c:pt>
                <c:pt idx="41" formatCode="0.00">
                  <c:v>-25.634191544</c:v>
                </c:pt>
                <c:pt idx="42" formatCode="0.00">
                  <c:v>-23.340135126</c:v>
                </c:pt>
                <c:pt idx="43" formatCode="0.00">
                  <c:v>-20.60352</c:v>
                </c:pt>
                <c:pt idx="44" formatCode="0.00">
                  <c:v>-16.274532239999999</c:v>
                </c:pt>
                <c:pt idx="45" formatCode="0.00">
                  <c:v>-15.933332608000001</c:v>
                </c:pt>
                <c:pt idx="46" formatCode="0.00">
                  <c:v>-15.398807780000002</c:v>
                </c:pt>
                <c:pt idx="47" formatCode="0.00">
                  <c:v>-14.352519134</c:v>
                </c:pt>
                <c:pt idx="48" formatCode="0.00">
                  <c:v>-14.115688716000001</c:v>
                </c:pt>
                <c:pt idx="49" formatCode="0.00">
                  <c:v>-14.032897757999999</c:v>
                </c:pt>
                <c:pt idx="50" formatCode="0.00">
                  <c:v>-13.953935</c:v>
                </c:pt>
                <c:pt idx="51" formatCode="0.00">
                  <c:v>-13.745494114000001</c:v>
                </c:pt>
                <c:pt idx="52" formatCode="0.00">
                  <c:v>-12.723442426999998</c:v>
                </c:pt>
                <c:pt idx="53" formatCode="0.00">
                  <c:v>-11.454316925999999</c:v>
                </c:pt>
                <c:pt idx="54" formatCode="0.00">
                  <c:v>-9.7093120000000006</c:v>
                </c:pt>
                <c:pt idx="55" formatCode="0.00">
                  <c:v>-7.7988999999999997</c:v>
                </c:pt>
                <c:pt idx="56" formatCode="0.00">
                  <c:v>-6.2478936760000003</c:v>
                </c:pt>
                <c:pt idx="57" formatCode="0.00">
                  <c:v>-6.1817878410000002</c:v>
                </c:pt>
                <c:pt idx="58" formatCode="0.00">
                  <c:v>-5.4258011689999996</c:v>
                </c:pt>
                <c:pt idx="59" formatCode="0.00">
                  <c:v>-4.1067436879999999</c:v>
                </c:pt>
              </c:numCache>
            </c:numRef>
          </c:xVal>
          <c:yVal>
            <c:numRef>
              <c:f>'Full Dataset &amp; Figure 3'!$X$3:$X$62</c:f>
              <c:numCache>
                <c:formatCode>0.00</c:formatCode>
                <c:ptCount val="60"/>
                <c:pt idx="0">
                  <c:v>9261.8051186067023</c:v>
                </c:pt>
                <c:pt idx="1">
                  <c:v>14281.948339053841</c:v>
                </c:pt>
                <c:pt idx="2">
                  <c:v>15953.175290904368</c:v>
                </c:pt>
                <c:pt idx="3">
                  <c:v>19733.899597030711</c:v>
                </c:pt>
                <c:pt idx="4">
                  <c:v>11585.742640347038</c:v>
                </c:pt>
                <c:pt idx="5">
                  <c:v>3762.5983794071417</c:v>
                </c:pt>
                <c:pt idx="6">
                  <c:v>10245.571525405525</c:v>
                </c:pt>
                <c:pt idx="7">
                  <c:v>19115.384913842434</c:v>
                </c:pt>
                <c:pt idx="8">
                  <c:v>3727.1796241284887</c:v>
                </c:pt>
                <c:pt idx="9">
                  <c:v>2817.1141992374978</c:v>
                </c:pt>
                <c:pt idx="10">
                  <c:v>7731.1728943402959</c:v>
                </c:pt>
                <c:pt idx="11">
                  <c:v>8160.8482292773188</c:v>
                </c:pt>
                <c:pt idx="12">
                  <c:v>4977.8713886559599</c:v>
                </c:pt>
                <c:pt idx="13">
                  <c:v>3033.381021801471</c:v>
                </c:pt>
                <c:pt idx="14">
                  <c:v>7222.048670027425</c:v>
                </c:pt>
                <c:pt idx="15">
                  <c:v>6463.9965681417971</c:v>
                </c:pt>
                <c:pt idx="16">
                  <c:v>3484.4366512083025</c:v>
                </c:pt>
                <c:pt idx="17">
                  <c:v>3707.0727952371726</c:v>
                </c:pt>
                <c:pt idx="18">
                  <c:v>6525.9281631379263</c:v>
                </c:pt>
                <c:pt idx="19">
                  <c:v>4813.0280802288535</c:v>
                </c:pt>
                <c:pt idx="20">
                  <c:v>14595.830502212732</c:v>
                </c:pt>
                <c:pt idx="21">
                  <c:v>17032.884732788119</c:v>
                </c:pt>
                <c:pt idx="22">
                  <c:v>23428.898662367461</c:v>
                </c:pt>
                <c:pt idx="23">
                  <c:v>8817.0678365476979</c:v>
                </c:pt>
                <c:pt idx="24">
                  <c:v>5719.3297186149794</c:v>
                </c:pt>
                <c:pt idx="25">
                  <c:v>4375.7668964161576</c:v>
                </c:pt>
                <c:pt idx="26">
                  <c:v>965.73355722367285</c:v>
                </c:pt>
                <c:pt idx="27">
                  <c:v>3452.2324018934437</c:v>
                </c:pt>
                <c:pt idx="28">
                  <c:v>3517.5321313671366</c:v>
                </c:pt>
                <c:pt idx="29">
                  <c:v>934.59095375460959</c:v>
                </c:pt>
                <c:pt idx="30">
                  <c:v>6787.7207998848953</c:v>
                </c:pt>
                <c:pt idx="31">
                  <c:v>3590.6549102867748</c:v>
                </c:pt>
                <c:pt idx="32">
                  <c:v>4858.0803275027502</c:v>
                </c:pt>
                <c:pt idx="33">
                  <c:v>1946.301817016905</c:v>
                </c:pt>
                <c:pt idx="34">
                  <c:v>564.9585858007739</c:v>
                </c:pt>
                <c:pt idx="35">
                  <c:v>920.95010593037841</c:v>
                </c:pt>
                <c:pt idx="36">
                  <c:v>2777.9842219267475</c:v>
                </c:pt>
                <c:pt idx="37">
                  <c:v>3221.0311872567481</c:v>
                </c:pt>
                <c:pt idx="38">
                  <c:v>2917.2601597912512</c:v>
                </c:pt>
                <c:pt idx="39">
                  <c:v>6148.5507424578209</c:v>
                </c:pt>
                <c:pt idx="40">
                  <c:v>826.13317535250974</c:v>
                </c:pt>
                <c:pt idx="41">
                  <c:v>1650.3076637066044</c:v>
                </c:pt>
                <c:pt idx="42">
                  <c:v>289.58332196196039</c:v>
                </c:pt>
                <c:pt idx="43">
                  <c:v>935.14226038522179</c:v>
                </c:pt>
                <c:pt idx="44">
                  <c:v>2102.4304752057892</c:v>
                </c:pt>
                <c:pt idx="45">
                  <c:v>986.29484034659322</c:v>
                </c:pt>
                <c:pt idx="46">
                  <c:v>2770.9190968467465</c:v>
                </c:pt>
                <c:pt idx="47">
                  <c:v>1848.3860065876293</c:v>
                </c:pt>
                <c:pt idx="48">
                  <c:v>362.44538791826579</c:v>
                </c:pt>
                <c:pt idx="49">
                  <c:v>2496.9887826682079</c:v>
                </c:pt>
                <c:pt idx="50">
                  <c:v>223.54173445512694</c:v>
                </c:pt>
                <c:pt idx="51">
                  <c:v>656.28462312607905</c:v>
                </c:pt>
                <c:pt idx="52">
                  <c:v>201.17684900971906</c:v>
                </c:pt>
                <c:pt idx="53">
                  <c:v>709.53637517425648</c:v>
                </c:pt>
                <c:pt idx="54">
                  <c:v>304.73564599567618</c:v>
                </c:pt>
                <c:pt idx="55">
                  <c:v>239.30167421161045</c:v>
                </c:pt>
                <c:pt idx="56">
                  <c:v>90.123891918114381</c:v>
                </c:pt>
                <c:pt idx="57">
                  <c:v>1911.5730677775418</c:v>
                </c:pt>
                <c:pt idx="58">
                  <c:v>946.67569806219376</c:v>
                </c:pt>
                <c:pt idx="59">
                  <c:v>104.86609065570767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BD-4109-8A1C-13CC096C789A}"/>
            </c:ext>
          </c:extLst>
        </c:ser>
        <c:ser>
          <c:idx val="1"/>
          <c:order val="1"/>
          <c:tx>
            <c:v>Strong Coupling Regime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7072463599375437"/>
                  <c:y val="-0.648774752173368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'Full Dataset &amp; Figure 3'!$W$3:$W$62</c:f>
              <c:numCache>
                <c:formatCode>0.00</c:formatCode>
                <c:ptCount val="60"/>
                <c:pt idx="0">
                  <c:v>-339.50278985999995</c:v>
                </c:pt>
                <c:pt idx="1">
                  <c:v>-304.02249196000002</c:v>
                </c:pt>
                <c:pt idx="2">
                  <c:v>-288.49212119999999</c:v>
                </c:pt>
                <c:pt idx="3">
                  <c:v>-250.61111250000002</c:v>
                </c:pt>
                <c:pt idx="4">
                  <c:v>-249.35007438</c:v>
                </c:pt>
                <c:pt idx="5">
                  <c:v>-213.478272</c:v>
                </c:pt>
                <c:pt idx="6">
                  <c:v>-204.44579150999999</c:v>
                </c:pt>
                <c:pt idx="7">
                  <c:v>-200.40550469999999</c:v>
                </c:pt>
                <c:pt idx="8">
                  <c:v>-181.36573461999996</c:v>
                </c:pt>
                <c:pt idx="9">
                  <c:v>-160.708856</c:v>
                </c:pt>
                <c:pt idx="10">
                  <c:v>-142.57208578000001</c:v>
                </c:pt>
                <c:pt idx="11">
                  <c:v>-119.44024080000001</c:v>
                </c:pt>
                <c:pt idx="12">
                  <c:v>-104.5218072</c:v>
                </c:pt>
                <c:pt idx="13">
                  <c:v>-97.706210640000009</c:v>
                </c:pt>
                <c:pt idx="14">
                  <c:v>-87.487503360000005</c:v>
                </c:pt>
                <c:pt idx="15">
                  <c:v>-85.5</c:v>
                </c:pt>
                <c:pt idx="16">
                  <c:v>-82.80241765000001</c:v>
                </c:pt>
                <c:pt idx="17">
                  <c:v>-82.403999999999996</c:v>
                </c:pt>
                <c:pt idx="18">
                  <c:v>-79.967710749999995</c:v>
                </c:pt>
                <c:pt idx="19">
                  <c:v>-75.770754719999999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</c:numCache>
            </c:numRef>
          </c:xVal>
          <c:yVal>
            <c:numRef>
              <c:f>'Full Dataset &amp; Figure 3'!$X$3:$X$62</c:f>
              <c:numCache>
                <c:formatCode>0.00</c:formatCode>
                <c:ptCount val="60"/>
                <c:pt idx="0">
                  <c:v>9261.8051186067023</c:v>
                </c:pt>
                <c:pt idx="1">
                  <c:v>14281.948339053841</c:v>
                </c:pt>
                <c:pt idx="2">
                  <c:v>15953.175290904368</c:v>
                </c:pt>
                <c:pt idx="3">
                  <c:v>19733.899597030711</c:v>
                </c:pt>
                <c:pt idx="4">
                  <c:v>11585.742640347038</c:v>
                </c:pt>
                <c:pt idx="5">
                  <c:v>3762.5983794071417</c:v>
                </c:pt>
                <c:pt idx="6">
                  <c:v>10245.571525405525</c:v>
                </c:pt>
                <c:pt idx="7">
                  <c:v>19115.384913842434</c:v>
                </c:pt>
                <c:pt idx="8">
                  <c:v>3727.1796241284887</c:v>
                </c:pt>
                <c:pt idx="9">
                  <c:v>2817.1141992374978</c:v>
                </c:pt>
                <c:pt idx="10">
                  <c:v>7731.1728943402959</c:v>
                </c:pt>
                <c:pt idx="11">
                  <c:v>8160.8482292773188</c:v>
                </c:pt>
                <c:pt idx="12">
                  <c:v>4977.8713886559599</c:v>
                </c:pt>
                <c:pt idx="13">
                  <c:v>3033.381021801471</c:v>
                </c:pt>
                <c:pt idx="14">
                  <c:v>7222.048670027425</c:v>
                </c:pt>
                <c:pt idx="15">
                  <c:v>6463.9965681417971</c:v>
                </c:pt>
                <c:pt idx="16">
                  <c:v>3484.4366512083025</c:v>
                </c:pt>
                <c:pt idx="17">
                  <c:v>3707.0727952371726</c:v>
                </c:pt>
                <c:pt idx="18">
                  <c:v>6525.9281631379263</c:v>
                </c:pt>
                <c:pt idx="19">
                  <c:v>4813.0280802288535</c:v>
                </c:pt>
                <c:pt idx="20">
                  <c:v>14595.830502212732</c:v>
                </c:pt>
                <c:pt idx="21">
                  <c:v>17032.884732788119</c:v>
                </c:pt>
                <c:pt idx="22">
                  <c:v>23428.898662367461</c:v>
                </c:pt>
                <c:pt idx="23">
                  <c:v>8817.0678365476979</c:v>
                </c:pt>
                <c:pt idx="24">
                  <c:v>5719.3297186149794</c:v>
                </c:pt>
                <c:pt idx="25">
                  <c:v>4375.7668964161576</c:v>
                </c:pt>
                <c:pt idx="26">
                  <c:v>965.73355722367285</c:v>
                </c:pt>
                <c:pt idx="27">
                  <c:v>3452.2324018934437</c:v>
                </c:pt>
                <c:pt idx="28">
                  <c:v>3517.5321313671366</c:v>
                </c:pt>
                <c:pt idx="29">
                  <c:v>934.59095375460959</c:v>
                </c:pt>
                <c:pt idx="30">
                  <c:v>6787.7207998848953</c:v>
                </c:pt>
                <c:pt idx="31">
                  <c:v>3590.6549102867748</c:v>
                </c:pt>
                <c:pt idx="32">
                  <c:v>4858.0803275027502</c:v>
                </c:pt>
                <c:pt idx="33">
                  <c:v>1946.301817016905</c:v>
                </c:pt>
                <c:pt idx="34">
                  <c:v>564.9585858007739</c:v>
                </c:pt>
                <c:pt idx="35">
                  <c:v>920.95010593037841</c:v>
                </c:pt>
                <c:pt idx="36">
                  <c:v>2777.9842219267475</c:v>
                </c:pt>
                <c:pt idx="37">
                  <c:v>3221.0311872567481</c:v>
                </c:pt>
                <c:pt idx="38">
                  <c:v>2917.2601597912512</c:v>
                </c:pt>
                <c:pt idx="39">
                  <c:v>6148.5507424578209</c:v>
                </c:pt>
                <c:pt idx="40">
                  <c:v>826.13317535250974</c:v>
                </c:pt>
                <c:pt idx="41">
                  <c:v>1650.3076637066044</c:v>
                </c:pt>
                <c:pt idx="42">
                  <c:v>289.58332196196039</c:v>
                </c:pt>
                <c:pt idx="43">
                  <c:v>935.14226038522179</c:v>
                </c:pt>
                <c:pt idx="44">
                  <c:v>2102.4304752057892</c:v>
                </c:pt>
                <c:pt idx="45">
                  <c:v>986.29484034659322</c:v>
                </c:pt>
                <c:pt idx="46">
                  <c:v>2770.9190968467465</c:v>
                </c:pt>
                <c:pt idx="47">
                  <c:v>1848.3860065876293</c:v>
                </c:pt>
                <c:pt idx="48">
                  <c:v>362.44538791826579</c:v>
                </c:pt>
                <c:pt idx="49">
                  <c:v>2496.9887826682079</c:v>
                </c:pt>
                <c:pt idx="50">
                  <c:v>223.54173445512694</c:v>
                </c:pt>
                <c:pt idx="51">
                  <c:v>656.28462312607905</c:v>
                </c:pt>
                <c:pt idx="52">
                  <c:v>201.17684900971906</c:v>
                </c:pt>
                <c:pt idx="53">
                  <c:v>709.53637517425648</c:v>
                </c:pt>
                <c:pt idx="54">
                  <c:v>304.73564599567618</c:v>
                </c:pt>
                <c:pt idx="55">
                  <c:v>239.30167421161045</c:v>
                </c:pt>
                <c:pt idx="56">
                  <c:v>90.123891918114381</c:v>
                </c:pt>
                <c:pt idx="57">
                  <c:v>1911.5730677775418</c:v>
                </c:pt>
                <c:pt idx="58">
                  <c:v>946.67569806219376</c:v>
                </c:pt>
                <c:pt idx="59">
                  <c:v>104.86609065570767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ABD-4109-8A1C-13CC096C78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17999"/>
        <c:axId val="25918959"/>
      </c:scatterChart>
      <c:valAx>
        <c:axId val="25917999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V*Bz|/100 (DST proxy)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18959"/>
        <c:crosses val="autoZero"/>
        <c:crossBetween val="midCat"/>
      </c:valAx>
      <c:valAx>
        <c:axId val="25918959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Correlation Factor (Cs)</a:t>
                </a:r>
              </a:p>
            </c:rich>
          </c:tx>
          <c:layout>
            <c:manualLayout>
              <c:xMode val="edge"/>
              <c:yMode val="edge"/>
              <c:x val="5.0594129012915337E-3"/>
              <c:y val="0.161187130448206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17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76</xdr:row>
      <xdr:rowOff>19051</xdr:rowOff>
    </xdr:from>
    <xdr:to>
      <xdr:col>5</xdr:col>
      <xdr:colOff>626533</xdr:colOff>
      <xdr:row>94</xdr:row>
      <xdr:rowOff>143933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4BA3BD1-FE8D-4A5D-960E-CB8F594E41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95</xdr:row>
      <xdr:rowOff>93132</xdr:rowOff>
    </xdr:from>
    <xdr:to>
      <xdr:col>5</xdr:col>
      <xdr:colOff>596383</xdr:colOff>
      <xdr:row>111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6233CB-BD52-478F-BA56-5FA43F83D0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16</xdr:col>
      <xdr:colOff>0</xdr:colOff>
      <xdr:row>64</xdr:row>
      <xdr:rowOff>0</xdr:rowOff>
    </xdr:from>
    <xdr:to>
      <xdr:col>16</xdr:col>
      <xdr:colOff>304800</xdr:colOff>
      <xdr:row>65</xdr:row>
      <xdr:rowOff>121920</xdr:rowOff>
    </xdr:to>
    <xdr:sp macro="" textlink="">
      <xdr:nvSpPr>
        <xdr:cNvPr id="1025" name="AutoShape 1" descr="Uploaded image">
          <a:extLst>
            <a:ext uri="{FF2B5EF4-FFF2-40B4-BE49-F238E27FC236}">
              <a16:creationId xmlns:a16="http://schemas.microsoft.com/office/drawing/2014/main" id="{454950AF-980C-9977-ADA8-5C59D1875675}"/>
            </a:ext>
          </a:extLst>
        </xdr:cNvPr>
        <xdr:cNvSpPr>
          <a:spLocks noChangeAspect="1" noChangeArrowheads="1"/>
        </xdr:cNvSpPr>
      </xdr:nvSpPr>
      <xdr:spPr bwMode="auto">
        <a:xfrm>
          <a:off x="16405860" y="1198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08149-5A36-4159-B3E3-7E492FF6EF86}">
  <sheetPr codeName="Sheet2">
    <tabColor rgb="FFC00000"/>
  </sheetPr>
  <dimension ref="A1:AV127"/>
  <sheetViews>
    <sheetView topLeftCell="A68" zoomScale="60" zoomScaleNormal="60" workbookViewId="0">
      <selection activeCell="M115" sqref="M115"/>
    </sheetView>
  </sheetViews>
  <sheetFormatPr defaultRowHeight="14.4" x14ac:dyDescent="0.3"/>
  <cols>
    <col min="1" max="1" width="24.109375" customWidth="1"/>
    <col min="2" max="3" width="14.33203125" bestFit="1" customWidth="1"/>
    <col min="4" max="4" width="14.109375" customWidth="1"/>
    <col min="5" max="5" width="16.5546875" bestFit="1" customWidth="1"/>
    <col min="6" max="6" width="14.33203125" bestFit="1" customWidth="1"/>
    <col min="7" max="10" width="14.33203125" customWidth="1"/>
    <col min="11" max="11" width="16.5546875" style="3" bestFit="1" customWidth="1"/>
    <col min="12" max="12" width="15.44140625" style="3" bestFit="1" customWidth="1"/>
    <col min="13" max="13" width="15.33203125" style="3" bestFit="1" customWidth="1"/>
    <col min="14" max="16" width="15.33203125" style="3" customWidth="1"/>
    <col min="17" max="17" width="13.44140625" style="3" bestFit="1" customWidth="1"/>
    <col min="18" max="18" width="12" style="3" bestFit="1" customWidth="1"/>
    <col min="19" max="20" width="8.33203125" bestFit="1" customWidth="1"/>
    <col min="21" max="21" width="15.6640625" bestFit="1" customWidth="1"/>
    <col min="22" max="22" width="14.6640625" bestFit="1" customWidth="1"/>
    <col min="23" max="23" width="15.5546875" bestFit="1" customWidth="1"/>
    <col min="24" max="25" width="14.109375" bestFit="1" customWidth="1"/>
    <col min="26" max="26" width="14.6640625" bestFit="1" customWidth="1"/>
    <col min="27" max="27" width="6.88671875" bestFit="1" customWidth="1"/>
    <col min="28" max="28" width="14.6640625" bestFit="1" customWidth="1"/>
    <col min="29" max="29" width="6.88671875" bestFit="1" customWidth="1"/>
    <col min="30" max="30" width="12.5546875" bestFit="1" customWidth="1"/>
    <col min="31" max="31" width="6.33203125" bestFit="1" customWidth="1"/>
    <col min="32" max="32" width="12.33203125" bestFit="1" customWidth="1"/>
    <col min="33" max="33" width="10.5546875" bestFit="1" customWidth="1"/>
    <col min="34" max="35" width="10.44140625" bestFit="1" customWidth="1"/>
    <col min="36" max="36" width="9.88671875" bestFit="1" customWidth="1"/>
    <col min="37" max="37" width="10.44140625" bestFit="1" customWidth="1"/>
    <col min="38" max="38" width="11.5546875" bestFit="1" customWidth="1"/>
    <col min="39" max="39" width="8.6640625" bestFit="1" customWidth="1"/>
    <col min="40" max="40" width="9.88671875" bestFit="1" customWidth="1"/>
    <col min="41" max="41" width="9.44140625" bestFit="1" customWidth="1"/>
    <col min="42" max="42" width="23.33203125" bestFit="1" customWidth="1"/>
    <col min="43" max="43" width="21.5546875" bestFit="1" customWidth="1"/>
    <col min="44" max="44" width="14.6640625" bestFit="1" customWidth="1"/>
    <col min="46" max="46" width="8.109375" bestFit="1" customWidth="1"/>
    <col min="47" max="47" width="9.5546875" bestFit="1" customWidth="1"/>
    <col min="48" max="48" width="13.33203125" bestFit="1" customWidth="1"/>
    <col min="49" max="49" width="13.88671875" bestFit="1" customWidth="1"/>
  </cols>
  <sheetData>
    <row r="1" spans="1:48" ht="14.4" customHeight="1" x14ac:dyDescent="0.3">
      <c r="A1" s="128" t="s">
        <v>76</v>
      </c>
      <c r="B1" s="129"/>
      <c r="C1" s="129"/>
      <c r="D1" s="130"/>
      <c r="E1" s="139" t="s">
        <v>77</v>
      </c>
      <c r="F1" s="140"/>
      <c r="G1" s="140"/>
      <c r="H1" s="140"/>
      <c r="I1" s="140"/>
      <c r="J1" s="141"/>
      <c r="K1" s="136" t="s">
        <v>78</v>
      </c>
      <c r="L1" s="137"/>
      <c r="M1" s="137"/>
      <c r="N1" s="137"/>
      <c r="O1" s="137"/>
      <c r="P1" s="138"/>
      <c r="Q1" s="125" t="s">
        <v>8</v>
      </c>
      <c r="R1" s="126"/>
      <c r="S1" s="126"/>
      <c r="T1" s="127"/>
      <c r="U1" s="131" t="s">
        <v>9</v>
      </c>
      <c r="V1" s="132"/>
      <c r="W1" s="132"/>
      <c r="X1" s="132"/>
      <c r="Y1" s="132"/>
      <c r="Z1" s="132"/>
      <c r="AA1" s="132"/>
      <c r="AB1" s="132"/>
      <c r="AC1" s="132"/>
      <c r="AD1" s="132"/>
      <c r="AE1" s="132"/>
      <c r="AF1" s="132"/>
      <c r="AG1" s="132"/>
      <c r="AH1" s="132"/>
      <c r="AI1" s="132"/>
      <c r="AJ1" s="132"/>
      <c r="AK1" s="132"/>
      <c r="AL1" s="132"/>
      <c r="AM1" s="133"/>
      <c r="AN1" s="101"/>
      <c r="AO1" s="101"/>
      <c r="AP1" s="134" t="s">
        <v>79</v>
      </c>
      <c r="AQ1" s="134"/>
      <c r="AR1" s="135"/>
      <c r="AT1" s="124" t="s">
        <v>98</v>
      </c>
      <c r="AU1" s="124"/>
      <c r="AV1" s="124"/>
    </row>
    <row r="2" spans="1:48" s="107" customFormat="1" ht="69.75" customHeight="1" x14ac:dyDescent="0.35">
      <c r="A2" s="77" t="s">
        <v>39</v>
      </c>
      <c r="B2" s="77" t="s">
        <v>2</v>
      </c>
      <c r="C2" s="77" t="s">
        <v>40</v>
      </c>
      <c r="D2" s="77" t="s">
        <v>25</v>
      </c>
      <c r="E2" s="78" t="s">
        <v>99</v>
      </c>
      <c r="F2" s="78" t="s">
        <v>100</v>
      </c>
      <c r="G2" s="78" t="s">
        <v>101</v>
      </c>
      <c r="H2" s="78" t="s">
        <v>102</v>
      </c>
      <c r="I2" s="78" t="s">
        <v>103</v>
      </c>
      <c r="J2" s="78" t="s">
        <v>104</v>
      </c>
      <c r="K2" s="82" t="s">
        <v>105</v>
      </c>
      <c r="L2" s="82" t="s">
        <v>106</v>
      </c>
      <c r="M2" s="82" t="s">
        <v>107</v>
      </c>
      <c r="N2" s="82" t="s">
        <v>108</v>
      </c>
      <c r="O2" s="82" t="s">
        <v>109</v>
      </c>
      <c r="P2" s="82" t="s">
        <v>110</v>
      </c>
      <c r="Q2" s="78" t="s">
        <v>10</v>
      </c>
      <c r="R2" s="78" t="s">
        <v>11</v>
      </c>
      <c r="S2" s="78" t="s">
        <v>12</v>
      </c>
      <c r="T2" s="78" t="s">
        <v>3</v>
      </c>
      <c r="U2" s="80" t="s">
        <v>34</v>
      </c>
      <c r="V2" s="81" t="s">
        <v>41</v>
      </c>
      <c r="W2" s="80" t="s">
        <v>42</v>
      </c>
      <c r="X2" s="80" t="s">
        <v>75</v>
      </c>
      <c r="Y2" s="80" t="s">
        <v>82</v>
      </c>
      <c r="Z2" s="80" t="s">
        <v>90</v>
      </c>
      <c r="AA2" s="80" t="s">
        <v>83</v>
      </c>
      <c r="AB2" s="80" t="s">
        <v>89</v>
      </c>
      <c r="AC2" s="80" t="s">
        <v>84</v>
      </c>
      <c r="AD2" s="80" t="s">
        <v>81</v>
      </c>
      <c r="AE2" s="80" t="s">
        <v>0</v>
      </c>
      <c r="AF2" s="80" t="s">
        <v>19</v>
      </c>
      <c r="AG2" s="80" t="s">
        <v>96</v>
      </c>
      <c r="AH2" s="80" t="s">
        <v>20</v>
      </c>
      <c r="AI2" s="80" t="s">
        <v>60</v>
      </c>
      <c r="AJ2" s="80" t="s">
        <v>61</v>
      </c>
      <c r="AK2" s="80" t="s">
        <v>62</v>
      </c>
      <c r="AL2" s="80" t="s">
        <v>64</v>
      </c>
      <c r="AM2" s="80" t="s">
        <v>63</v>
      </c>
      <c r="AN2" s="80" t="s">
        <v>113</v>
      </c>
      <c r="AO2" s="80" t="s">
        <v>114</v>
      </c>
      <c r="AP2" s="79" t="s">
        <v>13</v>
      </c>
      <c r="AQ2" s="91" t="s">
        <v>16</v>
      </c>
      <c r="AR2" s="79" t="s">
        <v>21</v>
      </c>
      <c r="AT2" s="108" t="s">
        <v>28</v>
      </c>
      <c r="AU2" s="108" t="s">
        <v>27</v>
      </c>
      <c r="AV2" s="108" t="s">
        <v>26</v>
      </c>
    </row>
    <row r="3" spans="1:48" s="32" customFormat="1" ht="15" customHeight="1" x14ac:dyDescent="0.3">
      <c r="A3" s="83" t="s">
        <v>23</v>
      </c>
      <c r="B3" s="84">
        <v>38487.274305555555</v>
      </c>
      <c r="C3" s="84">
        <v>38487.298611111109</v>
      </c>
      <c r="D3" s="85">
        <f t="shared" ref="D3:D34" si="0">MOD(C3-B3,1)*24</f>
        <v>0.58333333331393078</v>
      </c>
      <c r="E3" s="42">
        <f t="shared" ref="E3:E34" si="1">B3 + (AL3 / 1440)</f>
        <v>38487.300258875061</v>
      </c>
      <c r="F3" s="43">
        <f>ABS((C3 - E3) * 1440)</f>
        <v>2.3727800894994289</v>
      </c>
      <c r="G3" s="43">
        <f>((E3 - C3) * 1440)</f>
        <v>2.3727800894994289</v>
      </c>
      <c r="H3" s="105">
        <f>B3 + (AN3 / 1440)</f>
        <v>38487.287550901689</v>
      </c>
      <c r="I3" s="43">
        <f>ABS((C3 - H3) * 1440)</f>
        <v>15.926701566204429</v>
      </c>
      <c r="J3" s="43">
        <f>((H3 - C3) * 1440)</f>
        <v>-15.926701566204429</v>
      </c>
      <c r="K3" s="87">
        <f t="shared" ref="K3:K34" si="2">B3 + (AM3 / 1440)</f>
        <v>38487.296237613613</v>
      </c>
      <c r="L3" s="88">
        <f>ABS((C3 - K3) * 1440)</f>
        <v>3.4178363950923085</v>
      </c>
      <c r="M3" s="88">
        <f>((K3 - C3) * 1440)</f>
        <v>-3.4178363950923085</v>
      </c>
      <c r="N3" s="105">
        <f>B3 + (AO3 / 1440)</f>
        <v>38487.28515918686</v>
      </c>
      <c r="O3" s="88">
        <f>ABS((C3 - N3) * 1440)</f>
        <v>19.370770918903872</v>
      </c>
      <c r="P3" s="88">
        <f>((N3 - C3) * 1440)</f>
        <v>-19.370770918903872</v>
      </c>
      <c r="Q3" s="102">
        <v>-27.856000000000002</v>
      </c>
      <c r="R3" s="102">
        <v>26.0931</v>
      </c>
      <c r="S3" s="102">
        <v>-36.533999999999999</v>
      </c>
      <c r="T3" s="102">
        <v>929.279</v>
      </c>
      <c r="U3" s="89">
        <f t="shared" ref="U3:U34" si="3">(T3*S3)/100</f>
        <v>-339.50278985999995</v>
      </c>
      <c r="V3" s="90" t="e">
        <f t="shared" ref="V3:V22" si="4">IF(AND(U3&gt;-75,U3&lt;0),U3,NA())</f>
        <v>#N/A</v>
      </c>
      <c r="W3" s="85">
        <f t="shared" ref="W3:W62" si="5">IF(U3&lt;-75,U3,NA())</f>
        <v>-339.50278985999995</v>
      </c>
      <c r="X3" s="85">
        <f t="shared" ref="X3:X34" si="6">D3*AH3</f>
        <v>9261.8051186067023</v>
      </c>
      <c r="Y3" s="85">
        <f t="shared" ref="Y3:Y34" si="7">D3*AI3</f>
        <v>57396.984107786717</v>
      </c>
      <c r="Z3" s="85">
        <f t="shared" ref="Z3:Z34" si="8">(T3)^($Z$65)</f>
        <v>9068.3477092511657</v>
      </c>
      <c r="AA3" s="85">
        <f t="shared" ref="AA3:AA34" si="9">SQRT((Q3^2)+(S3^2)+(R3^2))</f>
        <v>52.835023986083321</v>
      </c>
      <c r="AB3" s="85">
        <f>(AA3)^($AB$65)</f>
        <v>14.080387466083366</v>
      </c>
      <c r="AC3" s="85">
        <f t="shared" ref="AC3:AC34" si="10">ATAN2(ABS(R3),S3)</f>
        <v>-0.95059422515733949</v>
      </c>
      <c r="AD3" s="85">
        <f>ABS(DEGREES(AC3))</f>
        <v>54.465037131024253</v>
      </c>
      <c r="AE3" s="85">
        <f t="shared" ref="AE3:AE34" si="11">AC3/2</f>
        <v>-0.47529711257866974</v>
      </c>
      <c r="AF3" s="85">
        <f t="shared" ref="AF3:AF34" si="12">((SIN(ABS(AE3))))^(8/3)</f>
        <v>0.12434721839224366</v>
      </c>
      <c r="AG3" s="85">
        <f t="shared" ref="AG3:AG34" si="13">((SIN(ABS(AE3))))^($H$74)</f>
        <v>0.7706008954527398</v>
      </c>
      <c r="AH3" s="85">
        <f t="shared" ref="AH3:AH34" si="14">Z3*AB3*AF3</f>
        <v>15877.380203853882</v>
      </c>
      <c r="AI3" s="85">
        <f>(Z3)*(AB3)*(AG3)</f>
        <v>98394.82990233571</v>
      </c>
      <c r="AJ3" s="85">
        <f t="shared" ref="AJ3:AJ34" si="15">IF(U3&lt;-75,(($H$99*(U3)^4)+($I$99*(U3)^3)+($J$99*(U3)^2)+($K$99*(U3))+$L$99),((($H$103*(U3)^3)+($I$103*(U3)^3)+($J$103*(U3)^2)+($K$103*(U3))+$L$103)))</f>
        <v>9889.6973129620455</v>
      </c>
      <c r="AK3" s="85">
        <f t="shared" ref="AK3:AK34" si="16">IF(U3&lt;-75,(($H$80*(U3)^4)+($I$79*(U3)^3)+($J$79*(U3)^2)+($K$79*(U3))+$L$79),((($H$83*(U3)^3)+($I$83*(U3)^3)+($J$83*(U3)^2)+($K$83*(U3))+$L$83)))</f>
        <v>51792.026930273802</v>
      </c>
      <c r="AL3" s="85">
        <f t="shared" ref="AL3:AL34" si="17">60*(AJ3/AH3)</f>
        <v>37.372780090867408</v>
      </c>
      <c r="AM3" s="85">
        <f t="shared" ref="AM3:AM34" si="18">60*(AK3/AI3)</f>
        <v>31.582163604539769</v>
      </c>
      <c r="AN3" s="85">
        <f>60*($X$65/AH3)</f>
        <v>19.073298435526588</v>
      </c>
      <c r="AO3" s="85">
        <f>60*($Y$65/AI3)</f>
        <v>15.629229084944251</v>
      </c>
      <c r="AP3" s="31" t="s">
        <v>32</v>
      </c>
      <c r="AQ3" s="92" t="s">
        <v>18</v>
      </c>
      <c r="AR3" s="31" t="s">
        <v>24</v>
      </c>
      <c r="AT3" s="93">
        <f t="shared" ref="AT3:AT34" si="19">U3</f>
        <v>-339.50278985999995</v>
      </c>
      <c r="AU3" s="93">
        <f t="shared" ref="AU3:AU34" si="20">U3^2</f>
        <v>115262.14432272328</v>
      </c>
      <c r="AV3" s="93">
        <f t="shared" ref="AV3:AV34" si="21">U3^3</f>
        <v>-39131819.56281051</v>
      </c>
    </row>
    <row r="4" spans="1:48" s="32" customFormat="1" x14ac:dyDescent="0.3">
      <c r="A4" s="86" t="s">
        <v>23</v>
      </c>
      <c r="B4" s="84">
        <v>45575.938888888886</v>
      </c>
      <c r="C4" s="84">
        <v>45575.965277777781</v>
      </c>
      <c r="D4" s="85">
        <f t="shared" si="0"/>
        <v>0.63333333347691223</v>
      </c>
      <c r="E4" s="42">
        <f t="shared" si="1"/>
        <v>45575.965479000195</v>
      </c>
      <c r="F4" s="43">
        <f t="shared" ref="F4:F34" si="22">ABS((C4 - E4) * 1440)</f>
        <v>0.28976027620956302</v>
      </c>
      <c r="G4" s="43">
        <f t="shared" ref="G4:G62" si="23">((E4 - C4) * 1440)</f>
        <v>0.28976027620956302</v>
      </c>
      <c r="H4" s="105">
        <f t="shared" ref="H4:H62" si="24">B4 + (AN4 / 1440)</f>
        <v>45575.948214709242</v>
      </c>
      <c r="I4" s="43">
        <f t="shared" ref="I4:I62" si="25">ABS((C4 - H4) * 1440)</f>
        <v>24.570818695938215</v>
      </c>
      <c r="J4" s="43">
        <f t="shared" ref="J4:J62" si="26">((H4 - C4) * 1440)</f>
        <v>-24.570818695938215</v>
      </c>
      <c r="K4" s="87">
        <f t="shared" si="2"/>
        <v>45575.976421384199</v>
      </c>
      <c r="L4" s="88">
        <f t="shared" ref="L4:L34" si="27">ABS((C4 - K4) * 1440)</f>
        <v>16.046793241985142</v>
      </c>
      <c r="M4" s="88">
        <f t="shared" ref="M4:M62" si="28">((K4 - C4) * 1440)</f>
        <v>16.046793241985142</v>
      </c>
      <c r="N4" s="105">
        <f t="shared" ref="N4:N62" si="29">B4 + (AO4 / 1440)</f>
        <v>45575.95511550417</v>
      </c>
      <c r="O4" s="88">
        <f t="shared" ref="O4:O62" si="30">ABS((C4 - N4) * 1440)</f>
        <v>14.633673999924213</v>
      </c>
      <c r="P4" s="88">
        <f t="shared" ref="P4:P62" si="31">((N4 - C4) * 1440)</f>
        <v>-14.633673999924213</v>
      </c>
      <c r="Q4" s="102">
        <v>-3.6785000000000001</v>
      </c>
      <c r="R4" s="102">
        <v>-9.1655999999999995</v>
      </c>
      <c r="S4" s="102">
        <v>-44.572000000000003</v>
      </c>
      <c r="T4" s="102">
        <v>682.09299999999996</v>
      </c>
      <c r="U4" s="89">
        <f t="shared" si="3"/>
        <v>-304.02249196000002</v>
      </c>
      <c r="V4" s="90" t="e">
        <f t="shared" si="4"/>
        <v>#N/A</v>
      </c>
      <c r="W4" s="85">
        <f t="shared" si="5"/>
        <v>-304.02249196000002</v>
      </c>
      <c r="X4" s="85">
        <f t="shared" si="6"/>
        <v>14281.948339053841</v>
      </c>
      <c r="Y4" s="85">
        <f t="shared" si="7"/>
        <v>41682.307275601983</v>
      </c>
      <c r="Z4" s="85">
        <f t="shared" si="8"/>
        <v>6004.2411064133767</v>
      </c>
      <c r="AA4" s="85">
        <f t="shared" si="9"/>
        <v>45.653069662510106</v>
      </c>
      <c r="AB4" s="85">
        <f t="shared" ref="AB4:AB62" si="32">(AA4)^($AB$65)</f>
        <v>12.773600312047874</v>
      </c>
      <c r="AC4" s="85">
        <f t="shared" si="10"/>
        <v>-1.3679876240325237</v>
      </c>
      <c r="AD4" s="85">
        <f t="shared" ref="AD4:AD62" si="33">ABS(DEGREES(AC4))</f>
        <v>78.379917283192839</v>
      </c>
      <c r="AE4" s="85">
        <f t="shared" si="11"/>
        <v>-0.68399381201626186</v>
      </c>
      <c r="AF4" s="85">
        <f t="shared" si="12"/>
        <v>0.29402459817390297</v>
      </c>
      <c r="AG4" s="85">
        <f t="shared" si="13"/>
        <v>0.85811986969292886</v>
      </c>
      <c r="AH4" s="85">
        <f t="shared" si="14"/>
        <v>22550.444740762221</v>
      </c>
      <c r="AI4" s="85">
        <f t="shared" ref="AI4:AI62" si="34">(Z4)*(AB4)*(AG4)</f>
        <v>65814.169367609138</v>
      </c>
      <c r="AJ4" s="85">
        <f t="shared" si="15"/>
        <v>14390.852055671145</v>
      </c>
      <c r="AK4" s="85">
        <f t="shared" si="16"/>
        <v>59284.080076657701</v>
      </c>
      <c r="AL4" s="85">
        <f t="shared" si="17"/>
        <v>38.289760280403385</v>
      </c>
      <c r="AM4" s="85">
        <f t="shared" si="18"/>
        <v>54.046793247991431</v>
      </c>
      <c r="AN4" s="85">
        <f t="shared" ref="AN4:AN62" si="35">60*($X$65/AH4)</f>
        <v>13.429181308119562</v>
      </c>
      <c r="AO4" s="85">
        <f t="shared" ref="AO4:AO62" si="36">60*($Y$65/AI4)</f>
        <v>23.366326006912775</v>
      </c>
      <c r="AP4" s="31" t="s">
        <v>14</v>
      </c>
      <c r="AQ4" s="92" t="s">
        <v>17</v>
      </c>
      <c r="AR4" s="31" t="s">
        <v>24</v>
      </c>
      <c r="AT4" s="93">
        <f t="shared" si="19"/>
        <v>-304.02249196000002</v>
      </c>
      <c r="AU4" s="93">
        <f t="shared" si="20"/>
        <v>92429.675617568282</v>
      </c>
      <c r="AV4" s="93">
        <f t="shared" si="21"/>
        <v>-28100700.312307563</v>
      </c>
    </row>
    <row r="5" spans="1:48" s="32" customFormat="1" x14ac:dyDescent="0.3">
      <c r="A5" s="83" t="s">
        <v>22</v>
      </c>
      <c r="B5" s="84">
        <v>38588.382638888892</v>
      </c>
      <c r="C5" s="84">
        <v>38588.427083333336</v>
      </c>
      <c r="D5" s="85">
        <f t="shared" si="0"/>
        <v>1.0666666666511446</v>
      </c>
      <c r="E5" s="42">
        <f t="shared" si="1"/>
        <v>38588.424657688971</v>
      </c>
      <c r="F5" s="43">
        <f t="shared" si="22"/>
        <v>3.4929278853815049</v>
      </c>
      <c r="G5" s="43">
        <f t="shared" si="23"/>
        <v>-3.4929278853815049</v>
      </c>
      <c r="H5" s="105">
        <f t="shared" si="24"/>
        <v>38588.396700132849</v>
      </c>
      <c r="I5" s="43">
        <f t="shared" si="25"/>
        <v>43.751808700617403</v>
      </c>
      <c r="J5" s="43">
        <f t="shared" si="26"/>
        <v>-43.751808700617403</v>
      </c>
      <c r="K5" s="87">
        <f t="shared" si="2"/>
        <v>38588.423804793296</v>
      </c>
      <c r="L5" s="88">
        <f t="shared" si="27"/>
        <v>4.7210976574569941</v>
      </c>
      <c r="M5" s="88">
        <f t="shared" si="28"/>
        <v>-4.7210976574569941</v>
      </c>
      <c r="N5" s="105">
        <f t="shared" si="29"/>
        <v>38588.400369766612</v>
      </c>
      <c r="O5" s="88">
        <f t="shared" si="30"/>
        <v>38.467536082025617</v>
      </c>
      <c r="P5" s="88">
        <f t="shared" si="31"/>
        <v>-38.467536082025617</v>
      </c>
      <c r="Q5" s="102">
        <v>-2.0722</v>
      </c>
      <c r="R5" s="102">
        <v>19.5015</v>
      </c>
      <c r="S5" s="102">
        <v>-45.49</v>
      </c>
      <c r="T5" s="102">
        <v>634.18799999999999</v>
      </c>
      <c r="U5" s="89">
        <f t="shared" si="3"/>
        <v>-288.49212119999999</v>
      </c>
      <c r="V5" s="90" t="e">
        <f t="shared" si="4"/>
        <v>#N/A</v>
      </c>
      <c r="W5" s="85">
        <f t="shared" si="5"/>
        <v>-288.49212119999999</v>
      </c>
      <c r="X5" s="85">
        <f t="shared" si="6"/>
        <v>15953.175290904368</v>
      </c>
      <c r="Y5" s="85">
        <f t="shared" si="7"/>
        <v>64245.961462760053</v>
      </c>
      <c r="Z5" s="85">
        <f t="shared" si="8"/>
        <v>5448.6723579355312</v>
      </c>
      <c r="AA5" s="85">
        <f t="shared" si="9"/>
        <v>49.537285100114239</v>
      </c>
      <c r="AB5" s="85">
        <f t="shared" si="32"/>
        <v>13.488224968160848</v>
      </c>
      <c r="AC5" s="85">
        <f t="shared" si="10"/>
        <v>-1.1657970947868981</v>
      </c>
      <c r="AD5" s="85">
        <f t="shared" si="33"/>
        <v>66.795253299902043</v>
      </c>
      <c r="AE5" s="85">
        <f t="shared" si="11"/>
        <v>-0.58289854739344904</v>
      </c>
      <c r="AF5" s="85">
        <f t="shared" si="12"/>
        <v>0.20350398558424135</v>
      </c>
      <c r="AG5" s="85">
        <f t="shared" si="13"/>
        <v>0.819542754151113</v>
      </c>
      <c r="AH5" s="85">
        <f t="shared" si="14"/>
        <v>14956.101835440484</v>
      </c>
      <c r="AI5" s="85">
        <f t="shared" si="34"/>
        <v>60230.588872214023</v>
      </c>
      <c r="AJ5" s="85">
        <f t="shared" si="15"/>
        <v>15082.498872314609</v>
      </c>
      <c r="AK5" s="85">
        <f t="shared" si="16"/>
        <v>59506.719933309534</v>
      </c>
      <c r="AL5" s="85">
        <f t="shared" si="17"/>
        <v>60.507072116510784</v>
      </c>
      <c r="AM5" s="85">
        <f t="shared" si="18"/>
        <v>59.278902346008678</v>
      </c>
      <c r="AN5" s="85">
        <f t="shared" si="35"/>
        <v>20.248191295730642</v>
      </c>
      <c r="AO5" s="85">
        <f t="shared" si="36"/>
        <v>25.53246392095582</v>
      </c>
      <c r="AP5" s="31" t="s">
        <v>15</v>
      </c>
      <c r="AQ5" s="92" t="s">
        <v>18</v>
      </c>
      <c r="AR5" s="31" t="s">
        <v>24</v>
      </c>
      <c r="AT5" s="93">
        <f t="shared" si="19"/>
        <v>-288.49212119999999</v>
      </c>
      <c r="AU5" s="93">
        <f t="shared" si="20"/>
        <v>83227.70399447548</v>
      </c>
      <c r="AV5" s="93">
        <f t="shared" si="21"/>
        <v>-24010536.867971942</v>
      </c>
    </row>
    <row r="6" spans="1:48" s="32" customFormat="1" x14ac:dyDescent="0.3">
      <c r="A6" s="83" t="s">
        <v>23</v>
      </c>
      <c r="B6" s="84">
        <v>36981.215277777781</v>
      </c>
      <c r="C6" s="84">
        <v>36981.263888888891</v>
      </c>
      <c r="D6" s="85">
        <f t="shared" si="0"/>
        <v>1.1666666666278616</v>
      </c>
      <c r="E6" s="42">
        <f t="shared" si="1"/>
        <v>36981.250614470235</v>
      </c>
      <c r="F6" s="43">
        <f t="shared" si="22"/>
        <v>19.115162864327431</v>
      </c>
      <c r="G6" s="43">
        <f t="shared" si="23"/>
        <v>-19.115162864327431</v>
      </c>
      <c r="H6" s="105">
        <f t="shared" si="24"/>
        <v>36981.2277107806</v>
      </c>
      <c r="I6" s="43">
        <f t="shared" si="25"/>
        <v>52.0964759378694</v>
      </c>
      <c r="J6" s="43">
        <f t="shared" si="26"/>
        <v>-52.0964759378694</v>
      </c>
      <c r="K6" s="87">
        <f t="shared" si="2"/>
        <v>36981.25431170535</v>
      </c>
      <c r="L6" s="88">
        <f t="shared" si="27"/>
        <v>13.791144298156723</v>
      </c>
      <c r="M6" s="88">
        <f t="shared" si="28"/>
        <v>-13.791144298156723</v>
      </c>
      <c r="N6" s="105">
        <f t="shared" si="29"/>
        <v>36981.233687471125</v>
      </c>
      <c r="O6" s="88">
        <f t="shared" si="30"/>
        <v>43.490041581680998</v>
      </c>
      <c r="P6" s="88">
        <f t="shared" si="31"/>
        <v>-43.490041581680998</v>
      </c>
      <c r="Q6" s="102">
        <v>-0.86839999999999995</v>
      </c>
      <c r="R6" s="102">
        <v>11.591100000000001</v>
      </c>
      <c r="S6" s="102">
        <v>-36.25</v>
      </c>
      <c r="T6" s="102">
        <v>691.34100000000001</v>
      </c>
      <c r="U6" s="89">
        <f t="shared" si="3"/>
        <v>-250.61111250000002</v>
      </c>
      <c r="V6" s="90" t="e">
        <f t="shared" si="4"/>
        <v>#N/A</v>
      </c>
      <c r="W6" s="85">
        <f t="shared" si="5"/>
        <v>-250.61111250000002</v>
      </c>
      <c r="X6" s="85">
        <f t="shared" si="6"/>
        <v>19733.899597030711</v>
      </c>
      <c r="Y6" s="85">
        <f t="shared" si="7"/>
        <v>67678.009855144148</v>
      </c>
      <c r="Z6" s="85">
        <f t="shared" si="8"/>
        <v>6113.0284639882484</v>
      </c>
      <c r="AA6" s="85">
        <f t="shared" si="9"/>
        <v>38.067968395621008</v>
      </c>
      <c r="AB6" s="85">
        <f t="shared" si="32"/>
        <v>11.316352490155602</v>
      </c>
      <c r="AC6" s="85">
        <f t="shared" si="10"/>
        <v>-1.2613161096980285</v>
      </c>
      <c r="AD6" s="85">
        <f t="shared" si="33"/>
        <v>72.268089717557004</v>
      </c>
      <c r="AE6" s="85">
        <f t="shared" si="11"/>
        <v>-0.63065805484901427</v>
      </c>
      <c r="AF6" s="85">
        <f t="shared" si="12"/>
        <v>0.24451372389418144</v>
      </c>
      <c r="AG6" s="85">
        <f t="shared" si="13"/>
        <v>0.83856726512981516</v>
      </c>
      <c r="AH6" s="85">
        <f t="shared" si="14"/>
        <v>16914.771083731794</v>
      </c>
      <c r="AI6" s="85">
        <f t="shared" si="34"/>
        <v>58009.722734910196</v>
      </c>
      <c r="AJ6" s="85">
        <f t="shared" si="15"/>
        <v>14345.089530077981</v>
      </c>
      <c r="AK6" s="85">
        <f t="shared" si="16"/>
        <v>54344.335572477401</v>
      </c>
      <c r="AL6" s="85">
        <f t="shared" si="17"/>
        <v>50.884837136961551</v>
      </c>
      <c r="AM6" s="85">
        <f t="shared" si="18"/>
        <v>56.208855699053046</v>
      </c>
      <c r="AN6" s="85">
        <f t="shared" si="35"/>
        <v>17.903524056183372</v>
      </c>
      <c r="AO6" s="85">
        <f t="shared" si="36"/>
        <v>26.509958414130807</v>
      </c>
      <c r="AP6" s="31" t="s">
        <v>32</v>
      </c>
      <c r="AQ6" s="92" t="s">
        <v>18</v>
      </c>
      <c r="AR6" s="31" t="s">
        <v>24</v>
      </c>
      <c r="AT6" s="93">
        <f t="shared" si="19"/>
        <v>-250.61111250000002</v>
      </c>
      <c r="AU6" s="93">
        <f t="shared" si="20"/>
        <v>62805.929708487667</v>
      </c>
      <c r="AV6" s="93">
        <f t="shared" si="21"/>
        <v>-15739863.915840896</v>
      </c>
    </row>
    <row r="7" spans="1:48" s="32" customFormat="1" x14ac:dyDescent="0.3">
      <c r="A7" s="83" t="s">
        <v>23</v>
      </c>
      <c r="B7" s="84">
        <v>45423.354166666664</v>
      </c>
      <c r="C7" s="84">
        <v>45423.39166666667</v>
      </c>
      <c r="D7" s="85">
        <f t="shared" si="0"/>
        <v>0.90000000013969839</v>
      </c>
      <c r="E7" s="42">
        <f t="shared" si="1"/>
        <v>45423.40036789413</v>
      </c>
      <c r="F7" s="43">
        <f t="shared" si="22"/>
        <v>12.529767542146146</v>
      </c>
      <c r="G7" s="43">
        <f t="shared" si="23"/>
        <v>12.529767542146146</v>
      </c>
      <c r="H7" s="105">
        <f t="shared" si="24"/>
        <v>45423.370503233324</v>
      </c>
      <c r="I7" s="43">
        <f t="shared" si="25"/>
        <v>30.475344018777832</v>
      </c>
      <c r="J7" s="43">
        <f t="shared" si="26"/>
        <v>-30.475344018777832</v>
      </c>
      <c r="K7" s="87">
        <f t="shared" si="2"/>
        <v>45423.392540931265</v>
      </c>
      <c r="L7" s="88">
        <f t="shared" si="27"/>
        <v>1.2589410168584436</v>
      </c>
      <c r="M7" s="88">
        <f t="shared" si="28"/>
        <v>1.2589410168584436</v>
      </c>
      <c r="N7" s="105">
        <f t="shared" si="29"/>
        <v>45423.372358809531</v>
      </c>
      <c r="O7" s="88">
        <f t="shared" si="30"/>
        <v>27.803314280463383</v>
      </c>
      <c r="P7" s="88">
        <f t="shared" si="31"/>
        <v>-27.803314280463383</v>
      </c>
      <c r="Q7" s="102">
        <v>-4.5228999999999999</v>
      </c>
      <c r="R7" s="102">
        <v>18.251200000000001</v>
      </c>
      <c r="S7" s="102">
        <v>-35.694000000000003</v>
      </c>
      <c r="T7" s="102">
        <v>698.577</v>
      </c>
      <c r="U7" s="89">
        <f t="shared" si="3"/>
        <v>-249.35007438</v>
      </c>
      <c r="V7" s="90" t="e">
        <f t="shared" si="4"/>
        <v>#N/A</v>
      </c>
      <c r="W7" s="85">
        <f t="shared" si="5"/>
        <v>-249.35007438</v>
      </c>
      <c r="X7" s="85">
        <f t="shared" si="6"/>
        <v>11585.742640347038</v>
      </c>
      <c r="Y7" s="85">
        <f t="shared" si="7"/>
        <v>52833.088050990598</v>
      </c>
      <c r="Z7" s="85">
        <f t="shared" si="8"/>
        <v>6198.487223939951</v>
      </c>
      <c r="AA7" s="85">
        <f t="shared" si="9"/>
        <v>40.34382929085934</v>
      </c>
      <c r="AB7" s="85">
        <f t="shared" si="32"/>
        <v>11.762999493869602</v>
      </c>
      <c r="AC7" s="85">
        <f t="shared" si="10"/>
        <v>-1.0981305863845285</v>
      </c>
      <c r="AD7" s="85">
        <f t="shared" si="33"/>
        <v>62.918247954059751</v>
      </c>
      <c r="AE7" s="85">
        <f t="shared" si="11"/>
        <v>-0.54906529319226427</v>
      </c>
      <c r="AF7" s="85">
        <f t="shared" si="12"/>
        <v>0.17655400710564606</v>
      </c>
      <c r="AG7" s="85">
        <f t="shared" si="13"/>
        <v>0.80511829864782936</v>
      </c>
      <c r="AH7" s="85">
        <f t="shared" si="14"/>
        <v>12873.047376165216</v>
      </c>
      <c r="AI7" s="85">
        <f t="shared" si="34"/>
        <v>58703.431158655359</v>
      </c>
      <c r="AJ7" s="85">
        <f t="shared" si="15"/>
        <v>14274.014159957602</v>
      </c>
      <c r="AK7" s="85">
        <f t="shared" si="16"/>
        <v>54064.824007141229</v>
      </c>
      <c r="AL7" s="85">
        <f t="shared" si="17"/>
        <v>66.529767550081331</v>
      </c>
      <c r="AM7" s="85">
        <f t="shared" si="18"/>
        <v>55.258941026144562</v>
      </c>
      <c r="AN7" s="85">
        <f t="shared" si="35"/>
        <v>23.524655984963758</v>
      </c>
      <c r="AO7" s="85">
        <f t="shared" si="36"/>
        <v>26.196685729689005</v>
      </c>
      <c r="AP7" s="31" t="s">
        <v>32</v>
      </c>
      <c r="AQ7" s="92" t="s">
        <v>33</v>
      </c>
      <c r="AR7" s="31" t="s">
        <v>24</v>
      </c>
      <c r="AT7" s="93">
        <f t="shared" si="19"/>
        <v>-249.35007438</v>
      </c>
      <c r="AU7" s="93">
        <f t="shared" si="20"/>
        <v>62175.459593311527</v>
      </c>
      <c r="AV7" s="93">
        <f t="shared" si="21"/>
        <v>-15503455.474202914</v>
      </c>
    </row>
    <row r="8" spans="1:48" s="32" customFormat="1" x14ac:dyDescent="0.3">
      <c r="A8" s="83" t="s">
        <v>36</v>
      </c>
      <c r="B8" s="84">
        <v>38487.245138888888</v>
      </c>
      <c r="C8" s="84">
        <v>38487.265277777777</v>
      </c>
      <c r="D8" s="85">
        <f t="shared" si="0"/>
        <v>0.48333333333721384</v>
      </c>
      <c r="E8" s="42">
        <f t="shared" si="1"/>
        <v>38487.306497779486</v>
      </c>
      <c r="F8" s="43">
        <f t="shared" si="22"/>
        <v>59.356802460970357</v>
      </c>
      <c r="G8" s="43">
        <f t="shared" si="23"/>
        <v>59.356802460970357</v>
      </c>
      <c r="H8" s="105">
        <f t="shared" si="24"/>
        <v>38487.272153644313</v>
      </c>
      <c r="I8" s="43">
        <f t="shared" si="25"/>
        <v>9.9012478126678616</v>
      </c>
      <c r="J8" s="43">
        <f t="shared" si="26"/>
        <v>9.9012478126678616</v>
      </c>
      <c r="K8" s="87">
        <f t="shared" si="2"/>
        <v>38487.270862375481</v>
      </c>
      <c r="L8" s="88">
        <f t="shared" si="27"/>
        <v>8.0418206937611103</v>
      </c>
      <c r="M8" s="88">
        <f t="shared" si="28"/>
        <v>8.0418206937611103</v>
      </c>
      <c r="N8" s="105">
        <f t="shared" si="29"/>
        <v>38487.25999621753</v>
      </c>
      <c r="O8" s="88">
        <f t="shared" si="30"/>
        <v>7.6054467551875859</v>
      </c>
      <c r="P8" s="88">
        <f t="shared" si="31"/>
        <v>-7.6054467551875859</v>
      </c>
      <c r="Q8" s="102">
        <v>-16.681999999999999</v>
      </c>
      <c r="R8" s="102">
        <v>22.881</v>
      </c>
      <c r="S8" s="102">
        <v>-23.184000000000001</v>
      </c>
      <c r="T8" s="102">
        <v>920.8</v>
      </c>
      <c r="U8" s="89">
        <f t="shared" si="3"/>
        <v>-213.478272</v>
      </c>
      <c r="V8" s="90" t="e">
        <f t="shared" si="4"/>
        <v>#N/A</v>
      </c>
      <c r="W8" s="85">
        <f t="shared" si="5"/>
        <v>-213.478272</v>
      </c>
      <c r="X8" s="85">
        <f t="shared" si="6"/>
        <v>3762.5983794071417</v>
      </c>
      <c r="Y8" s="85">
        <f t="shared" si="7"/>
        <v>34741.883648816467</v>
      </c>
      <c r="Z8" s="85">
        <f t="shared" si="8"/>
        <v>8958.1929852550074</v>
      </c>
      <c r="AA8" s="85">
        <f t="shared" si="9"/>
        <v>36.596818727862129</v>
      </c>
      <c r="AB8" s="85">
        <f t="shared" si="32"/>
        <v>11.022892108535885</v>
      </c>
      <c r="AC8" s="85">
        <f t="shared" si="10"/>
        <v>-0.79197573053701331</v>
      </c>
      <c r="AD8" s="85">
        <f t="shared" si="33"/>
        <v>45.376866836561014</v>
      </c>
      <c r="AE8" s="85">
        <f t="shared" si="11"/>
        <v>-0.39598786526850666</v>
      </c>
      <c r="AF8" s="85">
        <f t="shared" si="12"/>
        <v>7.8836102564501187E-2</v>
      </c>
      <c r="AG8" s="85">
        <f t="shared" si="13"/>
        <v>0.72793171804151535</v>
      </c>
      <c r="AH8" s="85">
        <f t="shared" si="14"/>
        <v>7784.6863021591716</v>
      </c>
      <c r="AI8" s="85">
        <f t="shared" si="34"/>
        <v>71879.75927283628</v>
      </c>
      <c r="AJ8" s="85">
        <f t="shared" si="15"/>
        <v>11463.833163506977</v>
      </c>
      <c r="AK8" s="85">
        <f t="shared" si="16"/>
        <v>44375.952577930526</v>
      </c>
      <c r="AL8" s="85">
        <f t="shared" si="17"/>
        <v>88.356802459675365</v>
      </c>
      <c r="AM8" s="85">
        <f t="shared" si="18"/>
        <v>37.041820696275273</v>
      </c>
      <c r="AN8" s="85">
        <f t="shared" si="35"/>
        <v>38.901247815012482</v>
      </c>
      <c r="AO8" s="85">
        <f t="shared" si="36"/>
        <v>21.394553249413615</v>
      </c>
      <c r="AP8" s="31" t="s">
        <v>32</v>
      </c>
      <c r="AQ8" s="92" t="s">
        <v>18</v>
      </c>
      <c r="AR8" s="31" t="s">
        <v>24</v>
      </c>
      <c r="AT8" s="93">
        <f t="shared" si="19"/>
        <v>-213.478272</v>
      </c>
      <c r="AU8" s="93">
        <f t="shared" si="20"/>
        <v>45572.972616105988</v>
      </c>
      <c r="AV8" s="93">
        <f t="shared" si="21"/>
        <v>-9728839.4439896252</v>
      </c>
    </row>
    <row r="9" spans="1:48" s="32" customFormat="1" x14ac:dyDescent="0.3">
      <c r="A9" s="86" t="s">
        <v>23</v>
      </c>
      <c r="B9" s="84">
        <v>45576.02847222222</v>
      </c>
      <c r="C9" s="84">
        <v>45576.072916666664</v>
      </c>
      <c r="D9" s="85">
        <f t="shared" si="0"/>
        <v>1.0666666666511446</v>
      </c>
      <c r="E9" s="42">
        <f t="shared" si="1"/>
        <v>45576.074470369087</v>
      </c>
      <c r="F9" s="43">
        <f t="shared" si="22"/>
        <v>2.2373314888682216</v>
      </c>
      <c r="G9" s="43">
        <f t="shared" si="23"/>
        <v>2.2373314888682216</v>
      </c>
      <c r="H9" s="105">
        <f t="shared" si="24"/>
        <v>45576.050366705029</v>
      </c>
      <c r="I9" s="43">
        <f t="shared" si="25"/>
        <v>32.471944754943252</v>
      </c>
      <c r="J9" s="43">
        <f t="shared" si="26"/>
        <v>-32.471944754943252</v>
      </c>
      <c r="K9" s="87">
        <f t="shared" si="2"/>
        <v>45576.06207741797</v>
      </c>
      <c r="L9" s="88">
        <f t="shared" si="27"/>
        <v>15.608518120134249</v>
      </c>
      <c r="M9" s="88">
        <f t="shared" si="28"/>
        <v>-15.608518120134249</v>
      </c>
      <c r="N9" s="105">
        <f t="shared" si="29"/>
        <v>45576.049164159158</v>
      </c>
      <c r="O9" s="88">
        <f t="shared" si="30"/>
        <v>34.203610809054226</v>
      </c>
      <c r="P9" s="88">
        <f t="shared" si="31"/>
        <v>-34.203610809054226</v>
      </c>
      <c r="Q9" s="102">
        <v>6.3159999999999998</v>
      </c>
      <c r="R9" s="102">
        <v>-18.417999999999999</v>
      </c>
      <c r="S9" s="102">
        <v>-29.722999999999999</v>
      </c>
      <c r="T9" s="102">
        <v>687.83699999999999</v>
      </c>
      <c r="U9" s="89">
        <f t="shared" si="3"/>
        <v>-204.44579150999999</v>
      </c>
      <c r="V9" s="90" t="e">
        <f t="shared" si="4"/>
        <v>#N/A</v>
      </c>
      <c r="W9" s="85">
        <f t="shared" si="5"/>
        <v>-204.44579150999999</v>
      </c>
      <c r="X9" s="85">
        <f t="shared" si="6"/>
        <v>10245.571525405525</v>
      </c>
      <c r="Y9" s="85">
        <f t="shared" si="7"/>
        <v>55052.230752507377</v>
      </c>
      <c r="Z9" s="85">
        <f t="shared" si="8"/>
        <v>6071.7522832601426</v>
      </c>
      <c r="AA9" s="85">
        <f t="shared" si="9"/>
        <v>35.532679451457078</v>
      </c>
      <c r="AB9" s="85">
        <f t="shared" si="32"/>
        <v>10.80816514734677</v>
      </c>
      <c r="AC9" s="85">
        <f t="shared" si="10"/>
        <v>-1.0160499786767327</v>
      </c>
      <c r="AD9" s="85">
        <f t="shared" si="33"/>
        <v>58.215375552534077</v>
      </c>
      <c r="AE9" s="85">
        <f t="shared" si="11"/>
        <v>-0.50802498933836637</v>
      </c>
      <c r="AF9" s="85">
        <f t="shared" si="12"/>
        <v>0.14636641953305621</v>
      </c>
      <c r="AG9" s="85">
        <f t="shared" si="13"/>
        <v>0.78646641454520338</v>
      </c>
      <c r="AH9" s="85">
        <f t="shared" si="14"/>
        <v>9605.2233052074534</v>
      </c>
      <c r="AI9" s="85">
        <f t="shared" si="34"/>
        <v>51611.466331226715</v>
      </c>
      <c r="AJ9" s="85">
        <f t="shared" si="15"/>
        <v>10603.739334590296</v>
      </c>
      <c r="AK9" s="85">
        <f t="shared" si="16"/>
        <v>41625.922293654701</v>
      </c>
      <c r="AL9" s="85">
        <f t="shared" si="17"/>
        <v>66.237331487180512</v>
      </c>
      <c r="AM9" s="85">
        <f t="shared" si="18"/>
        <v>48.391481877122622</v>
      </c>
      <c r="AN9" s="85">
        <f t="shared" si="35"/>
        <v>31.528055244509119</v>
      </c>
      <c r="AO9" s="85">
        <f t="shared" si="36"/>
        <v>29.796389187014523</v>
      </c>
      <c r="AP9" s="31" t="s">
        <v>14</v>
      </c>
      <c r="AQ9" s="92" t="s">
        <v>17</v>
      </c>
      <c r="AR9" s="31" t="s">
        <v>24</v>
      </c>
      <c r="AT9" s="93">
        <f t="shared" si="19"/>
        <v>-204.44579150999999</v>
      </c>
      <c r="AU9" s="93">
        <f t="shared" si="20"/>
        <v>41798.081666150385</v>
      </c>
      <c r="AV9" s="93">
        <f t="shared" si="21"/>
        <v>-8545441.8898357339</v>
      </c>
    </row>
    <row r="10" spans="1:48" s="32" customFormat="1" x14ac:dyDescent="0.3">
      <c r="A10" s="83" t="s">
        <v>23</v>
      </c>
      <c r="B10" s="84">
        <v>45422.834027777775</v>
      </c>
      <c r="C10" s="84">
        <v>45422.872916666667</v>
      </c>
      <c r="D10" s="85">
        <f t="shared" si="0"/>
        <v>0.93333333340706304</v>
      </c>
      <c r="E10" s="42">
        <f t="shared" si="1"/>
        <v>45422.854801826761</v>
      </c>
      <c r="F10" s="43">
        <f t="shared" si="22"/>
        <v>26.085369464708492</v>
      </c>
      <c r="G10" s="43">
        <f t="shared" si="23"/>
        <v>-26.085369464708492</v>
      </c>
      <c r="H10" s="105">
        <f t="shared" si="24"/>
        <v>45422.844296014817</v>
      </c>
      <c r="I10" s="43">
        <f t="shared" si="25"/>
        <v>41.213738664519042</v>
      </c>
      <c r="J10" s="43">
        <f t="shared" si="26"/>
        <v>-41.213738664519042</v>
      </c>
      <c r="K10" s="87">
        <f t="shared" si="2"/>
        <v>45422.864592508493</v>
      </c>
      <c r="L10" s="88">
        <f t="shared" si="27"/>
        <v>11.986787770874798</v>
      </c>
      <c r="M10" s="88">
        <f t="shared" si="28"/>
        <v>-11.986787770874798</v>
      </c>
      <c r="N10" s="105">
        <f t="shared" si="29"/>
        <v>45422.853425583184</v>
      </c>
      <c r="O10" s="88">
        <f t="shared" si="30"/>
        <v>28.067160216160119</v>
      </c>
      <c r="P10" s="88">
        <f t="shared" si="31"/>
        <v>-28.067160216160119</v>
      </c>
      <c r="Q10" s="102">
        <v>-14.484999999999999</v>
      </c>
      <c r="R10" s="102">
        <v>4.1146200000000004</v>
      </c>
      <c r="S10" s="102">
        <v>-28.457999999999998</v>
      </c>
      <c r="T10" s="102">
        <v>704.21500000000003</v>
      </c>
      <c r="U10" s="89">
        <f t="shared" si="3"/>
        <v>-200.40550469999999</v>
      </c>
      <c r="V10" s="90" t="e">
        <f t="shared" si="4"/>
        <v>#N/A</v>
      </c>
      <c r="W10" s="85">
        <f t="shared" si="5"/>
        <v>-200.40550469999999</v>
      </c>
      <c r="X10" s="85">
        <f t="shared" si="6"/>
        <v>19115.384913842434</v>
      </c>
      <c r="Y10" s="85">
        <f t="shared" si="7"/>
        <v>51384.427520544974</v>
      </c>
      <c r="Z10" s="85">
        <f t="shared" si="8"/>
        <v>6265.2782286739421</v>
      </c>
      <c r="AA10" s="85">
        <f t="shared" si="9"/>
        <v>32.196321012569122</v>
      </c>
      <c r="AB10" s="85">
        <f t="shared" si="32"/>
        <v>10.120551190459325</v>
      </c>
      <c r="AC10" s="85">
        <f t="shared" si="10"/>
        <v>-1.4272056925096037</v>
      </c>
      <c r="AD10" s="85">
        <f t="shared" si="33"/>
        <v>81.77286267784622</v>
      </c>
      <c r="AE10" s="85">
        <f t="shared" si="11"/>
        <v>-0.71360284625480186</v>
      </c>
      <c r="AF10" s="85">
        <f t="shared" si="12"/>
        <v>0.322999420426689</v>
      </c>
      <c r="AG10" s="85">
        <f t="shared" si="13"/>
        <v>0.8682608476313961</v>
      </c>
      <c r="AH10" s="85">
        <f t="shared" si="14"/>
        <v>20480.769548927565</v>
      </c>
      <c r="AI10" s="85">
        <f t="shared" si="34"/>
        <v>55054.743767663364</v>
      </c>
      <c r="AJ10" s="85">
        <f t="shared" si="15"/>
        <v>10211.244237907842</v>
      </c>
      <c r="AK10" s="85">
        <f t="shared" si="16"/>
        <v>40385.602027719055</v>
      </c>
      <c r="AL10" s="85">
        <f t="shared" si="17"/>
        <v>29.914630542120037</v>
      </c>
      <c r="AM10" s="85">
        <f t="shared" si="18"/>
        <v>44.013212229068309</v>
      </c>
      <c r="AN10" s="85">
        <f t="shared" si="35"/>
        <v>14.786261340374507</v>
      </c>
      <c r="AO10" s="85">
        <f t="shared" si="36"/>
        <v>27.932839789565634</v>
      </c>
      <c r="AP10" s="31" t="s">
        <v>32</v>
      </c>
      <c r="AQ10" s="92" t="s">
        <v>33</v>
      </c>
      <c r="AR10" s="31" t="s">
        <v>24</v>
      </c>
      <c r="AT10" s="93">
        <f t="shared" si="19"/>
        <v>-200.40550469999999</v>
      </c>
      <c r="AU10" s="93">
        <f t="shared" si="20"/>
        <v>40162.366314061721</v>
      </c>
      <c r="AV10" s="93">
        <f t="shared" si="21"/>
        <v>-8048759.2911158176</v>
      </c>
    </row>
    <row r="11" spans="1:48" s="32" customFormat="1" x14ac:dyDescent="0.3">
      <c r="A11" s="83" t="s">
        <v>23</v>
      </c>
      <c r="B11" s="84">
        <v>45422.822916666664</v>
      </c>
      <c r="C11" s="84">
        <v>45422.831944444442</v>
      </c>
      <c r="D11" s="85">
        <f t="shared" si="0"/>
        <v>0.21666666667442769</v>
      </c>
      <c r="E11" s="42">
        <f t="shared" si="1"/>
        <v>45422.843172996472</v>
      </c>
      <c r="F11" s="43">
        <f t="shared" si="22"/>
        <v>16.169114923104644</v>
      </c>
      <c r="G11" s="43">
        <f t="shared" si="23"/>
        <v>16.169114923104644</v>
      </c>
      <c r="H11" s="105">
        <f t="shared" si="24"/>
        <v>45422.835141809315</v>
      </c>
      <c r="I11" s="43">
        <f t="shared" si="25"/>
        <v>4.6042054169811308</v>
      </c>
      <c r="J11" s="43">
        <f t="shared" si="26"/>
        <v>4.6042054169811308</v>
      </c>
      <c r="K11" s="87">
        <f t="shared" si="2"/>
        <v>45422.851534870773</v>
      </c>
      <c r="L11" s="88">
        <f t="shared" si="27"/>
        <v>28.210213916609064</v>
      </c>
      <c r="M11" s="88">
        <f t="shared" si="28"/>
        <v>28.210213916609064</v>
      </c>
      <c r="N11" s="105">
        <f t="shared" si="29"/>
        <v>45422.8441035664</v>
      </c>
      <c r="O11" s="88">
        <f t="shared" si="30"/>
        <v>17.509135619038716</v>
      </c>
      <c r="P11" s="88">
        <f t="shared" si="31"/>
        <v>17.509135619038716</v>
      </c>
      <c r="Q11" s="102">
        <v>-10.391999999999999</v>
      </c>
      <c r="R11" s="102">
        <v>-5.2972999999999999</v>
      </c>
      <c r="S11" s="102">
        <v>-25.402999999999999</v>
      </c>
      <c r="T11" s="102">
        <v>713.95399999999995</v>
      </c>
      <c r="U11" s="89">
        <f t="shared" si="3"/>
        <v>-181.36573461999996</v>
      </c>
      <c r="V11" s="90" t="e">
        <f t="shared" si="4"/>
        <v>#N/A</v>
      </c>
      <c r="W11" s="85">
        <f t="shared" si="5"/>
        <v>-181.36573461999996</v>
      </c>
      <c r="X11" s="85">
        <f t="shared" si="6"/>
        <v>3727.1796241284887</v>
      </c>
      <c r="Y11" s="85">
        <f t="shared" si="7"/>
        <v>10921.242100939209</v>
      </c>
      <c r="Z11" s="85">
        <f t="shared" si="8"/>
        <v>6381.0719490953616</v>
      </c>
      <c r="AA11" s="85">
        <f t="shared" si="9"/>
        <v>27.952950833319903</v>
      </c>
      <c r="AB11" s="85">
        <f t="shared" si="32"/>
        <v>9.2105402993724592</v>
      </c>
      <c r="AC11" s="85">
        <f t="shared" si="10"/>
        <v>-1.3652119909847986</v>
      </c>
      <c r="AD11" s="85">
        <f t="shared" si="33"/>
        <v>78.220885224081158</v>
      </c>
      <c r="AE11" s="85">
        <f t="shared" si="11"/>
        <v>-0.68260599549239931</v>
      </c>
      <c r="AF11" s="85">
        <f t="shared" si="12"/>
        <v>0.29269107026728475</v>
      </c>
      <c r="AG11" s="85">
        <f t="shared" si="13"/>
        <v>0.85763240882694591</v>
      </c>
      <c r="AH11" s="85">
        <f t="shared" si="14"/>
        <v>17202.36749536145</v>
      </c>
      <c r="AI11" s="85">
        <f t="shared" si="34"/>
        <v>50405.732771760042</v>
      </c>
      <c r="AJ11" s="85">
        <f t="shared" si="15"/>
        <v>8362.9639078419277</v>
      </c>
      <c r="AK11" s="85">
        <f t="shared" si="16"/>
        <v>34620.517171633401</v>
      </c>
      <c r="AL11" s="85">
        <f t="shared" si="17"/>
        <v>29.169114925943656</v>
      </c>
      <c r="AM11" s="85">
        <f t="shared" si="18"/>
        <v>41.210213919591681</v>
      </c>
      <c r="AN11" s="85">
        <f t="shared" si="35"/>
        <v>17.604205414405026</v>
      </c>
      <c r="AO11" s="85">
        <f t="shared" si="36"/>
        <v>30.509135623146904</v>
      </c>
      <c r="AP11" s="31" t="s">
        <v>32</v>
      </c>
      <c r="AQ11" s="92" t="s">
        <v>33</v>
      </c>
      <c r="AR11" s="31" t="s">
        <v>24</v>
      </c>
      <c r="AT11" s="93">
        <f t="shared" si="19"/>
        <v>-181.36573461999996</v>
      </c>
      <c r="AU11" s="93">
        <f t="shared" si="20"/>
        <v>32893.529694252247</v>
      </c>
      <c r="AV11" s="93">
        <f t="shared" si="21"/>
        <v>-5965759.1772428416</v>
      </c>
    </row>
    <row r="12" spans="1:48" s="32" customFormat="1" ht="15" customHeight="1" x14ac:dyDescent="0.3">
      <c r="A12" s="83" t="s">
        <v>23</v>
      </c>
      <c r="B12" s="84">
        <v>45422.743750000001</v>
      </c>
      <c r="C12" s="84">
        <v>45422.768055555556</v>
      </c>
      <c r="D12" s="85">
        <f t="shared" si="0"/>
        <v>0.58333333331393078</v>
      </c>
      <c r="E12" s="42">
        <f t="shared" si="1"/>
        <v>45422.800071725746</v>
      </c>
      <c r="F12" s="43">
        <f t="shared" si="22"/>
        <v>46.103285072604194</v>
      </c>
      <c r="G12" s="43">
        <f t="shared" si="23"/>
        <v>46.103285072604194</v>
      </c>
      <c r="H12" s="105">
        <f t="shared" si="24"/>
        <v>45422.787296624658</v>
      </c>
      <c r="I12" s="43">
        <f t="shared" si="25"/>
        <v>27.707139506237581</v>
      </c>
      <c r="J12" s="43">
        <f t="shared" si="26"/>
        <v>27.707139506237581</v>
      </c>
      <c r="K12" s="87">
        <f t="shared" si="2"/>
        <v>45422.769090131267</v>
      </c>
      <c r="L12" s="88">
        <f t="shared" si="27"/>
        <v>1.4897890237625688</v>
      </c>
      <c r="M12" s="88">
        <f t="shared" si="28"/>
        <v>1.4897890237625688</v>
      </c>
      <c r="N12" s="105">
        <f t="shared" si="29"/>
        <v>45422.766197093864</v>
      </c>
      <c r="O12" s="88">
        <f t="shared" si="30"/>
        <v>2.6761848363094032</v>
      </c>
      <c r="P12" s="88">
        <f t="shared" si="31"/>
        <v>-2.6761848363094032</v>
      </c>
      <c r="Q12" s="102">
        <v>-10.756</v>
      </c>
      <c r="R12" s="102">
        <v>-23.806000000000001</v>
      </c>
      <c r="S12" s="102">
        <v>-23.044</v>
      </c>
      <c r="T12" s="102">
        <v>697.4</v>
      </c>
      <c r="U12" s="89">
        <f t="shared" si="3"/>
        <v>-160.708856</v>
      </c>
      <c r="V12" s="90" t="e">
        <f t="shared" si="4"/>
        <v>#N/A</v>
      </c>
      <c r="W12" s="85">
        <f t="shared" si="5"/>
        <v>-160.708856</v>
      </c>
      <c r="X12" s="85">
        <f t="shared" si="6"/>
        <v>2817.1141992374978</v>
      </c>
      <c r="Y12" s="85">
        <f t="shared" si="7"/>
        <v>27752.621680277924</v>
      </c>
      <c r="Z12" s="85">
        <f t="shared" si="8"/>
        <v>6184.566410591623</v>
      </c>
      <c r="AA12" s="85">
        <f t="shared" si="9"/>
        <v>34.834510302285004</v>
      </c>
      <c r="AB12" s="85">
        <f t="shared" si="32"/>
        <v>10.666120188582997</v>
      </c>
      <c r="AC12" s="85">
        <f t="shared" si="10"/>
        <v>-0.76913492289380936</v>
      </c>
      <c r="AD12" s="85">
        <f t="shared" si="33"/>
        <v>44.068184957935273</v>
      </c>
      <c r="AE12" s="85">
        <f t="shared" si="11"/>
        <v>-0.38456746144690468</v>
      </c>
      <c r="AF12" s="85">
        <f t="shared" si="12"/>
        <v>7.3210256452667669E-2</v>
      </c>
      <c r="AG12" s="85">
        <f t="shared" si="13"/>
        <v>0.72122619345603678</v>
      </c>
      <c r="AH12" s="85">
        <f t="shared" si="14"/>
        <v>4829.3386274249133</v>
      </c>
      <c r="AI12" s="85">
        <f t="shared" si="34"/>
        <v>47575.922882058891</v>
      </c>
      <c r="AJ12" s="85">
        <f t="shared" si="15"/>
        <v>6527.9204569976137</v>
      </c>
      <c r="AK12" s="85">
        <f t="shared" si="16"/>
        <v>28933.923140803381</v>
      </c>
      <c r="AL12" s="85">
        <f t="shared" si="17"/>
        <v>81.103285074193437</v>
      </c>
      <c r="AM12" s="85">
        <f t="shared" si="18"/>
        <v>36.489789021052715</v>
      </c>
      <c r="AN12" s="85">
        <f t="shared" si="35"/>
        <v>62.707139499949164</v>
      </c>
      <c r="AO12" s="85">
        <f t="shared" si="36"/>
        <v>32.323815160244692</v>
      </c>
      <c r="AP12" s="31" t="s">
        <v>32</v>
      </c>
      <c r="AQ12" s="92" t="s">
        <v>33</v>
      </c>
      <c r="AR12" s="31" t="s">
        <v>24</v>
      </c>
      <c r="AT12" s="93">
        <f t="shared" si="19"/>
        <v>-160.708856</v>
      </c>
      <c r="AU12" s="93">
        <f t="shared" si="20"/>
        <v>25827.336396828734</v>
      </c>
      <c r="AV12" s="93">
        <f t="shared" si="21"/>
        <v>-4150681.6858615079</v>
      </c>
    </row>
    <row r="13" spans="1:48" s="32" customFormat="1" x14ac:dyDescent="0.3">
      <c r="A13" s="83" t="s">
        <v>22</v>
      </c>
      <c r="B13" s="84">
        <v>37185.947916666664</v>
      </c>
      <c r="C13" s="84">
        <v>37185.972222222219</v>
      </c>
      <c r="D13" s="85">
        <f t="shared" si="0"/>
        <v>0.58333333331393078</v>
      </c>
      <c r="E13" s="42">
        <f t="shared" si="1"/>
        <v>37185.964431491622</v>
      </c>
      <c r="F13" s="43">
        <f t="shared" si="22"/>
        <v>11.218652059324086</v>
      </c>
      <c r="G13" s="43">
        <f t="shared" si="23"/>
        <v>-11.218652059324086</v>
      </c>
      <c r="H13" s="105">
        <f t="shared" si="24"/>
        <v>37185.963784351465</v>
      </c>
      <c r="I13" s="43">
        <f t="shared" si="25"/>
        <v>12.150533886160702</v>
      </c>
      <c r="J13" s="43">
        <f t="shared" si="26"/>
        <v>-12.150533886160702</v>
      </c>
      <c r="K13" s="87">
        <f t="shared" si="2"/>
        <v>37185.974881771603</v>
      </c>
      <c r="L13" s="88">
        <f t="shared" si="27"/>
        <v>3.829751112498343</v>
      </c>
      <c r="M13" s="88">
        <f t="shared" si="28"/>
        <v>3.829751112498343</v>
      </c>
      <c r="N13" s="105">
        <f t="shared" si="29"/>
        <v>37185.975668495863</v>
      </c>
      <c r="O13" s="88">
        <f t="shared" si="30"/>
        <v>4.9626340472605079</v>
      </c>
      <c r="P13" s="88">
        <f t="shared" si="31"/>
        <v>4.9626340472605079</v>
      </c>
      <c r="Q13" s="102">
        <v>6.9847200000000003</v>
      </c>
      <c r="R13" s="102">
        <v>4.6074999999999999</v>
      </c>
      <c r="S13" s="102">
        <v>-22.823</v>
      </c>
      <c r="T13" s="102">
        <v>624.68600000000004</v>
      </c>
      <c r="U13" s="89">
        <f t="shared" si="3"/>
        <v>-142.57208578000001</v>
      </c>
      <c r="V13" s="90" t="e">
        <f t="shared" si="4"/>
        <v>#N/A</v>
      </c>
      <c r="W13" s="85">
        <f t="shared" si="5"/>
        <v>-142.57208578000001</v>
      </c>
      <c r="X13" s="85">
        <f t="shared" si="6"/>
        <v>7731.1728943402959</v>
      </c>
      <c r="Y13" s="85">
        <f t="shared" si="7"/>
        <v>22447.734857899068</v>
      </c>
      <c r="Z13" s="85">
        <f t="shared" si="8"/>
        <v>5340.0955834773949</v>
      </c>
      <c r="AA13" s="85">
        <f t="shared" si="9"/>
        <v>24.308531398017443</v>
      </c>
      <c r="AB13" s="85">
        <f t="shared" si="32"/>
        <v>8.391491283580816</v>
      </c>
      <c r="AC13" s="85">
        <f t="shared" si="10"/>
        <v>-1.3715940347198368</v>
      </c>
      <c r="AD13" s="85">
        <f t="shared" si="33"/>
        <v>78.586549394766749</v>
      </c>
      <c r="AE13" s="85">
        <f t="shared" si="11"/>
        <v>-0.68579701735991838</v>
      </c>
      <c r="AF13" s="85">
        <f t="shared" si="12"/>
        <v>0.29576066445439408</v>
      </c>
      <c r="AG13" s="85">
        <f t="shared" si="13"/>
        <v>0.85875158501869375</v>
      </c>
      <c r="AH13" s="85">
        <f t="shared" si="14"/>
        <v>13253.439247881337</v>
      </c>
      <c r="AI13" s="85">
        <f t="shared" si="34"/>
        <v>38481.831186249794</v>
      </c>
      <c r="AJ13" s="85">
        <f t="shared" si="15"/>
        <v>5253.0775023601964</v>
      </c>
      <c r="AK13" s="85">
        <f t="shared" si="16"/>
        <v>24903.9987855933</v>
      </c>
      <c r="AL13" s="85">
        <f t="shared" si="17"/>
        <v>23.781347938950745</v>
      </c>
      <c r="AM13" s="85">
        <f t="shared" si="18"/>
        <v>38.829751107829686</v>
      </c>
      <c r="AN13" s="85">
        <f t="shared" si="35"/>
        <v>22.849466115056693</v>
      </c>
      <c r="AO13" s="85">
        <f t="shared" si="36"/>
        <v>39.96263405124084</v>
      </c>
      <c r="AP13" s="31" t="s">
        <v>15</v>
      </c>
      <c r="AQ13" s="92" t="s">
        <v>18</v>
      </c>
      <c r="AR13" s="31" t="s">
        <v>24</v>
      </c>
      <c r="AT13" s="93">
        <f t="shared" si="19"/>
        <v>-142.57208578000001</v>
      </c>
      <c r="AU13" s="93">
        <f t="shared" si="20"/>
        <v>20326.79964365968</v>
      </c>
      <c r="AV13" s="93">
        <f t="shared" si="21"/>
        <v>-2898034.2224287214</v>
      </c>
    </row>
    <row r="14" spans="1:48" s="32" customFormat="1" x14ac:dyDescent="0.3">
      <c r="A14" s="83" t="s">
        <v>23</v>
      </c>
      <c r="B14" s="84">
        <v>40760.872916666667</v>
      </c>
      <c r="C14" s="84">
        <v>40760.904861111114</v>
      </c>
      <c r="D14" s="85">
        <f t="shared" si="0"/>
        <v>0.76666666672099382</v>
      </c>
      <c r="E14" s="42">
        <f t="shared" si="1"/>
        <v>40760.889982784131</v>
      </c>
      <c r="F14" s="43">
        <f t="shared" si="22"/>
        <v>21.424790855962783</v>
      </c>
      <c r="G14" s="43">
        <f t="shared" si="23"/>
        <v>-21.424790855962783</v>
      </c>
      <c r="H14" s="105">
        <f t="shared" si="24"/>
        <v>40760.892673322611</v>
      </c>
      <c r="I14" s="43">
        <f t="shared" si="25"/>
        <v>17.550415444420651</v>
      </c>
      <c r="J14" s="43">
        <f t="shared" si="26"/>
        <v>-17.550415444420651</v>
      </c>
      <c r="K14" s="87">
        <f t="shared" si="2"/>
        <v>40760.896277153988</v>
      </c>
      <c r="L14" s="88">
        <f t="shared" si="27"/>
        <v>12.360898260958493</v>
      </c>
      <c r="M14" s="88">
        <f t="shared" si="28"/>
        <v>-12.360898260958493</v>
      </c>
      <c r="N14" s="105">
        <f t="shared" si="29"/>
        <v>40760.900430721995</v>
      </c>
      <c r="O14" s="88">
        <f t="shared" si="30"/>
        <v>6.3797603314742446</v>
      </c>
      <c r="P14" s="88">
        <f t="shared" si="31"/>
        <v>-6.3797603314742446</v>
      </c>
      <c r="Q14" s="102">
        <v>18.532599999999999</v>
      </c>
      <c r="R14" s="102">
        <v>7.2203809999999997</v>
      </c>
      <c r="S14" s="102">
        <v>-19.96</v>
      </c>
      <c r="T14" s="102">
        <v>598.39800000000002</v>
      </c>
      <c r="U14" s="89">
        <f t="shared" si="3"/>
        <v>-119.44024080000001</v>
      </c>
      <c r="V14" s="90" t="e">
        <f t="shared" si="4"/>
        <v>#N/A</v>
      </c>
      <c r="W14" s="85">
        <f t="shared" si="5"/>
        <v>-119.44024080000001</v>
      </c>
      <c r="X14" s="85">
        <f t="shared" si="6"/>
        <v>8160.8482292773188</v>
      </c>
      <c r="Y14" s="85">
        <f t="shared" si="7"/>
        <v>29757.69711928062</v>
      </c>
      <c r="Z14" s="85">
        <f t="shared" si="8"/>
        <v>5042.5882918378675</v>
      </c>
      <c r="AA14" s="85">
        <f t="shared" si="9"/>
        <v>28.177877218576295</v>
      </c>
      <c r="AB14" s="85">
        <f t="shared" si="32"/>
        <v>9.2598833326609782</v>
      </c>
      <c r="AC14" s="85">
        <f t="shared" si="10"/>
        <v>-1.2236989911432077</v>
      </c>
      <c r="AD14" s="85">
        <f t="shared" si="33"/>
        <v>70.112787586922508</v>
      </c>
      <c r="AE14" s="85">
        <f t="shared" si="11"/>
        <v>-0.61184949557160384</v>
      </c>
      <c r="AF14" s="85">
        <f t="shared" si="12"/>
        <v>0.22796579782006435</v>
      </c>
      <c r="AG14" s="85">
        <f t="shared" si="13"/>
        <v>0.8312539302897155</v>
      </c>
      <c r="AH14" s="85">
        <f t="shared" si="14"/>
        <v>10644.584646129168</v>
      </c>
      <c r="AI14" s="85">
        <f t="shared" si="34"/>
        <v>38814.387544137317</v>
      </c>
      <c r="AJ14" s="85">
        <f t="shared" si="15"/>
        <v>4359.8815653996207</v>
      </c>
      <c r="AK14" s="85">
        <f t="shared" si="16"/>
        <v>21761.352194177409</v>
      </c>
      <c r="AL14" s="85">
        <f t="shared" si="17"/>
        <v>24.575209143468435</v>
      </c>
      <c r="AM14" s="85">
        <f t="shared" si="18"/>
        <v>33.639101741999788</v>
      </c>
      <c r="AN14" s="85">
        <f t="shared" si="35"/>
        <v>28.449584560591632</v>
      </c>
      <c r="AO14" s="85">
        <f t="shared" si="36"/>
        <v>39.620239674502059</v>
      </c>
      <c r="AP14" s="31" t="s">
        <v>15</v>
      </c>
      <c r="AQ14" s="92" t="s">
        <v>18</v>
      </c>
      <c r="AR14" s="31" t="s">
        <v>24</v>
      </c>
      <c r="AT14" s="93">
        <f t="shared" si="19"/>
        <v>-119.44024080000001</v>
      </c>
      <c r="AU14" s="93">
        <f t="shared" si="20"/>
        <v>14265.971122361987</v>
      </c>
      <c r="AV14" s="93">
        <f t="shared" si="21"/>
        <v>-1703931.0261007622</v>
      </c>
    </row>
    <row r="15" spans="1:48" s="32" customFormat="1" x14ac:dyDescent="0.3">
      <c r="A15" s="83" t="s">
        <v>23</v>
      </c>
      <c r="B15" s="84">
        <v>36992.902777777781</v>
      </c>
      <c r="C15" s="84">
        <v>36992.934027777781</v>
      </c>
      <c r="D15" s="85">
        <f t="shared" si="0"/>
        <v>0.75</v>
      </c>
      <c r="E15" s="42">
        <f t="shared" si="1"/>
        <v>36992.930203510019</v>
      </c>
      <c r="F15" s="43">
        <f t="shared" si="22"/>
        <v>5.506945577217266</v>
      </c>
      <c r="G15" s="43">
        <f t="shared" si="23"/>
        <v>-5.506945577217266</v>
      </c>
      <c r="H15" s="105">
        <f t="shared" si="24"/>
        <v>36992.934463218218</v>
      </c>
      <c r="I15" s="43">
        <f t="shared" si="25"/>
        <v>0.62703422969207168</v>
      </c>
      <c r="J15" s="43">
        <f t="shared" si="26"/>
        <v>0.62703422969207168</v>
      </c>
      <c r="K15" s="87">
        <f t="shared" si="2"/>
        <v>36992.928650415437</v>
      </c>
      <c r="L15" s="88">
        <f t="shared" si="27"/>
        <v>7.7434017753694206</v>
      </c>
      <c r="M15" s="88">
        <f t="shared" si="28"/>
        <v>-7.7434017753694206</v>
      </c>
      <c r="N15" s="105">
        <f t="shared" si="29"/>
        <v>36992.933918280178</v>
      </c>
      <c r="O15" s="88">
        <f t="shared" si="30"/>
        <v>0.15767654869705439</v>
      </c>
      <c r="P15" s="88">
        <f t="shared" si="31"/>
        <v>-0.15767654869705439</v>
      </c>
      <c r="Q15" s="102">
        <v>3.4745200000000001</v>
      </c>
      <c r="R15" s="102">
        <v>-8.5343</v>
      </c>
      <c r="S15" s="102">
        <v>-14.372</v>
      </c>
      <c r="T15" s="102">
        <v>727.26</v>
      </c>
      <c r="U15" s="89">
        <f t="shared" si="3"/>
        <v>-104.5218072</v>
      </c>
      <c r="V15" s="90" t="e">
        <f t="shared" si="4"/>
        <v>#N/A</v>
      </c>
      <c r="W15" s="85">
        <f t="shared" si="5"/>
        <v>-104.5218072</v>
      </c>
      <c r="X15" s="85">
        <f t="shared" si="6"/>
        <v>4977.8713886559599</v>
      </c>
      <c r="Y15" s="85">
        <f t="shared" si="7"/>
        <v>25720.712356409971</v>
      </c>
      <c r="Z15" s="85">
        <f t="shared" si="8"/>
        <v>6540.1283105828788</v>
      </c>
      <c r="AA15" s="85">
        <f t="shared" si="9"/>
        <v>17.072227438749753</v>
      </c>
      <c r="AB15" s="85">
        <f t="shared" si="32"/>
        <v>6.6302024855020409</v>
      </c>
      <c r="AC15" s="85">
        <f t="shared" si="10"/>
        <v>-1.0349375046711857</v>
      </c>
      <c r="AD15" s="85">
        <f t="shared" si="33"/>
        <v>59.297551077459865</v>
      </c>
      <c r="AE15" s="85">
        <f t="shared" si="11"/>
        <v>-0.51746875233559286</v>
      </c>
      <c r="AF15" s="85">
        <f t="shared" si="12"/>
        <v>0.15306269212773047</v>
      </c>
      <c r="AG15" s="85">
        <f t="shared" si="13"/>
        <v>0.79087649505907831</v>
      </c>
      <c r="AH15" s="85">
        <f t="shared" si="14"/>
        <v>6637.1618515412792</v>
      </c>
      <c r="AI15" s="85">
        <f t="shared" si="34"/>
        <v>34294.283141879961</v>
      </c>
      <c r="AJ15" s="85">
        <f t="shared" si="15"/>
        <v>4368.6965707447998</v>
      </c>
      <c r="AK15" s="85">
        <f t="shared" si="16"/>
        <v>21294.805476307141</v>
      </c>
      <c r="AL15" s="85">
        <f t="shared" si="17"/>
        <v>39.493054427144664</v>
      </c>
      <c r="AM15" s="85">
        <f t="shared" si="18"/>
        <v>37.256598229286894</v>
      </c>
      <c r="AN15" s="85">
        <f t="shared" si="35"/>
        <v>45.627034231823515</v>
      </c>
      <c r="AO15" s="85">
        <f t="shared" si="36"/>
        <v>44.84232345535554</v>
      </c>
      <c r="AP15" s="31" t="s">
        <v>15</v>
      </c>
      <c r="AQ15" s="92" t="s">
        <v>18</v>
      </c>
      <c r="AR15" s="31" t="s">
        <v>24</v>
      </c>
      <c r="AT15" s="93">
        <f t="shared" si="19"/>
        <v>-104.5218072</v>
      </c>
      <c r="AU15" s="93">
        <f t="shared" si="20"/>
        <v>10924.808180353972</v>
      </c>
      <c r="AV15" s="93">
        <f t="shared" si="21"/>
        <v>-1141880.6943239407</v>
      </c>
    </row>
    <row r="16" spans="1:48" s="32" customFormat="1" x14ac:dyDescent="0.3">
      <c r="A16" s="83" t="s">
        <v>23</v>
      </c>
      <c r="B16" s="84">
        <v>40812.814583333333</v>
      </c>
      <c r="C16" s="84">
        <v>40812.82916666667</v>
      </c>
      <c r="D16" s="85">
        <f t="shared" si="0"/>
        <v>0.35000000009313226</v>
      </c>
      <c r="E16" s="42">
        <f t="shared" si="1"/>
        <v>40812.836488871937</v>
      </c>
      <c r="F16" s="43">
        <f t="shared" si="22"/>
        <v>10.543975584441796</v>
      </c>
      <c r="G16" s="43">
        <f t="shared" si="23"/>
        <v>10.543975584441796</v>
      </c>
      <c r="H16" s="105">
        <f t="shared" si="24"/>
        <v>40812.838848497609</v>
      </c>
      <c r="I16" s="43">
        <f t="shared" si="25"/>
        <v>13.94183655269444</v>
      </c>
      <c r="J16" s="43">
        <f t="shared" si="26"/>
        <v>13.94183655269444</v>
      </c>
      <c r="K16" s="87">
        <f t="shared" si="2"/>
        <v>40812.844925411991</v>
      </c>
      <c r="L16" s="88">
        <f t="shared" si="27"/>
        <v>22.692593262763694</v>
      </c>
      <c r="M16" s="88">
        <f t="shared" si="28"/>
        <v>22.692593262763694</v>
      </c>
      <c r="N16" s="105">
        <f t="shared" si="29"/>
        <v>40812.850643273283</v>
      </c>
      <c r="O16" s="88">
        <f t="shared" si="30"/>
        <v>30.926313522504643</v>
      </c>
      <c r="P16" s="88">
        <f t="shared" si="31"/>
        <v>30.926313522504643</v>
      </c>
      <c r="Q16" s="102">
        <v>-1.1881999999999999</v>
      </c>
      <c r="R16" s="102">
        <v>4.8045499999999999</v>
      </c>
      <c r="S16" s="102">
        <v>-15.144</v>
      </c>
      <c r="T16" s="102">
        <v>645.18100000000004</v>
      </c>
      <c r="U16" s="89">
        <f t="shared" si="3"/>
        <v>-97.706210640000009</v>
      </c>
      <c r="V16" s="90" t="e">
        <f t="shared" si="4"/>
        <v>#N/A</v>
      </c>
      <c r="W16" s="85">
        <f t="shared" si="5"/>
        <v>-97.706210640000009</v>
      </c>
      <c r="X16" s="85">
        <f t="shared" si="6"/>
        <v>3033.381021801471</v>
      </c>
      <c r="Y16" s="85">
        <f t="shared" si="7"/>
        <v>10365.503183123828</v>
      </c>
      <c r="Z16" s="85">
        <f t="shared" si="8"/>
        <v>5574.964322627372</v>
      </c>
      <c r="AA16" s="85">
        <f t="shared" si="9"/>
        <v>15.932239514346374</v>
      </c>
      <c r="AB16" s="85">
        <f t="shared" si="32"/>
        <v>6.3316643526048715</v>
      </c>
      <c r="AC16" s="85">
        <f t="shared" si="10"/>
        <v>-1.2635829679455881</v>
      </c>
      <c r="AD16" s="85">
        <f t="shared" si="33"/>
        <v>72.397971127896582</v>
      </c>
      <c r="AE16" s="85">
        <f t="shared" si="11"/>
        <v>-0.63179148397279405</v>
      </c>
      <c r="AF16" s="85">
        <f t="shared" si="12"/>
        <v>0.24552682280424676</v>
      </c>
      <c r="AG16" s="85">
        <f t="shared" si="13"/>
        <v>0.83900078659035848</v>
      </c>
      <c r="AH16" s="85">
        <f t="shared" si="14"/>
        <v>8666.8029171266062</v>
      </c>
      <c r="AI16" s="85">
        <f t="shared" si="34"/>
        <v>29615.723372473283</v>
      </c>
      <c r="AJ16" s="85">
        <f t="shared" si="15"/>
        <v>4556.4236605457081</v>
      </c>
      <c r="AK16" s="85">
        <f t="shared" si="16"/>
        <v>21566.462596466401</v>
      </c>
      <c r="AL16" s="85">
        <f t="shared" si="17"/>
        <v>31.543975586718513</v>
      </c>
      <c r="AM16" s="85">
        <f t="shared" si="18"/>
        <v>43.692593272622801</v>
      </c>
      <c r="AN16" s="85">
        <f t="shared" si="35"/>
        <v>34.941836557052895</v>
      </c>
      <c r="AO16" s="85">
        <f t="shared" si="36"/>
        <v>51.926313532057385</v>
      </c>
      <c r="AP16" s="31" t="s">
        <v>32</v>
      </c>
      <c r="AQ16" s="92" t="s">
        <v>18</v>
      </c>
      <c r="AR16" s="31" t="s">
        <v>24</v>
      </c>
      <c r="AT16" s="93">
        <f t="shared" si="19"/>
        <v>-97.706210640000009</v>
      </c>
      <c r="AU16" s="93">
        <f t="shared" si="20"/>
        <v>9546.5035976280506</v>
      </c>
      <c r="AV16" s="93">
        <f t="shared" si="21"/>
        <v>-932752.69138536416</v>
      </c>
    </row>
    <row r="17" spans="1:48" s="32" customFormat="1" x14ac:dyDescent="0.3">
      <c r="A17" s="83" t="s">
        <v>23</v>
      </c>
      <c r="B17" s="84">
        <v>37185.8125</v>
      </c>
      <c r="C17" s="84">
        <v>37185.864583333336</v>
      </c>
      <c r="D17" s="85">
        <f t="shared" si="0"/>
        <v>1.2500000000582077</v>
      </c>
      <c r="E17" s="42">
        <f t="shared" si="1"/>
        <v>37185.849133765296</v>
      </c>
      <c r="F17" s="43">
        <f t="shared" si="22"/>
        <v>22.247377977473661</v>
      </c>
      <c r="G17" s="43">
        <f t="shared" si="23"/>
        <v>-22.247377977473661</v>
      </c>
      <c r="H17" s="105">
        <f t="shared" si="24"/>
        <v>37185.848899193319</v>
      </c>
      <c r="I17" s="43">
        <f t="shared" si="25"/>
        <v>22.585161624010652</v>
      </c>
      <c r="J17" s="43">
        <f t="shared" si="26"/>
        <v>-22.585161624010652</v>
      </c>
      <c r="K17" s="87">
        <f t="shared" si="2"/>
        <v>37185.843819590227</v>
      </c>
      <c r="L17" s="88">
        <f t="shared" si="27"/>
        <v>29.89979007630609</v>
      </c>
      <c r="M17" s="88">
        <f t="shared" si="28"/>
        <v>-29.89979007630609</v>
      </c>
      <c r="N17" s="105">
        <f t="shared" si="29"/>
        <v>37185.848006188033</v>
      </c>
      <c r="O17" s="88">
        <f t="shared" si="30"/>
        <v>23.871089236345142</v>
      </c>
      <c r="P17" s="88">
        <f t="shared" si="31"/>
        <v>-23.871089236345142</v>
      </c>
      <c r="Q17" s="102">
        <v>7.9121600000000001</v>
      </c>
      <c r="R17" s="102">
        <v>-8.0545000000000009</v>
      </c>
      <c r="S17" s="102">
        <v>-13.452</v>
      </c>
      <c r="T17" s="102">
        <v>650.36800000000005</v>
      </c>
      <c r="U17" s="89">
        <f t="shared" si="3"/>
        <v>-87.487503360000005</v>
      </c>
      <c r="V17" s="90" t="e">
        <f t="shared" si="4"/>
        <v>#N/A</v>
      </c>
      <c r="W17" s="85">
        <f t="shared" si="5"/>
        <v>-87.487503360000005</v>
      </c>
      <c r="X17" s="85">
        <f t="shared" si="6"/>
        <v>7222.048670027425</v>
      </c>
      <c r="Y17" s="85">
        <f t="shared" si="7"/>
        <v>37597.010046691321</v>
      </c>
      <c r="Z17" s="85">
        <f t="shared" si="8"/>
        <v>5634.804932267296</v>
      </c>
      <c r="AA17" s="85">
        <f t="shared" si="9"/>
        <v>17.562276336386468</v>
      </c>
      <c r="AB17" s="85">
        <f t="shared" si="32"/>
        <v>6.7564806537995654</v>
      </c>
      <c r="AC17" s="85">
        <f t="shared" si="10"/>
        <v>-1.0312901581817324</v>
      </c>
      <c r="AD17" s="85">
        <f t="shared" si="33"/>
        <v>59.08857351719233</v>
      </c>
      <c r="AE17" s="85">
        <f t="shared" si="11"/>
        <v>-0.51564507909086621</v>
      </c>
      <c r="AF17" s="85">
        <f t="shared" si="12"/>
        <v>0.15175778327150019</v>
      </c>
      <c r="AG17" s="85">
        <f t="shared" si="13"/>
        <v>0.79003052499513693</v>
      </c>
      <c r="AH17" s="85">
        <f t="shared" si="14"/>
        <v>5777.6389357528979</v>
      </c>
      <c r="AI17" s="85">
        <f t="shared" si="34"/>
        <v>30077.60803595246</v>
      </c>
      <c r="AJ17" s="85">
        <f t="shared" si="15"/>
        <v>5079.7600494774015</v>
      </c>
      <c r="AK17" s="85">
        <f t="shared" si="16"/>
        <v>22608.440610011508</v>
      </c>
      <c r="AL17" s="85">
        <f t="shared" si="17"/>
        <v>52.752622023952554</v>
      </c>
      <c r="AM17" s="85">
        <f t="shared" si="18"/>
        <v>45.100209929567107</v>
      </c>
      <c r="AN17" s="85">
        <f t="shared" si="35"/>
        <v>52.414838374278581</v>
      </c>
      <c r="AO17" s="85">
        <f t="shared" si="36"/>
        <v>51.128910765760281</v>
      </c>
      <c r="AP17" s="31" t="s">
        <v>15</v>
      </c>
      <c r="AQ17" s="92" t="s">
        <v>18</v>
      </c>
      <c r="AR17" s="31" t="s">
        <v>24</v>
      </c>
      <c r="AT17" s="93">
        <f t="shared" si="19"/>
        <v>-87.487503360000005</v>
      </c>
      <c r="AU17" s="93">
        <f t="shared" si="20"/>
        <v>7654.0632441660118</v>
      </c>
      <c r="AV17" s="93">
        <f t="shared" si="21"/>
        <v>-669634.88379162655</v>
      </c>
    </row>
    <row r="18" spans="1:48" s="32" customFormat="1" x14ac:dyDescent="0.3">
      <c r="A18" s="83" t="s">
        <v>22</v>
      </c>
      <c r="B18" s="84">
        <v>45422.711805555555</v>
      </c>
      <c r="C18" s="84">
        <v>45422.743750000001</v>
      </c>
      <c r="D18" s="85">
        <f t="shared" si="0"/>
        <v>0.76666666672099382</v>
      </c>
      <c r="E18" s="42">
        <f t="shared" si="1"/>
        <v>45422.73758951512</v>
      </c>
      <c r="F18" s="43">
        <f t="shared" si="22"/>
        <v>8.8710982294287533</v>
      </c>
      <c r="G18" s="43">
        <f t="shared" si="23"/>
        <v>-8.8710982294287533</v>
      </c>
      <c r="H18" s="105">
        <f t="shared" si="24"/>
        <v>45422.736748494339</v>
      </c>
      <c r="I18" s="43">
        <f t="shared" si="25"/>
        <v>10.082168154185638</v>
      </c>
      <c r="J18" s="43">
        <f t="shared" si="26"/>
        <v>-10.082168154185638</v>
      </c>
      <c r="K18" s="87">
        <f t="shared" si="2"/>
        <v>45422.749288813779</v>
      </c>
      <c r="L18" s="88">
        <f t="shared" si="27"/>
        <v>7.9758918390143663</v>
      </c>
      <c r="M18" s="88">
        <f t="shared" si="28"/>
        <v>7.9758918390143663</v>
      </c>
      <c r="N18" s="105">
        <f t="shared" si="29"/>
        <v>45422.753749242147</v>
      </c>
      <c r="O18" s="88">
        <f t="shared" si="30"/>
        <v>14.398908689618111</v>
      </c>
      <c r="P18" s="88">
        <f t="shared" si="31"/>
        <v>14.398908689618111</v>
      </c>
      <c r="Q18" s="102">
        <v>-3.7639</v>
      </c>
      <c r="R18" s="102">
        <v>-3.4548000000000001</v>
      </c>
      <c r="S18" s="102">
        <v>-15</v>
      </c>
      <c r="T18" s="102">
        <v>570</v>
      </c>
      <c r="U18" s="89">
        <f t="shared" si="3"/>
        <v>-85.5</v>
      </c>
      <c r="V18" s="90" t="e">
        <f t="shared" si="4"/>
        <v>#N/A</v>
      </c>
      <c r="W18" s="85">
        <f t="shared" si="5"/>
        <v>-85.5</v>
      </c>
      <c r="X18" s="85">
        <f t="shared" si="6"/>
        <v>6463.9965681417971</v>
      </c>
      <c r="Y18" s="85">
        <f t="shared" si="7"/>
        <v>19520.337661080368</v>
      </c>
      <c r="Z18" s="85">
        <f t="shared" si="8"/>
        <v>4726.0662748543236</v>
      </c>
      <c r="AA18" s="85">
        <f t="shared" si="9"/>
        <v>15.846216780354862</v>
      </c>
      <c r="AB18" s="85">
        <f t="shared" si="32"/>
        <v>6.308852811960195</v>
      </c>
      <c r="AC18" s="85">
        <f t="shared" si="10"/>
        <v>-1.3444240375539647</v>
      </c>
      <c r="AD18" s="85">
        <f t="shared" si="33"/>
        <v>77.029823227779872</v>
      </c>
      <c r="AE18" s="85">
        <f t="shared" si="11"/>
        <v>-0.67221201877698233</v>
      </c>
      <c r="AF18" s="85">
        <f t="shared" si="12"/>
        <v>0.2827771629938951</v>
      </c>
      <c r="AG18" s="85">
        <f t="shared" si="13"/>
        <v>0.85394626161907106</v>
      </c>
      <c r="AH18" s="85">
        <f t="shared" si="14"/>
        <v>8431.2998708918458</v>
      </c>
      <c r="AI18" s="85">
        <f t="shared" si="34"/>
        <v>25461.309990909296</v>
      </c>
      <c r="AJ18" s="85">
        <f t="shared" si="15"/>
        <v>5217.4150787750114</v>
      </c>
      <c r="AK18" s="85">
        <f t="shared" si="16"/>
        <v>22904.948571368921</v>
      </c>
      <c r="AL18" s="85">
        <f t="shared" si="17"/>
        <v>37.128901773171947</v>
      </c>
      <c r="AM18" s="85">
        <f t="shared" si="18"/>
        <v>53.975891844245808</v>
      </c>
      <c r="AN18" s="85">
        <f t="shared" si="35"/>
        <v>35.917831845588708</v>
      </c>
      <c r="AO18" s="85">
        <f t="shared" si="36"/>
        <v>60.398908691924966</v>
      </c>
      <c r="AP18" s="31" t="s">
        <v>32</v>
      </c>
      <c r="AQ18" s="92" t="s">
        <v>33</v>
      </c>
      <c r="AR18" s="31" t="s">
        <v>24</v>
      </c>
      <c r="AT18" s="93">
        <f t="shared" si="19"/>
        <v>-85.5</v>
      </c>
      <c r="AU18" s="93">
        <f t="shared" si="20"/>
        <v>7310.25</v>
      </c>
      <c r="AV18" s="93">
        <f t="shared" si="21"/>
        <v>-625026.375</v>
      </c>
    </row>
    <row r="19" spans="1:48" s="32" customFormat="1" x14ac:dyDescent="0.3">
      <c r="A19" s="83" t="s">
        <v>36</v>
      </c>
      <c r="B19" s="84">
        <v>40812.640972222223</v>
      </c>
      <c r="C19" s="84">
        <v>40812.694444444445</v>
      </c>
      <c r="D19" s="85">
        <f t="shared" si="0"/>
        <v>1.2833333333255723</v>
      </c>
      <c r="E19" s="42">
        <f t="shared" si="1"/>
        <v>40812.724206205312</v>
      </c>
      <c r="F19" s="43">
        <f t="shared" si="22"/>
        <v>42.856935648014769</v>
      </c>
      <c r="G19" s="43">
        <f t="shared" si="23"/>
        <v>42.856935648014769</v>
      </c>
      <c r="H19" s="105">
        <f t="shared" si="24"/>
        <v>40812.718427150874</v>
      </c>
      <c r="I19" s="43">
        <f t="shared" si="25"/>
        <v>34.535097257466987</v>
      </c>
      <c r="J19" s="43">
        <f t="shared" si="26"/>
        <v>34.535097257466987</v>
      </c>
      <c r="K19" s="87">
        <f t="shared" si="2"/>
        <v>40812.677903487631</v>
      </c>
      <c r="L19" s="88">
        <f t="shared" si="27"/>
        <v>23.818977812770754</v>
      </c>
      <c r="M19" s="88">
        <f t="shared" si="28"/>
        <v>-23.818977812770754</v>
      </c>
      <c r="N19" s="105">
        <f t="shared" si="29"/>
        <v>40812.681495835801</v>
      </c>
      <c r="O19" s="88">
        <f t="shared" si="30"/>
        <v>18.645996447885409</v>
      </c>
      <c r="P19" s="88">
        <f t="shared" si="31"/>
        <v>-18.645996447885409</v>
      </c>
      <c r="Q19" s="102">
        <v>-7.0663</v>
      </c>
      <c r="R19" s="102">
        <v>15.1759</v>
      </c>
      <c r="S19" s="102">
        <v>-14.843</v>
      </c>
      <c r="T19" s="102">
        <v>557.85500000000002</v>
      </c>
      <c r="U19" s="89">
        <f t="shared" si="3"/>
        <v>-82.80241765000001</v>
      </c>
      <c r="V19" s="90" t="e">
        <f t="shared" si="4"/>
        <v>#N/A</v>
      </c>
      <c r="W19" s="85">
        <f t="shared" si="5"/>
        <v>-82.80241765000001</v>
      </c>
      <c r="X19" s="85">
        <f t="shared" si="6"/>
        <v>3484.4366512083025</v>
      </c>
      <c r="Y19" s="85">
        <f t="shared" si="7"/>
        <v>33820.393278608666</v>
      </c>
      <c r="Z19" s="85">
        <f t="shared" si="8"/>
        <v>4592.2808460158394</v>
      </c>
      <c r="AA19" s="85">
        <f t="shared" si="9"/>
        <v>22.373090655964365</v>
      </c>
      <c r="AB19" s="85">
        <f t="shared" si="32"/>
        <v>7.9399418466978666</v>
      </c>
      <c r="AC19" s="85">
        <f t="shared" si="10"/>
        <v>-0.77430893780242105</v>
      </c>
      <c r="AD19" s="85">
        <f t="shared" si="33"/>
        <v>44.364634175336491</v>
      </c>
      <c r="AE19" s="85">
        <f t="shared" si="11"/>
        <v>-0.38715446890121052</v>
      </c>
      <c r="AF19" s="85">
        <f t="shared" si="12"/>
        <v>7.4464167221644603E-2</v>
      </c>
      <c r="AG19" s="85">
        <f t="shared" si="13"/>
        <v>0.72275884818476743</v>
      </c>
      <c r="AH19" s="85">
        <f t="shared" si="14"/>
        <v>2715.1454425163961</v>
      </c>
      <c r="AI19" s="85">
        <f t="shared" si="34"/>
        <v>26353.553204270025</v>
      </c>
      <c r="AJ19" s="85">
        <f t="shared" si="15"/>
        <v>5423.8168760926128</v>
      </c>
      <c r="AK19" s="85">
        <f t="shared" si="16"/>
        <v>23358.48162539264</v>
      </c>
      <c r="AL19" s="85">
        <f t="shared" si="17"/>
        <v>119.85693564317837</v>
      </c>
      <c r="AM19" s="85">
        <f t="shared" si="18"/>
        <v>53.181022181725162</v>
      </c>
      <c r="AN19" s="85">
        <f t="shared" si="35"/>
        <v>111.53509725864282</v>
      </c>
      <c r="AO19" s="85">
        <f t="shared" si="36"/>
        <v>58.354003553059954</v>
      </c>
      <c r="AP19" s="31" t="s">
        <v>32</v>
      </c>
      <c r="AQ19" s="92" t="s">
        <v>18</v>
      </c>
      <c r="AR19" s="31" t="s">
        <v>24</v>
      </c>
      <c r="AT19" s="93">
        <f t="shared" si="19"/>
        <v>-82.80241765000001</v>
      </c>
      <c r="AU19" s="93">
        <f t="shared" si="20"/>
        <v>6856.240368685033</v>
      </c>
      <c r="AV19" s="93">
        <f t="shared" si="21"/>
        <v>-567713.2785166481</v>
      </c>
    </row>
    <row r="20" spans="1:48" s="32" customFormat="1" x14ac:dyDescent="0.3">
      <c r="A20" s="83" t="s">
        <v>23</v>
      </c>
      <c r="B20" s="84">
        <v>41426.209027777775</v>
      </c>
      <c r="C20" s="84">
        <v>41426.238194444442</v>
      </c>
      <c r="D20" s="85">
        <f t="shared" si="0"/>
        <v>0.70000000001164153</v>
      </c>
      <c r="E20" s="42">
        <f t="shared" si="1"/>
        <v>41426.251956619359</v>
      </c>
      <c r="F20" s="43">
        <f t="shared" si="22"/>
        <v>19.817531879525632</v>
      </c>
      <c r="G20" s="43">
        <f t="shared" si="23"/>
        <v>19.817531879525632</v>
      </c>
      <c r="H20" s="105">
        <f t="shared" si="24"/>
        <v>41426.248738618568</v>
      </c>
      <c r="I20" s="43">
        <f t="shared" si="25"/>
        <v>15.183610740350559</v>
      </c>
      <c r="J20" s="43">
        <f t="shared" si="26"/>
        <v>15.183610740350559</v>
      </c>
      <c r="K20" s="87">
        <f t="shared" si="2"/>
        <v>41426.248136916052</v>
      </c>
      <c r="L20" s="88">
        <f t="shared" si="27"/>
        <v>14.317159118363634</v>
      </c>
      <c r="M20" s="88">
        <f t="shared" si="28"/>
        <v>14.317159118363634</v>
      </c>
      <c r="N20" s="105">
        <f t="shared" si="29"/>
        <v>41426.251809158945</v>
      </c>
      <c r="O20" s="88">
        <f t="shared" si="30"/>
        <v>19.605188883142546</v>
      </c>
      <c r="P20" s="88">
        <f t="shared" si="31"/>
        <v>19.605188883142546</v>
      </c>
      <c r="Q20" s="102">
        <f>-7.5142</f>
        <v>-7.5141999999999998</v>
      </c>
      <c r="R20" s="102">
        <v>8.1367399999999996</v>
      </c>
      <c r="S20" s="102">
        <v>-15.26</v>
      </c>
      <c r="T20" s="102">
        <v>540</v>
      </c>
      <c r="U20" s="89">
        <f t="shared" si="3"/>
        <v>-82.403999999999996</v>
      </c>
      <c r="V20" s="90" t="e">
        <f t="shared" si="4"/>
        <v>#N/A</v>
      </c>
      <c r="W20" s="85">
        <f t="shared" si="5"/>
        <v>-82.403999999999996</v>
      </c>
      <c r="X20" s="85">
        <f t="shared" si="6"/>
        <v>3707.0727952371726</v>
      </c>
      <c r="Y20" s="85">
        <f t="shared" si="7"/>
        <v>17473.929643266936</v>
      </c>
      <c r="Z20" s="85">
        <f t="shared" si="8"/>
        <v>4397.3565388837505</v>
      </c>
      <c r="AA20" s="85">
        <f t="shared" si="9"/>
        <v>18.855697798479905</v>
      </c>
      <c r="AB20" s="85">
        <f t="shared" si="32"/>
        <v>7.0842694748889601</v>
      </c>
      <c r="AC20" s="85">
        <f t="shared" si="10"/>
        <v>-1.0809373018934783</v>
      </c>
      <c r="AD20" s="85">
        <f t="shared" si="33"/>
        <v>61.933145316754832</v>
      </c>
      <c r="AE20" s="85">
        <f t="shared" si="11"/>
        <v>-0.54046865094673913</v>
      </c>
      <c r="AF20" s="85">
        <f t="shared" si="12"/>
        <v>0.16999898241258748</v>
      </c>
      <c r="AG20" s="85">
        <f t="shared" si="13"/>
        <v>0.80131964549524737</v>
      </c>
      <c r="AH20" s="85">
        <f t="shared" si="14"/>
        <v>5295.8182788221729</v>
      </c>
      <c r="AI20" s="85">
        <f t="shared" si="34"/>
        <v>24962.75663282333</v>
      </c>
      <c r="AJ20" s="85">
        <f t="shared" si="15"/>
        <v>5456.2402547610618</v>
      </c>
      <c r="AK20" s="85">
        <f t="shared" si="16"/>
        <v>23430.525622601512</v>
      </c>
      <c r="AL20" s="85">
        <f t="shared" si="17"/>
        <v>61.817531880734037</v>
      </c>
      <c r="AM20" s="85">
        <f t="shared" si="18"/>
        <v>56.317159119661248</v>
      </c>
      <c r="AN20" s="85">
        <f t="shared" si="35"/>
        <v>57.183610739335919</v>
      </c>
      <c r="AO20" s="85">
        <f t="shared" si="36"/>
        <v>61.605188879486178</v>
      </c>
      <c r="AP20" s="31" t="s">
        <v>15</v>
      </c>
      <c r="AQ20" s="92" t="s">
        <v>18</v>
      </c>
      <c r="AR20" s="31" t="s">
        <v>24</v>
      </c>
      <c r="AT20" s="93">
        <f t="shared" si="19"/>
        <v>-82.403999999999996</v>
      </c>
      <c r="AU20" s="93">
        <f t="shared" si="20"/>
        <v>6790.4192159999993</v>
      </c>
      <c r="AV20" s="93">
        <f t="shared" si="21"/>
        <v>-559557.70507526398</v>
      </c>
    </row>
    <row r="21" spans="1:48" s="32" customFormat="1" x14ac:dyDescent="0.3">
      <c r="A21" s="83" t="s">
        <v>23</v>
      </c>
      <c r="B21" s="84">
        <v>40795.628472222219</v>
      </c>
      <c r="C21" s="84">
        <v>40795.676388888889</v>
      </c>
      <c r="D21" s="85">
        <f t="shared" si="0"/>
        <v>1.1500000000814907</v>
      </c>
      <c r="E21" s="42">
        <f t="shared" si="1"/>
        <v>40795.670071492423</v>
      </c>
      <c r="F21" s="43">
        <f t="shared" si="22"/>
        <v>9.0970509115140885</v>
      </c>
      <c r="G21" s="43">
        <f t="shared" si="23"/>
        <v>-9.0970509115140885</v>
      </c>
      <c r="H21" s="105">
        <f t="shared" si="24"/>
        <v>40795.665531564584</v>
      </c>
      <c r="I21" s="43">
        <f t="shared" si="25"/>
        <v>15.634546999353915</v>
      </c>
      <c r="J21" s="43">
        <f t="shared" si="26"/>
        <v>-15.634546999353915</v>
      </c>
      <c r="K21" s="87">
        <f t="shared" si="2"/>
        <v>40795.675681709494</v>
      </c>
      <c r="L21" s="88">
        <f t="shared" si="27"/>
        <v>1.0183383291587234</v>
      </c>
      <c r="M21" s="88">
        <f t="shared" si="28"/>
        <v>-1.0183383291587234</v>
      </c>
      <c r="N21" s="105">
        <f t="shared" si="29"/>
        <v>40795.679100460373</v>
      </c>
      <c r="O21" s="88">
        <f t="shared" si="30"/>
        <v>3.9046629366930574</v>
      </c>
      <c r="P21" s="88">
        <f t="shared" si="31"/>
        <v>3.9046629366930574</v>
      </c>
      <c r="Q21" s="102">
        <v>-7.9200000000000007E-2</v>
      </c>
      <c r="R21" s="102">
        <v>6.3058100000000001</v>
      </c>
      <c r="S21" s="102">
        <v>-16.824999999999999</v>
      </c>
      <c r="T21" s="102">
        <v>475.291</v>
      </c>
      <c r="U21" s="89">
        <f t="shared" si="3"/>
        <v>-79.967710749999995</v>
      </c>
      <c r="V21" s="90" t="e">
        <f t="shared" si="4"/>
        <v>#N/A</v>
      </c>
      <c r="W21" s="85">
        <f t="shared" si="5"/>
        <v>-79.967710749999995</v>
      </c>
      <c r="X21" s="85">
        <f t="shared" si="6"/>
        <v>6525.9281631379263</v>
      </c>
      <c r="Y21" s="85">
        <f t="shared" si="7"/>
        <v>24257.853566830043</v>
      </c>
      <c r="Z21" s="85">
        <f t="shared" si="8"/>
        <v>3709.1931940541049</v>
      </c>
      <c r="AA21" s="85">
        <f t="shared" si="9"/>
        <v>17.968030982723178</v>
      </c>
      <c r="AB21" s="85">
        <f t="shared" si="32"/>
        <v>6.8601507374229156</v>
      </c>
      <c r="AC21" s="85">
        <f t="shared" si="10"/>
        <v>-1.2122114334727263</v>
      </c>
      <c r="AD21" s="85">
        <f t="shared" si="33"/>
        <v>69.454599015490786</v>
      </c>
      <c r="AE21" s="85">
        <f t="shared" si="11"/>
        <v>-0.60610571673636315</v>
      </c>
      <c r="AF21" s="85">
        <f t="shared" si="12"/>
        <v>0.22301359347993624</v>
      </c>
      <c r="AG21" s="85">
        <f t="shared" si="13"/>
        <v>0.82897496858862063</v>
      </c>
      <c r="AH21" s="85">
        <f t="shared" si="14"/>
        <v>5674.7201414569472</v>
      </c>
      <c r="AI21" s="85">
        <f t="shared" si="34"/>
        <v>21093.785708792257</v>
      </c>
      <c r="AJ21" s="85">
        <f t="shared" si="15"/>
        <v>5665.5411956210301</v>
      </c>
      <c r="AK21" s="85">
        <f t="shared" si="16"/>
        <v>23899.843392653667</v>
      </c>
      <c r="AL21" s="85">
        <f t="shared" si="17"/>
        <v>59.90294909062888</v>
      </c>
      <c r="AM21" s="85">
        <f t="shared" si="18"/>
        <v>67.981661677804368</v>
      </c>
      <c r="AN21" s="85">
        <f t="shared" si="35"/>
        <v>53.365453000943305</v>
      </c>
      <c r="AO21" s="85">
        <f t="shared" si="36"/>
        <v>72.904662944249552</v>
      </c>
      <c r="AP21" s="31" t="s">
        <v>32</v>
      </c>
      <c r="AQ21" s="92" t="s">
        <v>18</v>
      </c>
      <c r="AR21" s="31" t="s">
        <v>24</v>
      </c>
      <c r="AT21" s="93">
        <f t="shared" si="19"/>
        <v>-79.967710749999995</v>
      </c>
      <c r="AU21" s="93">
        <f t="shared" si="20"/>
        <v>6394.8347625956649</v>
      </c>
      <c r="AV21" s="93">
        <f t="shared" si="21"/>
        <v>-511380.29658929503</v>
      </c>
    </row>
    <row r="22" spans="1:48" s="32" customFormat="1" x14ac:dyDescent="0.3">
      <c r="A22" s="83" t="s">
        <v>23</v>
      </c>
      <c r="B22" s="84">
        <v>45422.769444444442</v>
      </c>
      <c r="C22" s="84">
        <v>45422.790277777778</v>
      </c>
      <c r="D22" s="85">
        <f t="shared" si="0"/>
        <v>0.50000000005820766</v>
      </c>
      <c r="E22" s="42">
        <f t="shared" si="1"/>
        <v>45422.795725103089</v>
      </c>
      <c r="F22" s="43">
        <f t="shared" si="22"/>
        <v>7.844148448202759</v>
      </c>
      <c r="G22" s="43">
        <f t="shared" si="23"/>
        <v>7.844148448202759</v>
      </c>
      <c r="H22" s="105">
        <f t="shared" si="24"/>
        <v>45422.791291542882</v>
      </c>
      <c r="I22" s="43">
        <f t="shared" si="25"/>
        <v>1.4598217501770705</v>
      </c>
      <c r="J22" s="43">
        <f t="shared" si="26"/>
        <v>1.4598217501770705</v>
      </c>
      <c r="K22" s="87">
        <f t="shared" si="2"/>
        <v>45422.80429891769</v>
      </c>
      <c r="L22" s="88">
        <f t="shared" si="27"/>
        <v>20.190441473387182</v>
      </c>
      <c r="M22" s="88">
        <f t="shared" si="28"/>
        <v>20.190441473387182</v>
      </c>
      <c r="N22" s="105">
        <f t="shared" si="29"/>
        <v>45422.805427634215</v>
      </c>
      <c r="O22" s="88">
        <f t="shared" si="30"/>
        <v>21.815793269779533</v>
      </c>
      <c r="P22" s="88">
        <f t="shared" si="31"/>
        <v>21.815793269779533</v>
      </c>
      <c r="Q22" s="102">
        <v>-7.1448</v>
      </c>
      <c r="R22" s="102">
        <v>-2.6471</v>
      </c>
      <c r="S22" s="102">
        <v>-10.797000000000001</v>
      </c>
      <c r="T22" s="102">
        <v>701.77599999999995</v>
      </c>
      <c r="U22" s="89">
        <f t="shared" si="3"/>
        <v>-75.770754719999999</v>
      </c>
      <c r="V22" s="90" t="e">
        <f t="shared" si="4"/>
        <v>#N/A</v>
      </c>
      <c r="W22" s="85">
        <f t="shared" si="5"/>
        <v>-75.770754719999999</v>
      </c>
      <c r="X22" s="85">
        <f t="shared" si="6"/>
        <v>4813.0280802288535</v>
      </c>
      <c r="Y22" s="85">
        <f t="shared" si="7"/>
        <v>14839.446048748992</v>
      </c>
      <c r="Z22" s="85">
        <f t="shared" si="8"/>
        <v>6236.3624647631268</v>
      </c>
      <c r="AA22" s="85">
        <f t="shared" si="9"/>
        <v>13.214783935047899</v>
      </c>
      <c r="AB22" s="85">
        <f t="shared" si="32"/>
        <v>5.589505370963443</v>
      </c>
      <c r="AC22" s="85">
        <f t="shared" si="10"/>
        <v>-1.3303687295500675</v>
      </c>
      <c r="AD22" s="85">
        <f t="shared" si="33"/>
        <v>76.224513399400109</v>
      </c>
      <c r="AE22" s="85">
        <f t="shared" si="11"/>
        <v>-0.66518436477503373</v>
      </c>
      <c r="AF22" s="85">
        <f t="shared" si="12"/>
        <v>0.27614912044472012</v>
      </c>
      <c r="AG22" s="85">
        <f t="shared" si="13"/>
        <v>0.85141825602107468</v>
      </c>
      <c r="AH22" s="85">
        <f t="shared" si="14"/>
        <v>9626.0561593370858</v>
      </c>
      <c r="AI22" s="85">
        <f t="shared" si="34"/>
        <v>29678.892094042905</v>
      </c>
      <c r="AJ22" s="85">
        <f t="shared" si="15"/>
        <v>6071.4983044145265</v>
      </c>
      <c r="AK22" s="85">
        <f t="shared" si="16"/>
        <v>24826.611611135369</v>
      </c>
      <c r="AL22" s="85">
        <f t="shared" si="17"/>
        <v>37.844148448221709</v>
      </c>
      <c r="AM22" s="85">
        <f t="shared" si="18"/>
        <v>50.190441474299888</v>
      </c>
      <c r="AN22" s="85">
        <f t="shared" si="35"/>
        <v>31.459821757707495</v>
      </c>
      <c r="AO22" s="85">
        <f t="shared" si="36"/>
        <v>51.815793273037954</v>
      </c>
      <c r="AP22" s="31" t="s">
        <v>32</v>
      </c>
      <c r="AQ22" s="92" t="s">
        <v>33</v>
      </c>
      <c r="AR22" s="31" t="s">
        <v>24</v>
      </c>
      <c r="AT22" s="93">
        <f t="shared" si="19"/>
        <v>-75.770754719999999</v>
      </c>
      <c r="AU22" s="93">
        <f t="shared" si="20"/>
        <v>5741.2072708384021</v>
      </c>
      <c r="AV22" s="93">
        <f t="shared" si="21"/>
        <v>-435015.60791537719</v>
      </c>
    </row>
    <row r="23" spans="1:48" s="32" customFormat="1" x14ac:dyDescent="0.3">
      <c r="A23" s="86" t="s">
        <v>23</v>
      </c>
      <c r="B23" s="84">
        <v>45552.052083333336</v>
      </c>
      <c r="C23" s="84">
        <v>45552.136111111111</v>
      </c>
      <c r="D23" s="85">
        <f t="shared" si="0"/>
        <v>2.0166666666045785</v>
      </c>
      <c r="E23" s="42">
        <f t="shared" si="1"/>
        <v>45552.15093776297</v>
      </c>
      <c r="F23" s="43">
        <f t="shared" si="22"/>
        <v>21.350378677016124</v>
      </c>
      <c r="G23" s="43">
        <f t="shared" si="23"/>
        <v>21.350378677016124</v>
      </c>
      <c r="H23" s="105">
        <f t="shared" si="24"/>
        <v>45552.081140112001</v>
      </c>
      <c r="I23" s="43">
        <f t="shared" si="25"/>
        <v>79.158238718518987</v>
      </c>
      <c r="J23" s="43">
        <f t="shared" si="26"/>
        <v>-79.158238718518987</v>
      </c>
      <c r="K23" s="87">
        <f t="shared" si="2"/>
        <v>45552.144961447593</v>
      </c>
      <c r="L23" s="88">
        <f t="shared" si="27"/>
        <v>12.744484534487128</v>
      </c>
      <c r="M23" s="88">
        <f t="shared" si="28"/>
        <v>12.744484534487128</v>
      </c>
      <c r="N23" s="105">
        <f t="shared" si="29"/>
        <v>45552.098584500738</v>
      </c>
      <c r="O23" s="88">
        <f t="shared" si="30"/>
        <v>54.038318936945871</v>
      </c>
      <c r="P23" s="88">
        <f t="shared" si="31"/>
        <v>-54.038318936945871</v>
      </c>
      <c r="Q23" s="102">
        <v>-7.4503000000000004</v>
      </c>
      <c r="R23" s="102">
        <v>3.48156</v>
      </c>
      <c r="S23" s="102">
        <v>-13.11</v>
      </c>
      <c r="T23" s="102">
        <v>536.68200000000002</v>
      </c>
      <c r="U23" s="89">
        <f t="shared" si="3"/>
        <v>-70.3590102</v>
      </c>
      <c r="V23" s="85">
        <f t="shared" ref="V23:V34" si="37">IF(AND(U23&gt;-75,U23&lt;0),U23,NA())</f>
        <v>-70.3590102</v>
      </c>
      <c r="W23" s="85" t="e">
        <f t="shared" si="5"/>
        <v>#N/A</v>
      </c>
      <c r="X23" s="85">
        <f t="shared" si="6"/>
        <v>14595.830502212732</v>
      </c>
      <c r="Y23" s="85">
        <f t="shared" si="7"/>
        <v>46314.566995823334</v>
      </c>
      <c r="Z23" s="85">
        <f t="shared" si="8"/>
        <v>4361.3677318178297</v>
      </c>
      <c r="AA23" s="85">
        <f t="shared" si="9"/>
        <v>15.475798206347871</v>
      </c>
      <c r="AB23" s="85">
        <f t="shared" si="32"/>
        <v>6.2101492641128608</v>
      </c>
      <c r="AC23" s="85">
        <f t="shared" si="10"/>
        <v>-1.3112225407611453</v>
      </c>
      <c r="AD23" s="85">
        <f t="shared" si="33"/>
        <v>75.127517588034181</v>
      </c>
      <c r="AE23" s="85">
        <f t="shared" si="11"/>
        <v>-0.65561127038057265</v>
      </c>
      <c r="AF23" s="85">
        <f t="shared" si="12"/>
        <v>0.26722060725656804</v>
      </c>
      <c r="AG23" s="85">
        <f t="shared" si="13"/>
        <v>0.84792754448420593</v>
      </c>
      <c r="AH23" s="85">
        <f t="shared" si="14"/>
        <v>7237.6019021464963</v>
      </c>
      <c r="AI23" s="85">
        <f t="shared" si="34"/>
        <v>22965.900990371527</v>
      </c>
      <c r="AJ23" s="85">
        <f t="shared" si="15"/>
        <v>17171.256190476175</v>
      </c>
      <c r="AK23" s="85">
        <f t="shared" si="16"/>
        <v>51192.709827149425</v>
      </c>
      <c r="AL23" s="85">
        <f t="shared" si="17"/>
        <v>142.35037866935124</v>
      </c>
      <c r="AM23" s="85">
        <f t="shared" si="18"/>
        <v>133.74448452585079</v>
      </c>
      <c r="AN23" s="85">
        <f t="shared" si="35"/>
        <v>41.84176127628875</v>
      </c>
      <c r="AO23" s="85">
        <f t="shared" si="36"/>
        <v>66.961681057602149</v>
      </c>
      <c r="AP23" s="31" t="s">
        <v>14</v>
      </c>
      <c r="AQ23" s="92" t="s">
        <v>17</v>
      </c>
      <c r="AR23" s="31" t="s">
        <v>24</v>
      </c>
      <c r="AT23" s="93">
        <f t="shared" si="19"/>
        <v>-70.3590102</v>
      </c>
      <c r="AU23" s="93">
        <f t="shared" si="20"/>
        <v>4950.3903163237037</v>
      </c>
      <c r="AV23" s="93">
        <f t="shared" si="21"/>
        <v>-348304.5627602007</v>
      </c>
    </row>
    <row r="24" spans="1:48" s="32" customFormat="1" x14ac:dyDescent="0.3">
      <c r="A24" s="86" t="s">
        <v>23</v>
      </c>
      <c r="B24" s="84">
        <v>45573.109722222223</v>
      </c>
      <c r="C24" s="84">
        <v>45573.20416666667</v>
      </c>
      <c r="D24" s="85">
        <f t="shared" si="0"/>
        <v>2.2666666667209938</v>
      </c>
      <c r="E24" s="42">
        <f t="shared" si="1"/>
        <v>45573.18771228283</v>
      </c>
      <c r="F24" s="43">
        <f t="shared" si="22"/>
        <v>23.694312729639933</v>
      </c>
      <c r="G24" s="43">
        <f t="shared" si="23"/>
        <v>-23.694312729639933</v>
      </c>
      <c r="H24" s="105">
        <f t="shared" si="24"/>
        <v>45573.137708272327</v>
      </c>
      <c r="I24" s="43">
        <f t="shared" si="25"/>
        <v>95.700087854638696</v>
      </c>
      <c r="J24" s="43">
        <f t="shared" si="26"/>
        <v>-95.700087854638696</v>
      </c>
      <c r="K24" s="87">
        <f t="shared" si="2"/>
        <v>45573.213177972619</v>
      </c>
      <c r="L24" s="88">
        <f t="shared" si="27"/>
        <v>12.976280566072091</v>
      </c>
      <c r="M24" s="88">
        <f t="shared" si="28"/>
        <v>12.976280566072091</v>
      </c>
      <c r="N24" s="105">
        <f t="shared" si="29"/>
        <v>45573.169721241953</v>
      </c>
      <c r="O24" s="88">
        <f t="shared" si="30"/>
        <v>49.60141159244813</v>
      </c>
      <c r="P24" s="88">
        <f t="shared" si="31"/>
        <v>-49.60141159244813</v>
      </c>
      <c r="Q24" s="102">
        <v>-4.0614999999999997</v>
      </c>
      <c r="R24" s="102">
        <v>0.69408999999999998</v>
      </c>
      <c r="S24" s="102">
        <v>-15.427</v>
      </c>
      <c r="T24" s="102">
        <v>422.96600000000001</v>
      </c>
      <c r="U24" s="89">
        <f t="shared" si="3"/>
        <v>-65.250964819999993</v>
      </c>
      <c r="V24" s="85">
        <f t="shared" si="37"/>
        <v>-65.250964819999993</v>
      </c>
      <c r="W24" s="85" t="e">
        <f t="shared" si="5"/>
        <v>#N/A</v>
      </c>
      <c r="X24" s="85">
        <f t="shared" si="6"/>
        <v>17032.884732788119</v>
      </c>
      <c r="Y24" s="85">
        <f t="shared" si="7"/>
        <v>40345.104729013226</v>
      </c>
      <c r="Z24" s="85">
        <f t="shared" si="8"/>
        <v>3174.9771996452378</v>
      </c>
      <c r="AA24" s="85">
        <f t="shared" si="9"/>
        <v>15.96777605611063</v>
      </c>
      <c r="AB24" s="85">
        <f t="shared" si="32"/>
        <v>6.3410759565535617</v>
      </c>
      <c r="AC24" s="85">
        <f t="shared" si="10"/>
        <v>-1.5258347512478736</v>
      </c>
      <c r="AD24" s="85">
        <f t="shared" si="33"/>
        <v>87.423891480896984</v>
      </c>
      <c r="AE24" s="85">
        <f t="shared" si="11"/>
        <v>-0.7629173756239368</v>
      </c>
      <c r="AF24" s="85">
        <f t="shared" si="12"/>
        <v>0.3732475650004255</v>
      </c>
      <c r="AG24" s="85">
        <f t="shared" si="13"/>
        <v>0.88409640152166835</v>
      </c>
      <c r="AH24" s="85">
        <f t="shared" si="14"/>
        <v>7514.5079701675932</v>
      </c>
      <c r="AI24" s="85">
        <f t="shared" si="34"/>
        <v>17799.310909432166</v>
      </c>
      <c r="AJ24" s="85">
        <f t="shared" si="15"/>
        <v>14065.366369200987</v>
      </c>
      <c r="AK24" s="85">
        <f t="shared" si="16"/>
        <v>44194.585598779697</v>
      </c>
      <c r="AL24" s="85">
        <f t="shared" si="17"/>
        <v>112.30568727884889</v>
      </c>
      <c r="AM24" s="85">
        <f t="shared" si="18"/>
        <v>148.97628056609835</v>
      </c>
      <c r="AN24" s="85">
        <f t="shared" si="35"/>
        <v>40.299912143904891</v>
      </c>
      <c r="AO24" s="85">
        <f t="shared" si="36"/>
        <v>86.398588414049328</v>
      </c>
      <c r="AP24" s="31" t="s">
        <v>14</v>
      </c>
      <c r="AQ24" s="92" t="s">
        <v>17</v>
      </c>
      <c r="AR24" s="31" t="s">
        <v>24</v>
      </c>
      <c r="AT24" s="93">
        <f t="shared" si="19"/>
        <v>-65.250964819999993</v>
      </c>
      <c r="AU24" s="93">
        <f t="shared" si="20"/>
        <v>4257.6884099408771</v>
      </c>
      <c r="AV24" s="93">
        <f t="shared" si="21"/>
        <v>-277818.27665157389</v>
      </c>
    </row>
    <row r="25" spans="1:48" s="32" customFormat="1" x14ac:dyDescent="0.3">
      <c r="A25" s="86" t="s">
        <v>23</v>
      </c>
      <c r="B25" s="84">
        <v>45516.138194444444</v>
      </c>
      <c r="C25" s="84">
        <v>45516.252083333333</v>
      </c>
      <c r="D25" s="85">
        <f t="shared" si="0"/>
        <v>2.7333333333372138</v>
      </c>
      <c r="E25" s="42">
        <f t="shared" si="1"/>
        <v>45516.20070389039</v>
      </c>
      <c r="F25" s="43">
        <f t="shared" si="22"/>
        <v>73.986397837288678</v>
      </c>
      <c r="G25" s="43">
        <f t="shared" si="23"/>
        <v>-73.986397837288678</v>
      </c>
      <c r="H25" s="105">
        <f t="shared" si="24"/>
        <v>45516.162729264688</v>
      </c>
      <c r="I25" s="43">
        <f t="shared" si="25"/>
        <v>128.66985884844325</v>
      </c>
      <c r="J25" s="43">
        <f t="shared" si="26"/>
        <v>-128.66985884844325</v>
      </c>
      <c r="K25" s="87">
        <f t="shared" si="2"/>
        <v>45516.224925314804</v>
      </c>
      <c r="L25" s="88">
        <f t="shared" si="27"/>
        <v>39.107546681771055</v>
      </c>
      <c r="M25" s="88">
        <f t="shared" si="28"/>
        <v>-39.107546681771055</v>
      </c>
      <c r="N25" s="105">
        <f t="shared" si="29"/>
        <v>45516.191780806425</v>
      </c>
      <c r="O25" s="88">
        <f t="shared" si="30"/>
        <v>86.835638748016208</v>
      </c>
      <c r="P25" s="88">
        <f t="shared" si="31"/>
        <v>-86.835638748016208</v>
      </c>
      <c r="Q25" s="102">
        <v>3.1980599999999999</v>
      </c>
      <c r="R25" s="102">
        <v>0.36199999999999999</v>
      </c>
      <c r="S25" s="102">
        <v>-12.218</v>
      </c>
      <c r="T25" s="102">
        <v>516.53099999999995</v>
      </c>
      <c r="U25" s="89">
        <f t="shared" si="3"/>
        <v>-63.109757579999993</v>
      </c>
      <c r="V25" s="85">
        <f t="shared" si="37"/>
        <v>-63.109757579999993</v>
      </c>
      <c r="W25" s="85" t="e">
        <f t="shared" si="5"/>
        <v>#N/A</v>
      </c>
      <c r="X25" s="85">
        <f t="shared" si="6"/>
        <v>23428.898662367461</v>
      </c>
      <c r="Y25" s="85">
        <f t="shared" si="7"/>
        <v>54473.548673388483</v>
      </c>
      <c r="Z25" s="85">
        <f t="shared" si="8"/>
        <v>4144.4018115811305</v>
      </c>
      <c r="AA25" s="85">
        <f t="shared" si="9"/>
        <v>12.634799395463309</v>
      </c>
      <c r="AB25" s="85">
        <f t="shared" si="32"/>
        <v>5.4247396593462636</v>
      </c>
      <c r="AC25" s="85">
        <f t="shared" si="10"/>
        <v>-1.5411765748423303</v>
      </c>
      <c r="AD25" s="85">
        <f t="shared" si="33"/>
        <v>88.302913222893579</v>
      </c>
      <c r="AE25" s="85">
        <f t="shared" si="11"/>
        <v>-0.77058828742116514</v>
      </c>
      <c r="AF25" s="85">
        <f t="shared" si="12"/>
        <v>0.38125760971130873</v>
      </c>
      <c r="AG25" s="85">
        <f t="shared" si="13"/>
        <v>0.8864460621475112</v>
      </c>
      <c r="AH25" s="85">
        <f t="shared" si="14"/>
        <v>8571.5482910978772</v>
      </c>
      <c r="AI25" s="85">
        <f t="shared" si="34"/>
        <v>19929.34707560164</v>
      </c>
      <c r="AJ25" s="85">
        <f t="shared" si="15"/>
        <v>12859.265630632253</v>
      </c>
      <c r="AK25" s="85">
        <f t="shared" si="16"/>
        <v>41483.750820169487</v>
      </c>
      <c r="AL25" s="85">
        <f t="shared" si="17"/>
        <v>90.01360216791258</v>
      </c>
      <c r="AM25" s="85">
        <f t="shared" si="18"/>
        <v>124.89245331360306</v>
      </c>
      <c r="AN25" s="85">
        <f t="shared" si="35"/>
        <v>35.330141150454736</v>
      </c>
      <c r="AO25" s="85">
        <f t="shared" si="36"/>
        <v>77.16436125498619</v>
      </c>
      <c r="AP25" s="31" t="s">
        <v>32</v>
      </c>
      <c r="AQ25" s="92" t="s">
        <v>17</v>
      </c>
      <c r="AR25" s="31" t="s">
        <v>24</v>
      </c>
      <c r="AT25" s="93">
        <f t="shared" si="19"/>
        <v>-63.109757579999993</v>
      </c>
      <c r="AU25" s="93">
        <f t="shared" si="20"/>
        <v>3982.8415018063665</v>
      </c>
      <c r="AV25" s="93">
        <f t="shared" si="21"/>
        <v>-251356.16165856289</v>
      </c>
    </row>
    <row r="26" spans="1:48" s="32" customFormat="1" x14ac:dyDescent="0.3">
      <c r="A26" s="83" t="s">
        <v>23</v>
      </c>
      <c r="B26" s="84">
        <v>43338.243055555555</v>
      </c>
      <c r="C26" s="84">
        <v>43338.316666666666</v>
      </c>
      <c r="D26" s="85">
        <f t="shared" si="0"/>
        <v>1.7666666666627862</v>
      </c>
      <c r="E26" s="42">
        <f t="shared" si="1"/>
        <v>43338.337750636798</v>
      </c>
      <c r="F26" s="43">
        <f t="shared" si="22"/>
        <v>30.36091699032113</v>
      </c>
      <c r="G26" s="43">
        <f t="shared" si="23"/>
        <v>30.36091699032113</v>
      </c>
      <c r="H26" s="105">
        <f t="shared" si="24"/>
        <v>43338.285193426564</v>
      </c>
      <c r="I26" s="43">
        <f t="shared" si="25"/>
        <v>45.321465746965259</v>
      </c>
      <c r="J26" s="43">
        <f t="shared" si="26"/>
        <v>-45.321465746965259</v>
      </c>
      <c r="K26" s="87">
        <f t="shared" si="2"/>
        <v>43338.344114080508</v>
      </c>
      <c r="L26" s="88">
        <f t="shared" si="27"/>
        <v>39.524275932926685</v>
      </c>
      <c r="M26" s="88">
        <f t="shared" si="28"/>
        <v>39.524275932926685</v>
      </c>
      <c r="N26" s="105">
        <f t="shared" si="29"/>
        <v>43338.311072951758</v>
      </c>
      <c r="O26" s="88">
        <f t="shared" si="30"/>
        <v>8.0549494677688926</v>
      </c>
      <c r="P26" s="88">
        <f t="shared" si="31"/>
        <v>-8.0549494677688926</v>
      </c>
      <c r="Q26" s="102">
        <v>-5.7</v>
      </c>
      <c r="R26" s="102">
        <v>4.0999999999999996</v>
      </c>
      <c r="S26" s="102">
        <v>-15.8</v>
      </c>
      <c r="T26" s="102">
        <v>381.4</v>
      </c>
      <c r="U26" s="89">
        <f t="shared" si="3"/>
        <v>-60.261200000000002</v>
      </c>
      <c r="V26" s="85">
        <f t="shared" si="37"/>
        <v>-60.261200000000002</v>
      </c>
      <c r="W26" s="85" t="e">
        <f t="shared" si="5"/>
        <v>#N/A</v>
      </c>
      <c r="X26" s="85">
        <f t="shared" si="6"/>
        <v>8817.0678365476979</v>
      </c>
      <c r="Y26" s="85">
        <f t="shared" si="7"/>
        <v>27738.435118198566</v>
      </c>
      <c r="Z26" s="85">
        <f t="shared" si="8"/>
        <v>2765.9283025131044</v>
      </c>
      <c r="AA26" s="85">
        <f t="shared" si="9"/>
        <v>17.289881433948587</v>
      </c>
      <c r="AB26" s="85">
        <f t="shared" si="32"/>
        <v>6.6864357639177499</v>
      </c>
      <c r="AC26" s="85">
        <f t="shared" si="10"/>
        <v>-1.3169025952545583</v>
      </c>
      <c r="AD26" s="85">
        <f t="shared" si="33"/>
        <v>75.45296073791107</v>
      </c>
      <c r="AE26" s="85">
        <f t="shared" si="11"/>
        <v>-0.65845129762727916</v>
      </c>
      <c r="AF26" s="85">
        <f t="shared" si="12"/>
        <v>0.26985717664329445</v>
      </c>
      <c r="AG26" s="85">
        <f t="shared" si="13"/>
        <v>0.84896883229960152</v>
      </c>
      <c r="AH26" s="85">
        <f t="shared" si="14"/>
        <v>4990.7931150379609</v>
      </c>
      <c r="AI26" s="85">
        <f t="shared" si="34"/>
        <v>15701.001010335562</v>
      </c>
      <c r="AJ26" s="85">
        <f t="shared" si="15"/>
        <v>11342.485427517595</v>
      </c>
      <c r="AK26" s="85">
        <f t="shared" si="16"/>
        <v>38081.280058821772</v>
      </c>
      <c r="AL26" s="85">
        <f t="shared" si="17"/>
        <v>136.36091698541173</v>
      </c>
      <c r="AM26" s="85">
        <f t="shared" si="18"/>
        <v>145.52427593789918</v>
      </c>
      <c r="AN26" s="85">
        <f t="shared" si="35"/>
        <v>60.678534257400017</v>
      </c>
      <c r="AO26" s="85">
        <f t="shared" si="36"/>
        <v>97.945050529288579</v>
      </c>
      <c r="AP26" s="31" t="s">
        <v>32</v>
      </c>
      <c r="AQ26" s="92" t="s">
        <v>18</v>
      </c>
      <c r="AR26" s="31" t="s">
        <v>24</v>
      </c>
      <c r="AT26" s="93">
        <f t="shared" si="19"/>
        <v>-60.261200000000002</v>
      </c>
      <c r="AU26" s="93">
        <f t="shared" si="20"/>
        <v>3631.4122254400004</v>
      </c>
      <c r="AV26" s="93">
        <f t="shared" si="21"/>
        <v>-218833.25839968497</v>
      </c>
    </row>
    <row r="27" spans="1:48" s="32" customFormat="1" x14ac:dyDescent="0.3">
      <c r="A27" s="83" t="s">
        <v>23</v>
      </c>
      <c r="B27" s="84">
        <v>45833.833333333336</v>
      </c>
      <c r="C27" s="84">
        <v>45833.886111111111</v>
      </c>
      <c r="D27" s="85">
        <f t="shared" si="0"/>
        <v>1.2666666666045785</v>
      </c>
      <c r="E27" s="42">
        <f t="shared" si="1"/>
        <v>45833.920936927185</v>
      </c>
      <c r="F27" s="43">
        <f t="shared" si="22"/>
        <v>50.149175146361813</v>
      </c>
      <c r="G27" s="43">
        <f t="shared" si="23"/>
        <v>50.149175146361813</v>
      </c>
      <c r="H27" s="105">
        <f t="shared" si="24"/>
        <v>45833.879909030496</v>
      </c>
      <c r="I27" s="43">
        <f t="shared" si="25"/>
        <v>8.9309960848186165</v>
      </c>
      <c r="J27" s="43">
        <f t="shared" si="26"/>
        <v>-8.9309960848186165</v>
      </c>
      <c r="K27" s="87">
        <f t="shared" si="2"/>
        <v>45833.882596908035</v>
      </c>
      <c r="L27" s="88">
        <f t="shared" si="27"/>
        <v>5.0604524288792163</v>
      </c>
      <c r="M27" s="88">
        <f t="shared" si="28"/>
        <v>-5.0604524288792163</v>
      </c>
      <c r="N27" s="105">
        <f t="shared" si="29"/>
        <v>45833.870529972512</v>
      </c>
      <c r="O27" s="88">
        <f t="shared" si="30"/>
        <v>22.436839583097026</v>
      </c>
      <c r="P27" s="88">
        <f t="shared" si="31"/>
        <v>-22.436839583097026</v>
      </c>
      <c r="Q27" s="102">
        <v>11.3499</v>
      </c>
      <c r="R27" s="102">
        <v>-5.9973999999999998</v>
      </c>
      <c r="S27" s="102">
        <v>-8.2003000000000004</v>
      </c>
      <c r="T27" s="102">
        <v>689</v>
      </c>
      <c r="U27" s="89">
        <f t="shared" si="3"/>
        <v>-56.500067000000001</v>
      </c>
      <c r="V27" s="85">
        <f t="shared" si="37"/>
        <v>-56.500067000000001</v>
      </c>
      <c r="W27" s="85" t="e">
        <f t="shared" si="5"/>
        <v>#N/A</v>
      </c>
      <c r="X27" s="85">
        <f t="shared" si="6"/>
        <v>5719.3297186149794</v>
      </c>
      <c r="Y27" s="85">
        <f t="shared" si="7"/>
        <v>36366.875024765206</v>
      </c>
      <c r="Z27" s="85">
        <f t="shared" si="8"/>
        <v>6085.4443587241267</v>
      </c>
      <c r="AA27" s="85">
        <f t="shared" si="9"/>
        <v>15.232660859482166</v>
      </c>
      <c r="AB27" s="85">
        <f t="shared" si="32"/>
        <v>6.1449334247705698</v>
      </c>
      <c r="AC27" s="85">
        <f t="shared" si="10"/>
        <v>-0.93932966516626071</v>
      </c>
      <c r="AD27" s="85">
        <f t="shared" si="33"/>
        <v>53.819625385463517</v>
      </c>
      <c r="AE27" s="85">
        <f t="shared" si="11"/>
        <v>-0.46966483258313035</v>
      </c>
      <c r="AF27" s="85">
        <f t="shared" si="12"/>
        <v>0.12074615622070876</v>
      </c>
      <c r="AG27" s="85">
        <f t="shared" si="13"/>
        <v>0.76777534939228442</v>
      </c>
      <c r="AH27" s="85">
        <f t="shared" si="14"/>
        <v>4515.2603043910449</v>
      </c>
      <c r="AI27" s="85">
        <f t="shared" si="34"/>
        <v>28710.690810432472</v>
      </c>
      <c r="AJ27" s="85">
        <f t="shared" si="15"/>
        <v>9493.2727158783782</v>
      </c>
      <c r="AK27" s="85">
        <f t="shared" si="16"/>
        <v>33945.390272416975</v>
      </c>
      <c r="AL27" s="85">
        <f t="shared" si="17"/>
        <v>126.1491751425219</v>
      </c>
      <c r="AM27" s="85">
        <f t="shared" si="18"/>
        <v>70.939547564106107</v>
      </c>
      <c r="AN27" s="85">
        <f t="shared" si="35"/>
        <v>67.069003908351434</v>
      </c>
      <c r="AO27" s="85">
        <f t="shared" si="36"/>
        <v>53.563160408489075</v>
      </c>
      <c r="AP27" s="31" t="s">
        <v>14</v>
      </c>
      <c r="AQ27" s="92" t="s">
        <v>17</v>
      </c>
      <c r="AR27" s="31" t="s">
        <v>85</v>
      </c>
      <c r="AT27" s="93">
        <f t="shared" si="19"/>
        <v>-56.500067000000001</v>
      </c>
      <c r="AU27" s="93">
        <f t="shared" si="20"/>
        <v>3192.2575710044894</v>
      </c>
      <c r="AV27" s="93">
        <f t="shared" si="21"/>
        <v>-180362.76664301092</v>
      </c>
    </row>
    <row r="28" spans="1:48" s="32" customFormat="1" x14ac:dyDescent="0.3">
      <c r="A28" s="83" t="s">
        <v>23</v>
      </c>
      <c r="B28" s="84">
        <v>40795.6875</v>
      </c>
      <c r="C28" s="84">
        <v>40795.790972222225</v>
      </c>
      <c r="D28" s="85">
        <f t="shared" si="0"/>
        <v>2.4833333333954215</v>
      </c>
      <c r="E28" s="42">
        <f t="shared" si="1"/>
        <v>40795.876280643948</v>
      </c>
      <c r="F28" s="43">
        <f t="shared" si="22"/>
        <v>122.84412728156894</v>
      </c>
      <c r="G28" s="43">
        <f t="shared" si="23"/>
        <v>122.84412728156894</v>
      </c>
      <c r="H28" s="105">
        <f t="shared" si="24"/>
        <v>40795.806850157453</v>
      </c>
      <c r="I28" s="43">
        <f t="shared" si="25"/>
        <v>22.864226727979258</v>
      </c>
      <c r="J28" s="43">
        <f t="shared" si="26"/>
        <v>22.864226727979258</v>
      </c>
      <c r="K28" s="87">
        <f t="shared" si="2"/>
        <v>40795.757637128168</v>
      </c>
      <c r="L28" s="88">
        <f t="shared" si="27"/>
        <v>48.002535441191867</v>
      </c>
      <c r="M28" s="88">
        <f t="shared" si="28"/>
        <v>-48.002535441191867</v>
      </c>
      <c r="N28" s="105">
        <f t="shared" si="29"/>
        <v>40795.746282748936</v>
      </c>
      <c r="O28" s="88">
        <f t="shared" si="30"/>
        <v>64.352841535583138</v>
      </c>
      <c r="P28" s="88">
        <f t="shared" si="31"/>
        <v>-64.352841535583138</v>
      </c>
      <c r="Q28" s="102">
        <v>4.6666100000000004</v>
      </c>
      <c r="R28" s="102">
        <v>11.3688</v>
      </c>
      <c r="S28" s="102">
        <v>-10.666</v>
      </c>
      <c r="T28" s="102">
        <v>498.096</v>
      </c>
      <c r="U28" s="89">
        <f t="shared" si="3"/>
        <v>-53.126919360000002</v>
      </c>
      <c r="V28" s="85">
        <f t="shared" si="37"/>
        <v>-53.126919360000002</v>
      </c>
      <c r="W28" s="85" t="e">
        <f t="shared" si="5"/>
        <v>#N/A</v>
      </c>
      <c r="X28" s="85">
        <f t="shared" si="6"/>
        <v>4375.7668964161576</v>
      </c>
      <c r="Y28" s="85">
        <f t="shared" si="7"/>
        <v>45116.195551025681</v>
      </c>
      <c r="Z28" s="85">
        <f t="shared" si="8"/>
        <v>3948.3660182323238</v>
      </c>
      <c r="AA28" s="85">
        <f t="shared" si="9"/>
        <v>16.272382073073999</v>
      </c>
      <c r="AB28" s="85">
        <f t="shared" si="32"/>
        <v>6.4214645385388849</v>
      </c>
      <c r="AC28" s="85">
        <f t="shared" si="10"/>
        <v>-0.75351396985163777</v>
      </c>
      <c r="AD28" s="85">
        <f t="shared" si="33"/>
        <v>43.1731702766468</v>
      </c>
      <c r="AE28" s="85">
        <f t="shared" si="11"/>
        <v>-0.37675698492581888</v>
      </c>
      <c r="AF28" s="85">
        <f t="shared" si="12"/>
        <v>6.9497257424769393E-2</v>
      </c>
      <c r="AG28" s="85">
        <f t="shared" si="13"/>
        <v>0.71654910566736685</v>
      </c>
      <c r="AH28" s="85">
        <f t="shared" si="14"/>
        <v>1762.0537837476866</v>
      </c>
      <c r="AI28" s="85">
        <f t="shared" si="34"/>
        <v>18167.595523448734</v>
      </c>
      <c r="AJ28" s="85">
        <f t="shared" si="15"/>
        <v>7983.3995513030914</v>
      </c>
      <c r="AK28" s="85">
        <f t="shared" si="16"/>
        <v>30581.351417193117</v>
      </c>
      <c r="AL28" s="85">
        <f t="shared" si="17"/>
        <v>271.84412728844114</v>
      </c>
      <c r="AM28" s="85">
        <f t="shared" si="18"/>
        <v>100.99746456064173</v>
      </c>
      <c r="AN28" s="85">
        <f t="shared" si="35"/>
        <v>171.8642267311125</v>
      </c>
      <c r="AO28" s="85">
        <f t="shared" si="36"/>
        <v>84.647158471403614</v>
      </c>
      <c r="AP28" s="31" t="s">
        <v>32</v>
      </c>
      <c r="AQ28" s="92" t="s">
        <v>18</v>
      </c>
      <c r="AR28" s="31" t="s">
        <v>24</v>
      </c>
      <c r="AT28" s="93">
        <f t="shared" si="19"/>
        <v>-53.126919360000002</v>
      </c>
      <c r="AU28" s="93">
        <f t="shared" si="20"/>
        <v>2822.4695606839432</v>
      </c>
      <c r="AV28" s="93">
        <f t="shared" si="21"/>
        <v>-149949.11274651048</v>
      </c>
    </row>
    <row r="29" spans="1:48" s="32" customFormat="1" ht="15.45" customHeight="1" x14ac:dyDescent="0.3">
      <c r="A29" s="83" t="s">
        <v>22</v>
      </c>
      <c r="B29" s="84">
        <v>45516.075694444444</v>
      </c>
      <c r="C29" s="84">
        <v>45516.129861111112</v>
      </c>
      <c r="D29" s="85">
        <f t="shared" si="0"/>
        <v>1.3000000000465661</v>
      </c>
      <c r="E29" s="42">
        <f t="shared" si="1"/>
        <v>45516.395342507632</v>
      </c>
      <c r="F29" s="43">
        <f t="shared" si="22"/>
        <v>382.2932109888643</v>
      </c>
      <c r="G29" s="43">
        <f t="shared" si="23"/>
        <v>382.2932109888643</v>
      </c>
      <c r="H29" s="105">
        <f t="shared" si="24"/>
        <v>45516.358786828932</v>
      </c>
      <c r="I29" s="43">
        <f t="shared" si="25"/>
        <v>329.65303366072476</v>
      </c>
      <c r="J29" s="43">
        <f t="shared" si="26"/>
        <v>329.65303366072476</v>
      </c>
      <c r="K29" s="87">
        <f t="shared" si="2"/>
        <v>45516.131900909015</v>
      </c>
      <c r="L29" s="88">
        <f t="shared" si="27"/>
        <v>2.937308979453519</v>
      </c>
      <c r="M29" s="88">
        <f t="shared" si="28"/>
        <v>2.937308979453519</v>
      </c>
      <c r="N29" s="105">
        <f t="shared" si="29"/>
        <v>45516.132137092747</v>
      </c>
      <c r="O29" s="88">
        <f t="shared" si="30"/>
        <v>3.2774135540239513</v>
      </c>
      <c r="P29" s="88">
        <f t="shared" si="31"/>
        <v>3.2774135540239513</v>
      </c>
      <c r="Q29" s="102">
        <v>-7.4267000000000003</v>
      </c>
      <c r="R29" s="102">
        <v>17.176600000000001</v>
      </c>
      <c r="S29" s="102">
        <v>-9.4895999999999994</v>
      </c>
      <c r="T29" s="102">
        <v>498.22699999999998</v>
      </c>
      <c r="U29" s="89">
        <f t="shared" si="3"/>
        <v>-47.279749391999992</v>
      </c>
      <c r="V29" s="85">
        <f t="shared" si="37"/>
        <v>-47.279749391999992</v>
      </c>
      <c r="W29" s="85" t="e">
        <f t="shared" si="5"/>
        <v>#N/A</v>
      </c>
      <c r="X29" s="85">
        <f t="shared" si="6"/>
        <v>965.73355722367285</v>
      </c>
      <c r="Y29" s="85">
        <f t="shared" si="7"/>
        <v>24597.066407026829</v>
      </c>
      <c r="Z29" s="85">
        <f t="shared" si="8"/>
        <v>3949.7506472178184</v>
      </c>
      <c r="AA29" s="85">
        <f t="shared" si="9"/>
        <v>20.981991531072545</v>
      </c>
      <c r="AB29" s="85">
        <f t="shared" si="32"/>
        <v>7.6073104209136932</v>
      </c>
      <c r="AC29" s="85">
        <f t="shared" si="10"/>
        <v>-0.50473953958704854</v>
      </c>
      <c r="AD29" s="85">
        <f t="shared" si="33"/>
        <v>28.919445371714218</v>
      </c>
      <c r="AE29" s="85">
        <f t="shared" si="11"/>
        <v>-0.25236976979352427</v>
      </c>
      <c r="AF29" s="85">
        <f t="shared" si="12"/>
        <v>2.472368222692899E-2</v>
      </c>
      <c r="AG29" s="85">
        <f t="shared" si="13"/>
        <v>0.62970790339964622</v>
      </c>
      <c r="AH29" s="85">
        <f t="shared" si="14"/>
        <v>742.87196706852319</v>
      </c>
      <c r="AI29" s="85">
        <f t="shared" si="34"/>
        <v>18920.820312419815</v>
      </c>
      <c r="AJ29" s="85">
        <f t="shared" si="15"/>
        <v>5698.982051270259</v>
      </c>
      <c r="AK29" s="85">
        <f t="shared" si="16"/>
        <v>25523.337997328352</v>
      </c>
      <c r="AL29" s="85">
        <f t="shared" si="17"/>
        <v>460.29321098971388</v>
      </c>
      <c r="AM29" s="85">
        <f t="shared" si="18"/>
        <v>80.937308983082232</v>
      </c>
      <c r="AN29" s="85">
        <f t="shared" si="35"/>
        <v>407.65303366803903</v>
      </c>
      <c r="AO29" s="85">
        <f t="shared" si="36"/>
        <v>81.277413554225092</v>
      </c>
      <c r="AP29" s="31" t="s">
        <v>32</v>
      </c>
      <c r="AQ29" s="92" t="s">
        <v>17</v>
      </c>
      <c r="AR29" s="31" t="s">
        <v>24</v>
      </c>
      <c r="AT29" s="93">
        <f t="shared" si="19"/>
        <v>-47.279749391999992</v>
      </c>
      <c r="AU29" s="93">
        <f t="shared" si="20"/>
        <v>2235.3747025703237</v>
      </c>
      <c r="AV29" s="93">
        <f t="shared" si="21"/>
        <v>-105687.95573474142</v>
      </c>
    </row>
    <row r="30" spans="1:48" s="32" customFormat="1" x14ac:dyDescent="0.3">
      <c r="A30" s="86" t="s">
        <v>23</v>
      </c>
      <c r="B30" s="84">
        <v>45573.040277777778</v>
      </c>
      <c r="C30" s="84">
        <v>45573.098611111112</v>
      </c>
      <c r="D30" s="85">
        <f t="shared" si="0"/>
        <v>1.4000000000232831</v>
      </c>
      <c r="E30" s="42">
        <f t="shared" si="1"/>
        <v>45573.122654941988</v>
      </c>
      <c r="F30" s="43">
        <f t="shared" si="22"/>
        <v>34.623116460861638</v>
      </c>
      <c r="G30" s="43">
        <f t="shared" si="23"/>
        <v>34.623116460861638</v>
      </c>
      <c r="H30" s="105">
        <f t="shared" si="24"/>
        <v>45573.125562289613</v>
      </c>
      <c r="I30" s="43">
        <f t="shared" si="25"/>
        <v>38.809697041288018</v>
      </c>
      <c r="J30" s="43">
        <f t="shared" si="26"/>
        <v>38.809697041288018</v>
      </c>
      <c r="K30" s="87">
        <f t="shared" si="2"/>
        <v>45573.107287473744</v>
      </c>
      <c r="L30" s="88">
        <f t="shared" si="27"/>
        <v>12.493962189182639</v>
      </c>
      <c r="M30" s="88">
        <f t="shared" si="28"/>
        <v>12.493962189182639</v>
      </c>
      <c r="N30" s="105">
        <f t="shared" si="29"/>
        <v>45573.112706790424</v>
      </c>
      <c r="O30" s="88">
        <f t="shared" si="30"/>
        <v>20.297778208041564</v>
      </c>
      <c r="P30" s="88">
        <f t="shared" si="31"/>
        <v>20.297778208041564</v>
      </c>
      <c r="Q30" s="102">
        <v>-6.2102000000000004</v>
      </c>
      <c r="R30" s="102">
        <v>7.1638799999999998</v>
      </c>
      <c r="S30" s="102">
        <v>-10.375999999999999</v>
      </c>
      <c r="T30" s="102">
        <v>432.286</v>
      </c>
      <c r="U30" s="89">
        <f t="shared" si="3"/>
        <v>-44.853995359999999</v>
      </c>
      <c r="V30" s="85">
        <f t="shared" si="37"/>
        <v>-44.853995359999999</v>
      </c>
      <c r="W30" s="85" t="e">
        <f t="shared" si="5"/>
        <v>#N/A</v>
      </c>
      <c r="X30" s="85">
        <f t="shared" si="6"/>
        <v>3452.2324018934437</v>
      </c>
      <c r="Y30" s="85">
        <f t="shared" si="7"/>
        <v>20642.524789686846</v>
      </c>
      <c r="Z30" s="85">
        <f t="shared" si="8"/>
        <v>3268.5983787185137</v>
      </c>
      <c r="AA30" s="85">
        <f t="shared" si="9"/>
        <v>14.055217418965812</v>
      </c>
      <c r="AB30" s="85">
        <f t="shared" si="32"/>
        <v>5.8240493374551336</v>
      </c>
      <c r="AC30" s="85">
        <f t="shared" si="10"/>
        <v>-0.96652351385944968</v>
      </c>
      <c r="AD30" s="85">
        <f t="shared" si="33"/>
        <v>55.377718144300594</v>
      </c>
      <c r="AE30" s="85">
        <f t="shared" si="11"/>
        <v>-0.48326175692972484</v>
      </c>
      <c r="AF30" s="85">
        <f t="shared" si="12"/>
        <v>0.12953447892364073</v>
      </c>
      <c r="AG30" s="85">
        <f t="shared" si="13"/>
        <v>0.77454770740053869</v>
      </c>
      <c r="AH30" s="85">
        <f t="shared" si="14"/>
        <v>2465.8802870257359</v>
      </c>
      <c r="AI30" s="85">
        <f t="shared" si="34"/>
        <v>14744.660563816817</v>
      </c>
      <c r="AJ30" s="85">
        <f t="shared" si="15"/>
        <v>4875.173407937491</v>
      </c>
      <c r="AK30" s="85">
        <f t="shared" si="16"/>
        <v>23712.845315170489</v>
      </c>
      <c r="AL30" s="85">
        <f t="shared" si="17"/>
        <v>118.62311646485723</v>
      </c>
      <c r="AM30" s="85">
        <f t="shared" si="18"/>
        <v>96.493962187348558</v>
      </c>
      <c r="AN30" s="85">
        <f t="shared" si="35"/>
        <v>122.80969704644322</v>
      </c>
      <c r="AO30" s="85">
        <f t="shared" si="36"/>
        <v>104.29777821346077</v>
      </c>
      <c r="AP30" s="31" t="s">
        <v>14</v>
      </c>
      <c r="AQ30" s="92" t="s">
        <v>17</v>
      </c>
      <c r="AR30" s="31" t="s">
        <v>24</v>
      </c>
      <c r="AT30" s="93">
        <f t="shared" si="19"/>
        <v>-44.853995359999999</v>
      </c>
      <c r="AU30" s="93">
        <f t="shared" si="20"/>
        <v>2011.8808997549015</v>
      </c>
      <c r="AV30" s="93">
        <f t="shared" si="21"/>
        <v>-90240.896542478979</v>
      </c>
    </row>
    <row r="31" spans="1:48" s="32" customFormat="1" x14ac:dyDescent="0.3">
      <c r="A31" s="83" t="s">
        <v>23</v>
      </c>
      <c r="B31" s="84">
        <v>45833.955555555556</v>
      </c>
      <c r="C31" s="84">
        <v>45833.98541666667</v>
      </c>
      <c r="D31" s="85">
        <f t="shared" si="0"/>
        <v>0.71666666673263535</v>
      </c>
      <c r="E31" s="42">
        <f t="shared" si="1"/>
        <v>45833.994687592531</v>
      </c>
      <c r="F31" s="43">
        <f t="shared" si="22"/>
        <v>13.350133239291608</v>
      </c>
      <c r="G31" s="43">
        <f t="shared" si="23"/>
        <v>13.350133239291608</v>
      </c>
      <c r="H31" s="105">
        <f t="shared" si="24"/>
        <v>45833.998402641308</v>
      </c>
      <c r="I31" s="43">
        <f t="shared" si="25"/>
        <v>18.699803478084505</v>
      </c>
      <c r="J31" s="43">
        <f t="shared" si="26"/>
        <v>18.699803478084505</v>
      </c>
      <c r="K31" s="87">
        <f t="shared" si="2"/>
        <v>45833.993309910416</v>
      </c>
      <c r="L31" s="88">
        <f t="shared" si="27"/>
        <v>11.366270994767547</v>
      </c>
      <c r="M31" s="88">
        <f t="shared" si="28"/>
        <v>11.366270994767547</v>
      </c>
      <c r="N31" s="105">
        <f t="shared" si="29"/>
        <v>45833.997389148833</v>
      </c>
      <c r="O31" s="88">
        <f t="shared" si="30"/>
        <v>17.240374315297231</v>
      </c>
      <c r="P31" s="88">
        <f t="shared" si="31"/>
        <v>17.240374315297231</v>
      </c>
      <c r="Q31" s="102">
        <v>8.1763600000000007</v>
      </c>
      <c r="R31" s="102">
        <v>-3.5827</v>
      </c>
      <c r="S31" s="102">
        <v>-5.9894999999999996</v>
      </c>
      <c r="T31" s="102">
        <v>735</v>
      </c>
      <c r="U31" s="89">
        <f t="shared" si="3"/>
        <v>-44.02282499999999</v>
      </c>
      <c r="V31" s="85">
        <f t="shared" si="37"/>
        <v>-44.02282499999999</v>
      </c>
      <c r="W31" s="85" t="e">
        <f t="shared" si="5"/>
        <v>#N/A</v>
      </c>
      <c r="X31" s="85">
        <f t="shared" si="6"/>
        <v>3517.5321313671366</v>
      </c>
      <c r="Y31" s="85">
        <f t="shared" si="7"/>
        <v>18295.293442002534</v>
      </c>
      <c r="Z31" s="85">
        <f t="shared" si="8"/>
        <v>6633.0985854079336</v>
      </c>
      <c r="AA31" s="85">
        <f t="shared" si="9"/>
        <v>10.750009878581507</v>
      </c>
      <c r="AB31" s="85">
        <f t="shared" si="32"/>
        <v>4.8708629361270219</v>
      </c>
      <c r="AC31" s="85">
        <f t="shared" si="10"/>
        <v>-1.0317283231606409</v>
      </c>
      <c r="AD31" s="85">
        <f t="shared" si="33"/>
        <v>59.113678521214226</v>
      </c>
      <c r="AE31" s="85">
        <f t="shared" si="11"/>
        <v>-0.51586416158032045</v>
      </c>
      <c r="AF31" s="85">
        <f t="shared" si="12"/>
        <v>0.15191424760047359</v>
      </c>
      <c r="AG31" s="85">
        <f t="shared" si="13"/>
        <v>0.79013229561927989</v>
      </c>
      <c r="AH31" s="85">
        <f t="shared" si="14"/>
        <v>4908.1843688976978</v>
      </c>
      <c r="AI31" s="85">
        <f t="shared" si="34"/>
        <v>25528.316428351347</v>
      </c>
      <c r="AJ31" s="85">
        <f t="shared" si="15"/>
        <v>4609.6140529793902</v>
      </c>
      <c r="AK31" s="85">
        <f t="shared" si="16"/>
        <v>23131.322817087963</v>
      </c>
      <c r="AL31" s="85">
        <f t="shared" si="17"/>
        <v>56.350133245071696</v>
      </c>
      <c r="AM31" s="85">
        <f t="shared" si="18"/>
        <v>54.366270996387399</v>
      </c>
      <c r="AN31" s="85">
        <f t="shared" si="35"/>
        <v>61.699803479558149</v>
      </c>
      <c r="AO31" s="85">
        <f t="shared" si="36"/>
        <v>60.240374316648314</v>
      </c>
      <c r="AP31" s="31" t="s">
        <v>14</v>
      </c>
      <c r="AQ31" s="92" t="s">
        <v>17</v>
      </c>
      <c r="AR31" s="31" t="s">
        <v>85</v>
      </c>
      <c r="AT31" s="93">
        <f t="shared" si="19"/>
        <v>-44.02282499999999</v>
      </c>
      <c r="AU31" s="93">
        <f t="shared" si="20"/>
        <v>1938.0091209806242</v>
      </c>
      <c r="AV31" s="93">
        <f t="shared" si="21"/>
        <v>-85316.636381333825</v>
      </c>
    </row>
    <row r="32" spans="1:48" s="32" customFormat="1" x14ac:dyDescent="0.3">
      <c r="A32" s="83" t="s">
        <v>23</v>
      </c>
      <c r="B32" s="84">
        <v>43210.213194444441</v>
      </c>
      <c r="C32" s="84">
        <v>43210.254861111112</v>
      </c>
      <c r="D32" s="85">
        <f t="shared" si="0"/>
        <v>1.0000000001164153</v>
      </c>
      <c r="E32" s="42">
        <f t="shared" si="1"/>
        <v>43210.402011682789</v>
      </c>
      <c r="F32" s="43">
        <f t="shared" si="22"/>
        <v>211.89682321390137</v>
      </c>
      <c r="G32" s="43">
        <f t="shared" si="23"/>
        <v>211.89682321390137</v>
      </c>
      <c r="H32" s="105">
        <f t="shared" si="24"/>
        <v>43210.438214166395</v>
      </c>
      <c r="I32" s="43">
        <f t="shared" si="25"/>
        <v>264.02839960763231</v>
      </c>
      <c r="J32" s="43">
        <f t="shared" si="26"/>
        <v>264.02839960763231</v>
      </c>
      <c r="K32" s="87">
        <f t="shared" si="2"/>
        <v>43210.287326818441</v>
      </c>
      <c r="L32" s="88">
        <f t="shared" si="27"/>
        <v>46.750618553487584</v>
      </c>
      <c r="M32" s="88">
        <f t="shared" si="28"/>
        <v>46.750618553487584</v>
      </c>
      <c r="N32" s="105">
        <f t="shared" si="29"/>
        <v>43210.298347196811</v>
      </c>
      <c r="O32" s="88">
        <f t="shared" si="30"/>
        <v>62.619963405886665</v>
      </c>
      <c r="P32" s="88">
        <f t="shared" si="31"/>
        <v>62.619963405886665</v>
      </c>
      <c r="Q32" s="102">
        <v>-1.8751</v>
      </c>
      <c r="R32" s="102">
        <v>15.285600000000001</v>
      </c>
      <c r="S32" s="102">
        <v>-12.102</v>
      </c>
      <c r="T32" s="102">
        <v>353.68200000000002</v>
      </c>
      <c r="U32" s="89">
        <f t="shared" si="3"/>
        <v>-42.80259564</v>
      </c>
      <c r="V32" s="85">
        <f t="shared" si="37"/>
        <v>-42.80259564</v>
      </c>
      <c r="W32" s="85" t="e">
        <f t="shared" si="5"/>
        <v>#N/A</v>
      </c>
      <c r="X32" s="85">
        <f t="shared" si="6"/>
        <v>934.59095375460959</v>
      </c>
      <c r="Y32" s="85">
        <f t="shared" si="7"/>
        <v>12541.476074774742</v>
      </c>
      <c r="Z32" s="85">
        <f t="shared" si="8"/>
        <v>2501.2126146217943</v>
      </c>
      <c r="AA32" s="85">
        <f t="shared" si="9"/>
        <v>19.586321026931017</v>
      </c>
      <c r="AB32" s="85">
        <f t="shared" si="32"/>
        <v>7.2661090639552199</v>
      </c>
      <c r="AC32" s="85">
        <f t="shared" si="10"/>
        <v>-0.66967513916702148</v>
      </c>
      <c r="AD32" s="85">
        <f t="shared" si="33"/>
        <v>38.369559119106384</v>
      </c>
      <c r="AE32" s="85">
        <f t="shared" si="11"/>
        <v>-0.33483756958351074</v>
      </c>
      <c r="AF32" s="85">
        <f t="shared" si="12"/>
        <v>5.1424378342547469E-2</v>
      </c>
      <c r="AG32" s="85">
        <f t="shared" si="13"/>
        <v>0.69007474131036939</v>
      </c>
      <c r="AH32" s="85">
        <f t="shared" si="14"/>
        <v>934.5909536458089</v>
      </c>
      <c r="AI32" s="85">
        <f t="shared" si="34"/>
        <v>12541.476073314723</v>
      </c>
      <c r="AJ32" s="85">
        <f t="shared" si="15"/>
        <v>4235.2051883768345</v>
      </c>
      <c r="AK32" s="85">
        <f t="shared" si="16"/>
        <v>22313.5054755161</v>
      </c>
      <c r="AL32" s="85">
        <f t="shared" si="17"/>
        <v>271.89682321589595</v>
      </c>
      <c r="AM32" s="85">
        <f t="shared" si="18"/>
        <v>106.75061856392135</v>
      </c>
      <c r="AN32" s="85">
        <f t="shared" si="35"/>
        <v>324.02839961277334</v>
      </c>
      <c r="AO32" s="85">
        <f t="shared" si="36"/>
        <v>122.61996341801228</v>
      </c>
      <c r="AP32" s="31" t="s">
        <v>15</v>
      </c>
      <c r="AQ32" s="92" t="s">
        <v>18</v>
      </c>
      <c r="AR32" s="31" t="s">
        <v>24</v>
      </c>
      <c r="AT32" s="93">
        <f t="shared" si="19"/>
        <v>-42.80259564</v>
      </c>
      <c r="AU32" s="93">
        <f t="shared" si="20"/>
        <v>1832.0621935213469</v>
      </c>
      <c r="AV32" s="93">
        <f t="shared" si="21"/>
        <v>-78417.017256625637</v>
      </c>
    </row>
    <row r="33" spans="1:48" s="32" customFormat="1" x14ac:dyDescent="0.3">
      <c r="A33" s="86" t="s">
        <v>23</v>
      </c>
      <c r="B33" s="84">
        <v>45571.895138888889</v>
      </c>
      <c r="C33" s="84">
        <v>45571.989583333336</v>
      </c>
      <c r="D33" s="85">
        <f t="shared" si="0"/>
        <v>2.2666666667209938</v>
      </c>
      <c r="E33" s="42">
        <f t="shared" si="1"/>
        <v>45571.951988377514</v>
      </c>
      <c r="F33" s="43">
        <f t="shared" si="22"/>
        <v>54.136736383661628</v>
      </c>
      <c r="G33" s="43">
        <f t="shared" si="23"/>
        <v>-54.136736383661628</v>
      </c>
      <c r="H33" s="105">
        <f t="shared" si="24"/>
        <v>45571.965366168348</v>
      </c>
      <c r="I33" s="43">
        <f t="shared" si="25"/>
        <v>34.87271758262068</v>
      </c>
      <c r="J33" s="43">
        <f t="shared" si="26"/>
        <v>-34.87271758262068</v>
      </c>
      <c r="K33" s="87">
        <f t="shared" si="2"/>
        <v>45571.952626728649</v>
      </c>
      <c r="L33" s="88">
        <f t="shared" si="27"/>
        <v>53.217510748654604</v>
      </c>
      <c r="M33" s="88">
        <f t="shared" si="28"/>
        <v>-53.217510748654604</v>
      </c>
      <c r="N33" s="105">
        <f t="shared" si="29"/>
        <v>45571.962150779022</v>
      </c>
      <c r="O33" s="88">
        <f t="shared" si="30"/>
        <v>39.502878212369978</v>
      </c>
      <c r="P33" s="88">
        <f t="shared" si="31"/>
        <v>-39.502878212369978</v>
      </c>
      <c r="Q33" s="102">
        <v>-7.3871000000000002</v>
      </c>
      <c r="R33" s="102">
        <v>-5.4729000000000001</v>
      </c>
      <c r="S33" s="102">
        <v>-8.9237000000000002</v>
      </c>
      <c r="T33" s="102">
        <v>473.99700000000001</v>
      </c>
      <c r="U33" s="89">
        <f t="shared" si="3"/>
        <v>-42.298070289000009</v>
      </c>
      <c r="V33" s="85">
        <f t="shared" si="37"/>
        <v>-42.298070289000009</v>
      </c>
      <c r="W33" s="85" t="e">
        <f t="shared" si="5"/>
        <v>#N/A</v>
      </c>
      <c r="X33" s="85">
        <f t="shared" si="6"/>
        <v>6787.7207998848953</v>
      </c>
      <c r="Y33" s="85">
        <f t="shared" si="7"/>
        <v>36122.943702263176</v>
      </c>
      <c r="Z33" s="85">
        <f t="shared" si="8"/>
        <v>3695.734725374728</v>
      </c>
      <c r="AA33" s="85">
        <f t="shared" si="9"/>
        <v>12.812271559329361</v>
      </c>
      <c r="AB33" s="85">
        <f t="shared" si="32"/>
        <v>5.4754198159904286</v>
      </c>
      <c r="AC33" s="85">
        <f t="shared" si="10"/>
        <v>-1.0206551927375092</v>
      </c>
      <c r="AD33" s="85">
        <f t="shared" si="33"/>
        <v>58.479234881970868</v>
      </c>
      <c r="AE33" s="85">
        <f t="shared" si="11"/>
        <v>-0.51032759636875458</v>
      </c>
      <c r="AF33" s="85">
        <f t="shared" si="12"/>
        <v>0.14798513674115424</v>
      </c>
      <c r="AG33" s="85">
        <f t="shared" si="13"/>
        <v>0.78754841586340496</v>
      </c>
      <c r="AH33" s="85">
        <f t="shared" si="14"/>
        <v>2994.5827057597976</v>
      </c>
      <c r="AI33" s="85">
        <f t="shared" si="34"/>
        <v>15936.592809440024</v>
      </c>
      <c r="AJ33" s="85">
        <f t="shared" si="15"/>
        <v>4085.7718914065663</v>
      </c>
      <c r="AK33" s="85">
        <f t="shared" si="16"/>
        <v>21987.847050875211</v>
      </c>
      <c r="AL33" s="85">
        <f t="shared" si="17"/>
        <v>81.86326362363549</v>
      </c>
      <c r="AM33" s="85">
        <f t="shared" si="18"/>
        <v>82.782489257744217</v>
      </c>
      <c r="AN33" s="85">
        <f t="shared" si="35"/>
        <v>101.12728241566158</v>
      </c>
      <c r="AO33" s="85">
        <f t="shared" si="36"/>
        <v>96.497121794239007</v>
      </c>
      <c r="AP33" s="31" t="s">
        <v>14</v>
      </c>
      <c r="AQ33" s="92" t="s">
        <v>17</v>
      </c>
      <c r="AR33" s="31" t="s">
        <v>24</v>
      </c>
      <c r="AT33" s="93">
        <f t="shared" si="19"/>
        <v>-42.298070289000009</v>
      </c>
      <c r="AU33" s="93">
        <f t="shared" si="20"/>
        <v>1789.1267501731852</v>
      </c>
      <c r="AV33" s="93">
        <f t="shared" si="21"/>
        <v>-75676.609034755544</v>
      </c>
    </row>
    <row r="34" spans="1:48" s="32" customFormat="1" x14ac:dyDescent="0.3">
      <c r="A34" s="86" t="s">
        <v>23</v>
      </c>
      <c r="B34" s="84">
        <v>45845.996527777781</v>
      </c>
      <c r="C34" s="84">
        <v>45846.06527777778</v>
      </c>
      <c r="D34" s="85">
        <f t="shared" si="0"/>
        <v>1.6499999999650754</v>
      </c>
      <c r="E34" s="42">
        <f t="shared" si="1"/>
        <v>45846.063377076876</v>
      </c>
      <c r="F34" s="43">
        <f t="shared" si="22"/>
        <v>2.7370093006175011</v>
      </c>
      <c r="G34" s="43">
        <f t="shared" si="23"/>
        <v>-2.7370093006175011</v>
      </c>
      <c r="H34" s="105">
        <f t="shared" si="24"/>
        <v>45846.093166779006</v>
      </c>
      <c r="I34" s="43">
        <f t="shared" si="25"/>
        <v>40.160161766689271</v>
      </c>
      <c r="J34" s="43">
        <f t="shared" si="26"/>
        <v>40.160161766689271</v>
      </c>
      <c r="K34" s="87">
        <f t="shared" si="2"/>
        <v>45846.059829163991</v>
      </c>
      <c r="L34" s="88">
        <f t="shared" si="27"/>
        <v>7.846003855811432</v>
      </c>
      <c r="M34" s="88">
        <f t="shared" si="28"/>
        <v>-7.846003855811432</v>
      </c>
      <c r="N34" s="105">
        <f t="shared" si="29"/>
        <v>45846.074916675068</v>
      </c>
      <c r="O34" s="88">
        <f t="shared" si="30"/>
        <v>13.88001209590584</v>
      </c>
      <c r="P34" s="88">
        <f t="shared" si="31"/>
        <v>13.88001209590584</v>
      </c>
      <c r="Q34" s="102">
        <v>-2.1743299999999999</v>
      </c>
      <c r="R34" s="102">
        <v>-6.2157499999999999</v>
      </c>
      <c r="S34" s="102">
        <v>-8.6212400000000002</v>
      </c>
      <c r="T34" s="102">
        <v>466</v>
      </c>
      <c r="U34" s="89">
        <f t="shared" si="3"/>
        <v>-40.174978400000001</v>
      </c>
      <c r="V34" s="85">
        <f t="shared" si="37"/>
        <v>-40.174978400000001</v>
      </c>
      <c r="W34" s="85" t="e">
        <f t="shared" si="5"/>
        <v>#N/A</v>
      </c>
      <c r="X34" s="85">
        <f t="shared" si="6"/>
        <v>3590.6549102867748</v>
      </c>
      <c r="Y34" s="85">
        <f t="shared" si="7"/>
        <v>22478.986840912494</v>
      </c>
      <c r="Z34" s="85">
        <f t="shared" si="8"/>
        <v>3612.8330146838234</v>
      </c>
      <c r="AA34" s="85">
        <f t="shared" si="9"/>
        <v>10.848457869623681</v>
      </c>
      <c r="AB34" s="85">
        <f t="shared" si="32"/>
        <v>4.9005557907531427</v>
      </c>
      <c r="AC34" s="85">
        <f t="shared" si="10"/>
        <v>-0.94612751753486235</v>
      </c>
      <c r="AD34" s="85">
        <f t="shared" si="33"/>
        <v>54.209113635937399</v>
      </c>
      <c r="AE34" s="85">
        <f t="shared" si="11"/>
        <v>-0.47306375876743118</v>
      </c>
      <c r="AF34" s="85">
        <f t="shared" si="12"/>
        <v>0.12291262593090714</v>
      </c>
      <c r="AG34" s="85">
        <f t="shared" si="13"/>
        <v>0.76948394371382034</v>
      </c>
      <c r="AH34" s="85">
        <f t="shared" si="14"/>
        <v>2176.1544911289552</v>
      </c>
      <c r="AI34" s="85">
        <f t="shared" si="34"/>
        <v>13623.628388720177</v>
      </c>
      <c r="AJ34" s="85">
        <f t="shared" si="15"/>
        <v>3491.3856590598043</v>
      </c>
      <c r="AK34" s="85">
        <f t="shared" si="16"/>
        <v>20697.469492153476</v>
      </c>
      <c r="AL34" s="85">
        <f t="shared" si="17"/>
        <v>96.262990701046988</v>
      </c>
      <c r="AM34" s="85">
        <f t="shared" si="18"/>
        <v>91.153996137872454</v>
      </c>
      <c r="AN34" s="85">
        <f t="shared" si="35"/>
        <v>139.16016176099771</v>
      </c>
      <c r="AO34" s="85">
        <f t="shared" si="36"/>
        <v>112.88001209655675</v>
      </c>
      <c r="AP34" s="31" t="s">
        <v>14</v>
      </c>
      <c r="AQ34" s="92" t="s">
        <v>18</v>
      </c>
      <c r="AR34" s="31" t="s">
        <v>85</v>
      </c>
      <c r="AT34" s="93">
        <f t="shared" si="19"/>
        <v>-40.174978400000001</v>
      </c>
      <c r="AU34" s="93">
        <f t="shared" si="20"/>
        <v>1614.0288894404666</v>
      </c>
      <c r="AV34" s="93">
        <f t="shared" si="21"/>
        <v>-64843.575770246738</v>
      </c>
    </row>
    <row r="35" spans="1:48" s="32" customFormat="1" x14ac:dyDescent="0.3">
      <c r="A35" s="83" t="s">
        <v>23</v>
      </c>
      <c r="B35" s="84">
        <v>43210.365972222222</v>
      </c>
      <c r="C35" s="84">
        <v>43210.409722222219</v>
      </c>
      <c r="D35" s="85">
        <f t="shared" ref="D35:D62" si="38">MOD(C35-B35,1)*24</f>
        <v>1.0499999999301508</v>
      </c>
      <c r="E35" s="42">
        <f t="shared" ref="E35:E62" si="39">B35 + (AL35 / 1440)</f>
        <v>43210.394083440486</v>
      </c>
      <c r="F35" s="43">
        <f t="shared" ref="F35:F62" si="40">ABS((C35 - E35) * 1440)</f>
        <v>22.519845695933327</v>
      </c>
      <c r="G35" s="43">
        <f t="shared" si="23"/>
        <v>-22.519845695933327</v>
      </c>
      <c r="H35" s="105">
        <f t="shared" si="24"/>
        <v>43210.411425662976</v>
      </c>
      <c r="I35" s="43">
        <f t="shared" si="25"/>
        <v>2.4529546906705946</v>
      </c>
      <c r="J35" s="43">
        <f t="shared" si="26"/>
        <v>2.4529546906705946</v>
      </c>
      <c r="K35" s="87">
        <f t="shared" ref="K35:K62" si="41">B35 + (AM35 / 1440)</f>
        <v>43210.423495447656</v>
      </c>
      <c r="L35" s="88">
        <f t="shared" ref="L35:L62" si="42">ABS((C35 - K35) * 1440)</f>
        <v>19.833444629330188</v>
      </c>
      <c r="M35" s="88">
        <f t="shared" si="28"/>
        <v>19.833444629330188</v>
      </c>
      <c r="N35" s="105">
        <f t="shared" si="29"/>
        <v>43210.440062925372</v>
      </c>
      <c r="O35" s="88">
        <f t="shared" si="30"/>
        <v>43.690612540813163</v>
      </c>
      <c r="P35" s="88">
        <f t="shared" si="31"/>
        <v>43.690612540813163</v>
      </c>
      <c r="Q35" s="102">
        <v>5.1683599999999998</v>
      </c>
      <c r="R35" s="102">
        <v>-2.0745</v>
      </c>
      <c r="S35" s="102">
        <v>-8.2140000000000004</v>
      </c>
      <c r="T35" s="102">
        <v>471.65100000000001</v>
      </c>
      <c r="U35" s="89">
        <f t="shared" ref="U35:U62" si="43">(T35*S35)/100</f>
        <v>-38.741413140000006</v>
      </c>
      <c r="V35" s="85">
        <f t="shared" ref="V35:V62" si="44">IF(AND(U35&gt;-75,U35&lt;0),U35,NA())</f>
        <v>-38.741413140000006</v>
      </c>
      <c r="W35" s="85" t="e">
        <f t="shared" si="5"/>
        <v>#N/A</v>
      </c>
      <c r="X35" s="85">
        <f t="shared" ref="X35:X62" si="45">D35*AH35</f>
        <v>4858.0803275027502</v>
      </c>
      <c r="Y35" s="85">
        <f t="shared" ref="Y35:Y62" si="46">D35*AI35</f>
        <v>15134.668980453664</v>
      </c>
      <c r="Z35" s="85">
        <f t="shared" ref="Z35:Z62" si="47">(T35)^($Z$65)</f>
        <v>3671.3659811486023</v>
      </c>
      <c r="AA35" s="85">
        <f t="shared" ref="AA35:AA62" si="48">SQRT((Q35^2)+(S35^2)+(R35^2))</f>
        <v>9.9239755813685875</v>
      </c>
      <c r="AB35" s="85">
        <f t="shared" si="32"/>
        <v>4.6180339851096841</v>
      </c>
      <c r="AC35" s="85">
        <f t="shared" ref="AC35:AC62" si="49">ATAN2(ABS(R35),S35)</f>
        <v>-1.3234128931071147</v>
      </c>
      <c r="AD35" s="85">
        <f t="shared" si="33"/>
        <v>75.825973328235634</v>
      </c>
      <c r="AE35" s="85">
        <f t="shared" ref="AE35:AE62" si="50">AC35/2</f>
        <v>-0.66170644655355737</v>
      </c>
      <c r="AF35" s="85">
        <f t="shared" ref="AF35:AF62" si="51">((SIN(ABS(AE35))))^(8/3)</f>
        <v>0.27289186436254698</v>
      </c>
      <c r="AG35" s="85">
        <f t="shared" ref="AG35:AG62" si="52">((SIN(ABS(AE35))))^($H$74)</f>
        <v>0.85015639021124656</v>
      </c>
      <c r="AH35" s="85">
        <f t="shared" ref="AH35:AH62" si="53">Z35*AB35*AF35</f>
        <v>4626.7431693580229</v>
      </c>
      <c r="AI35" s="85">
        <f t="shared" si="34"/>
        <v>14413.970458533779</v>
      </c>
      <c r="AJ35" s="85">
        <f t="shared" ref="AJ35:AJ62" si="54">IF(U35&lt;-75,(($H$99*(U35)^4)+($I$99*(U35)^3)+($J$99*(U35)^2)+($K$99*(U35))+$L$99),((($H$103*(U35)^3)+($I$103*(U35)^3)+($J$103*(U35)^2)+($K$103*(U35))+$L$103)))</f>
        <v>3121.5212898853842</v>
      </c>
      <c r="AK35" s="85">
        <f t="shared" ref="AK35:AK62" si="55">IF(U35&lt;-75,(($H$80*(U35)^4)+($I$79*(U35)^3)+($J$79*(U35)^2)+($K$79*(U35))+$L$79),((($H$83*(U35)^3)+($I$83*(U35)^3)+($J$83*(U35)^2)+($K$83*(U35))+$L$83)))</f>
        <v>19899.313729587589</v>
      </c>
      <c r="AL35" s="85">
        <f t="shared" ref="AL35:AL62" si="56">60*(AJ35/AH35)</f>
        <v>40.480154298063269</v>
      </c>
      <c r="AM35" s="85">
        <f t="shared" ref="AM35:AM62" si="57">60*(AK35/AI35)</f>
        <v>82.833444623051321</v>
      </c>
      <c r="AN35" s="85">
        <f t="shared" si="35"/>
        <v>65.452954684849374</v>
      </c>
      <c r="AO35" s="85">
        <f t="shared" si="36"/>
        <v>106.69061253745345</v>
      </c>
      <c r="AP35" s="31" t="s">
        <v>15</v>
      </c>
      <c r="AQ35" s="92" t="s">
        <v>18</v>
      </c>
      <c r="AR35" s="31" t="s">
        <v>24</v>
      </c>
      <c r="AT35" s="93">
        <f t="shared" ref="AT35:AT62" si="58">U35</f>
        <v>-38.741413140000006</v>
      </c>
      <c r="AU35" s="93">
        <f t="shared" ref="AU35:AU62" si="59">U35^2</f>
        <v>1500.897092084165</v>
      </c>
      <c r="AV35" s="93">
        <f t="shared" ref="AV35:AV62" si="60">U35^3</f>
        <v>-58146.874325057266</v>
      </c>
    </row>
    <row r="36" spans="1:48" s="32" customFormat="1" x14ac:dyDescent="0.3">
      <c r="A36" s="83" t="s">
        <v>22</v>
      </c>
      <c r="B36" s="84">
        <v>40578.787499999999</v>
      </c>
      <c r="C36" s="84">
        <v>40578.843055555553</v>
      </c>
      <c r="D36" s="85">
        <f t="shared" si="38"/>
        <v>1.3333333333139308</v>
      </c>
      <c r="E36" s="42">
        <f t="shared" si="39"/>
        <v>40578.875158700648</v>
      </c>
      <c r="F36" s="43">
        <f t="shared" si="40"/>
        <v>46.22852893662639</v>
      </c>
      <c r="G36" s="43">
        <f t="shared" si="23"/>
        <v>46.22852893662639</v>
      </c>
      <c r="H36" s="105">
        <f t="shared" si="24"/>
        <v>40578.931569054235</v>
      </c>
      <c r="I36" s="43">
        <f t="shared" si="25"/>
        <v>127.45943810208701</v>
      </c>
      <c r="J36" s="43">
        <f t="shared" si="26"/>
        <v>127.45943810208701</v>
      </c>
      <c r="K36" s="87">
        <f t="shared" si="41"/>
        <v>40578.842329337182</v>
      </c>
      <c r="L36" s="88">
        <f t="shared" si="42"/>
        <v>1.0457544552627951</v>
      </c>
      <c r="M36" s="88">
        <f t="shared" si="28"/>
        <v>-1.0457544552627951</v>
      </c>
      <c r="N36" s="105">
        <f t="shared" si="29"/>
        <v>40578.858508875732</v>
      </c>
      <c r="O36" s="88">
        <f t="shared" si="30"/>
        <v>22.252781057031825</v>
      </c>
      <c r="P36" s="88">
        <f t="shared" si="31"/>
        <v>22.252781057031825</v>
      </c>
      <c r="Q36" s="102">
        <v>10.543699999999999</v>
      </c>
      <c r="R36" s="102">
        <v>9.7019699999999993</v>
      </c>
      <c r="S36" s="102">
        <v>-9.1067</v>
      </c>
      <c r="T36" s="102">
        <v>423.178</v>
      </c>
      <c r="U36" s="89">
        <f t="shared" si="43"/>
        <v>-38.537550926000002</v>
      </c>
      <c r="V36" s="85">
        <f t="shared" si="44"/>
        <v>-38.537550926000002</v>
      </c>
      <c r="W36" s="85" t="e">
        <f t="shared" si="5"/>
        <v>#N/A</v>
      </c>
      <c r="X36" s="85">
        <f t="shared" si="45"/>
        <v>1946.301817016905</v>
      </c>
      <c r="Y36" s="85">
        <f t="shared" si="46"/>
        <v>20052.727125034657</v>
      </c>
      <c r="Z36" s="85">
        <f t="shared" si="47"/>
        <v>3177.0992027958464</v>
      </c>
      <c r="AA36" s="85">
        <f t="shared" si="48"/>
        <v>16.97733243065294</v>
      </c>
      <c r="AB36" s="85">
        <f t="shared" si="32"/>
        <v>6.6056105984370337</v>
      </c>
      <c r="AC36" s="85">
        <f t="shared" si="49"/>
        <v>-0.75376002149058596</v>
      </c>
      <c r="AD36" s="85">
        <f t="shared" si="33"/>
        <v>43.187267997100804</v>
      </c>
      <c r="AE36" s="85">
        <f t="shared" si="50"/>
        <v>-0.37688001074529298</v>
      </c>
      <c r="AF36" s="85">
        <f t="shared" si="51"/>
        <v>6.9554896306549832E-2</v>
      </c>
      <c r="AG36" s="85">
        <f t="shared" si="52"/>
        <v>0.71662336419285688</v>
      </c>
      <c r="AH36" s="85">
        <f t="shared" si="53"/>
        <v>1459.7263627839206</v>
      </c>
      <c r="AI36" s="85">
        <f t="shared" si="34"/>
        <v>15039.545343994847</v>
      </c>
      <c r="AJ36" s="85">
        <f t="shared" si="54"/>
        <v>3070.985190299456</v>
      </c>
      <c r="AK36" s="85">
        <f t="shared" si="55"/>
        <v>19790.599265469133</v>
      </c>
      <c r="AL36" s="85">
        <f t="shared" si="56"/>
        <v>126.22852893233849</v>
      </c>
      <c r="AM36" s="85">
        <f t="shared" si="57"/>
        <v>78.954245541889364</v>
      </c>
      <c r="AN36" s="85">
        <f t="shared" si="35"/>
        <v>207.45943809966991</v>
      </c>
      <c r="AO36" s="85">
        <f t="shared" si="36"/>
        <v>102.25278106108249</v>
      </c>
      <c r="AP36" s="31" t="s">
        <v>15</v>
      </c>
      <c r="AQ36" s="92" t="s">
        <v>18</v>
      </c>
      <c r="AR36" s="31" t="s">
        <v>24</v>
      </c>
      <c r="AT36" s="93">
        <f t="shared" si="58"/>
        <v>-38.537550926000002</v>
      </c>
      <c r="AU36" s="93">
        <f t="shared" si="59"/>
        <v>1485.1428313740437</v>
      </c>
      <c r="AV36" s="93">
        <f t="shared" si="60"/>
        <v>-57233.767496461041</v>
      </c>
    </row>
    <row r="37" spans="1:48" s="32" customFormat="1" x14ac:dyDescent="0.3">
      <c r="A37" s="83" t="s">
        <v>23</v>
      </c>
      <c r="B37" s="84">
        <v>41549.163888888892</v>
      </c>
      <c r="C37" s="84">
        <v>41549.186805555553</v>
      </c>
      <c r="D37" s="85">
        <f t="shared" si="38"/>
        <v>0.54999999987194315</v>
      </c>
      <c r="E37" s="42">
        <f t="shared" si="39"/>
        <v>41549.260999186816</v>
      </c>
      <c r="F37" s="43">
        <f t="shared" si="40"/>
        <v>106.83882901794277</v>
      </c>
      <c r="G37" s="43">
        <f t="shared" si="23"/>
        <v>106.83882901794277</v>
      </c>
      <c r="H37" s="105">
        <f t="shared" si="24"/>
        <v>41549.368622069291</v>
      </c>
      <c r="I37" s="43">
        <f t="shared" si="25"/>
        <v>261.81577978190035</v>
      </c>
      <c r="J37" s="43">
        <f t="shared" si="26"/>
        <v>261.81577978190035</v>
      </c>
      <c r="K37" s="87">
        <f t="shared" si="41"/>
        <v>41549.209735566074</v>
      </c>
      <c r="L37" s="88">
        <f t="shared" si="42"/>
        <v>33.019215149106458</v>
      </c>
      <c r="M37" s="88">
        <f t="shared" si="28"/>
        <v>33.019215149106458</v>
      </c>
      <c r="N37" s="105">
        <f t="shared" si="29"/>
        <v>41549.227945658873</v>
      </c>
      <c r="O37" s="88">
        <f t="shared" si="30"/>
        <v>59.241748780477792</v>
      </c>
      <c r="P37" s="88">
        <f t="shared" si="31"/>
        <v>59.241748780477792</v>
      </c>
      <c r="Q37" s="102">
        <v>-1.4032</v>
      </c>
      <c r="R37" s="102">
        <v>-8.0061999999999998</v>
      </c>
      <c r="S37" s="102">
        <v>-5.6608999999999998</v>
      </c>
      <c r="T37" s="102">
        <v>628.39400000000001</v>
      </c>
      <c r="U37" s="89">
        <f t="shared" si="43"/>
        <v>-35.572755946000001</v>
      </c>
      <c r="V37" s="85">
        <f t="shared" si="44"/>
        <v>-35.572755946000001</v>
      </c>
      <c r="W37" s="85" t="e">
        <f t="shared" si="5"/>
        <v>#N/A</v>
      </c>
      <c r="X37" s="85">
        <f t="shared" si="45"/>
        <v>564.9585858007739</v>
      </c>
      <c r="Y37" s="85">
        <f t="shared" si="46"/>
        <v>9169.4861231094528</v>
      </c>
      <c r="Z37" s="85">
        <f t="shared" si="47"/>
        <v>5382.4008649401976</v>
      </c>
      <c r="AA37" s="85">
        <f t="shared" si="48"/>
        <v>9.9052510059059067</v>
      </c>
      <c r="AB37" s="85">
        <f t="shared" si="32"/>
        <v>4.612223280172624</v>
      </c>
      <c r="AC37" s="85">
        <f t="shared" si="49"/>
        <v>-0.61545153731361668</v>
      </c>
      <c r="AD37" s="85">
        <f t="shared" si="33"/>
        <v>35.262775582908539</v>
      </c>
      <c r="AE37" s="85">
        <f t="shared" si="50"/>
        <v>-0.30772576865680834</v>
      </c>
      <c r="AF37" s="85">
        <f t="shared" si="51"/>
        <v>4.137781566954718E-2</v>
      </c>
      <c r="AG37" s="85">
        <f t="shared" si="52"/>
        <v>0.67157720251071551</v>
      </c>
      <c r="AH37" s="85">
        <f t="shared" si="53"/>
        <v>1027.1974289678428</v>
      </c>
      <c r="AI37" s="85">
        <f t="shared" si="34"/>
        <v>16671.7929549898</v>
      </c>
      <c r="AJ37" s="85">
        <f t="shared" si="54"/>
        <v>2394.0347604221924</v>
      </c>
      <c r="AK37" s="85">
        <f t="shared" si="55"/>
        <v>18344.311432013059</v>
      </c>
      <c r="AL37" s="85">
        <f t="shared" si="56"/>
        <v>139.83882900648146</v>
      </c>
      <c r="AM37" s="85">
        <f t="shared" si="57"/>
        <v>66.019215143345505</v>
      </c>
      <c r="AN37" s="85">
        <f t="shared" si="35"/>
        <v>294.81577977343977</v>
      </c>
      <c r="AO37" s="85">
        <f t="shared" si="36"/>
        <v>92.241748771085824</v>
      </c>
      <c r="AP37" s="31" t="s">
        <v>15</v>
      </c>
      <c r="AQ37" s="92" t="s">
        <v>18</v>
      </c>
      <c r="AR37" s="31" t="s">
        <v>24</v>
      </c>
      <c r="AT37" s="93">
        <f t="shared" si="58"/>
        <v>-35.572755946000001</v>
      </c>
      <c r="AU37" s="93">
        <f t="shared" si="59"/>
        <v>1265.4209655936784</v>
      </c>
      <c r="AV37" s="93">
        <f t="shared" si="60"/>
        <v>-45014.511178015586</v>
      </c>
    </row>
    <row r="38" spans="1:48" s="32" customFormat="1" x14ac:dyDescent="0.3">
      <c r="A38" s="83" t="s">
        <v>23</v>
      </c>
      <c r="B38" s="84">
        <v>45738.102083333331</v>
      </c>
      <c r="C38" s="84">
        <v>45738.129861111112</v>
      </c>
      <c r="D38" s="85">
        <f t="shared" si="38"/>
        <v>0.66666666674427688</v>
      </c>
      <c r="E38" s="42">
        <f t="shared" si="39"/>
        <v>45738.173738352925</v>
      </c>
      <c r="F38" s="43">
        <f t="shared" si="40"/>
        <v>63.183228210546076</v>
      </c>
      <c r="G38" s="43">
        <f t="shared" si="23"/>
        <v>63.183228210546076</v>
      </c>
      <c r="H38" s="105">
        <f t="shared" si="24"/>
        <v>45738.254318432861</v>
      </c>
      <c r="I38" s="43">
        <f t="shared" si="25"/>
        <v>179.21854331740178</v>
      </c>
      <c r="J38" s="43">
        <f t="shared" si="26"/>
        <v>179.21854331740178</v>
      </c>
      <c r="K38" s="87">
        <f t="shared" si="41"/>
        <v>45738.150395258548</v>
      </c>
      <c r="L38" s="88">
        <f t="shared" si="42"/>
        <v>29.569172307383269</v>
      </c>
      <c r="M38" s="88">
        <f t="shared" si="28"/>
        <v>29.569172307383269</v>
      </c>
      <c r="N38" s="105">
        <f t="shared" si="29"/>
        <v>45738.169728118759</v>
      </c>
      <c r="O38" s="88">
        <f t="shared" si="30"/>
        <v>57.408491011010483</v>
      </c>
      <c r="P38" s="88">
        <f t="shared" si="31"/>
        <v>57.408491011010483</v>
      </c>
      <c r="Q38" s="102">
        <v>8.1439299999999992</v>
      </c>
      <c r="R38" s="102">
        <v>-8.1575000000000006</v>
      </c>
      <c r="S38" s="102">
        <v>-7.1471</v>
      </c>
      <c r="T38" s="102">
        <v>496.49599999999998</v>
      </c>
      <c r="U38" s="89">
        <f t="shared" si="43"/>
        <v>-35.485065616</v>
      </c>
      <c r="V38" s="85">
        <f t="shared" si="44"/>
        <v>-35.485065616</v>
      </c>
      <c r="W38" s="85" t="e">
        <f t="shared" si="5"/>
        <v>#N/A</v>
      </c>
      <c r="X38" s="85">
        <f t="shared" si="45"/>
        <v>920.95010593037841</v>
      </c>
      <c r="Y38" s="85">
        <f t="shared" si="46"/>
        <v>10524.991688518481</v>
      </c>
      <c r="Z38" s="85">
        <f t="shared" si="47"/>
        <v>3931.4643204067738</v>
      </c>
      <c r="AA38" s="85">
        <f t="shared" si="48"/>
        <v>13.56279619049479</v>
      </c>
      <c r="AB38" s="85">
        <f t="shared" si="32"/>
        <v>5.6872129537236491</v>
      </c>
      <c r="AC38" s="85">
        <f t="shared" si="49"/>
        <v>-0.71947446300138507</v>
      </c>
      <c r="AD38" s="85">
        <f t="shared" si="33"/>
        <v>41.222850197420662</v>
      </c>
      <c r="AE38" s="85">
        <f t="shared" si="50"/>
        <v>-0.35973723150069253</v>
      </c>
      <c r="AF38" s="85">
        <f t="shared" si="51"/>
        <v>6.1783645811208328E-2</v>
      </c>
      <c r="AG38" s="85">
        <f t="shared" si="52"/>
        <v>0.70608858662588214</v>
      </c>
      <c r="AH38" s="85">
        <f t="shared" si="53"/>
        <v>1381.4251587347485</v>
      </c>
      <c r="AI38" s="85">
        <f t="shared" si="34"/>
        <v>15787.487530939816</v>
      </c>
      <c r="AJ38" s="85">
        <f t="shared" si="54"/>
        <v>2375.6651236161961</v>
      </c>
      <c r="AK38" s="85">
        <f t="shared" si="55"/>
        <v>18305.374007247094</v>
      </c>
      <c r="AL38" s="85">
        <f t="shared" si="56"/>
        <v>103.18322821594222</v>
      </c>
      <c r="AM38" s="85">
        <f t="shared" si="57"/>
        <v>69.569172313350563</v>
      </c>
      <c r="AN38" s="85">
        <f t="shared" si="35"/>
        <v>219.21854331927301</v>
      </c>
      <c r="AO38" s="85">
        <f t="shared" si="36"/>
        <v>97.408491015681051</v>
      </c>
      <c r="AP38" s="31" t="s">
        <v>14</v>
      </c>
      <c r="AQ38" s="92" t="s">
        <v>17</v>
      </c>
      <c r="AR38" s="31" t="s">
        <v>24</v>
      </c>
      <c r="AT38" s="93">
        <f t="shared" si="58"/>
        <v>-35.485065616</v>
      </c>
      <c r="AU38" s="93">
        <f t="shared" si="59"/>
        <v>1259.1898817718254</v>
      </c>
      <c r="AV38" s="93">
        <f t="shared" si="60"/>
        <v>-44682.435577676508</v>
      </c>
    </row>
    <row r="39" spans="1:48" s="32" customFormat="1" x14ac:dyDescent="0.3">
      <c r="A39" s="86" t="s">
        <v>23</v>
      </c>
      <c r="B39" s="84">
        <v>45572.018055555556</v>
      </c>
      <c r="C39" s="84">
        <v>45572.098611111112</v>
      </c>
      <c r="D39" s="85">
        <f t="shared" si="38"/>
        <v>1.9333333333488554</v>
      </c>
      <c r="E39" s="42">
        <f t="shared" si="39"/>
        <v>45572.062311373047</v>
      </c>
      <c r="F39" s="43">
        <f t="shared" si="40"/>
        <v>52.271622814005241</v>
      </c>
      <c r="G39" s="43">
        <f t="shared" si="23"/>
        <v>-52.271622814005241</v>
      </c>
      <c r="H39" s="105">
        <f t="shared" si="24"/>
        <v>45572.164414450162</v>
      </c>
      <c r="I39" s="43">
        <f t="shared" si="25"/>
        <v>94.756808232050389</v>
      </c>
      <c r="J39" s="43">
        <f t="shared" si="26"/>
        <v>94.756808232050389</v>
      </c>
      <c r="K39" s="87">
        <f t="shared" si="41"/>
        <v>45572.071239086792</v>
      </c>
      <c r="L39" s="88">
        <f t="shared" si="42"/>
        <v>39.415715021314099</v>
      </c>
      <c r="M39" s="88">
        <f t="shared" si="28"/>
        <v>-39.415715021314099</v>
      </c>
      <c r="N39" s="105">
        <f t="shared" si="29"/>
        <v>45572.100502566187</v>
      </c>
      <c r="O39" s="88">
        <f t="shared" si="30"/>
        <v>2.7236953075043857</v>
      </c>
      <c r="P39" s="88">
        <f t="shared" si="31"/>
        <v>2.7236953075043857</v>
      </c>
      <c r="Q39" s="102">
        <v>-6.1364999999999998</v>
      </c>
      <c r="R39" s="102">
        <v>6.4840999999999998</v>
      </c>
      <c r="S39" s="102">
        <v>-6.6845999999999997</v>
      </c>
      <c r="T39" s="102">
        <v>460.15499999999997</v>
      </c>
      <c r="U39" s="89">
        <f t="shared" si="43"/>
        <v>-30.75952113</v>
      </c>
      <c r="V39" s="85">
        <f t="shared" si="44"/>
        <v>-30.75952113</v>
      </c>
      <c r="W39" s="85" t="e">
        <f t="shared" si="5"/>
        <v>#N/A</v>
      </c>
      <c r="X39" s="85">
        <f t="shared" si="45"/>
        <v>2777.9842219267475</v>
      </c>
      <c r="Y39" s="85">
        <f t="shared" si="46"/>
        <v>25042.585738588055</v>
      </c>
      <c r="Z39" s="85">
        <f t="shared" si="47"/>
        <v>3552.5390505703922</v>
      </c>
      <c r="AA39" s="85">
        <f t="shared" si="48"/>
        <v>11.152760295998474</v>
      </c>
      <c r="AB39" s="85">
        <f t="shared" si="32"/>
        <v>4.9917739701751351</v>
      </c>
      <c r="AC39" s="85">
        <f t="shared" si="49"/>
        <v>-0.8006224838797309</v>
      </c>
      <c r="AD39" s="85">
        <f t="shared" si="33"/>
        <v>45.87228930958937</v>
      </c>
      <c r="AE39" s="85">
        <f t="shared" si="50"/>
        <v>-0.40031124193986545</v>
      </c>
      <c r="AF39" s="85">
        <f t="shared" si="51"/>
        <v>8.1026907411429774E-2</v>
      </c>
      <c r="AG39" s="85">
        <f t="shared" si="52"/>
        <v>0.73043009386713209</v>
      </c>
      <c r="AH39" s="85">
        <f t="shared" si="53"/>
        <v>1436.8883906402298</v>
      </c>
      <c r="AI39" s="85">
        <f t="shared" si="34"/>
        <v>12953.061588820861</v>
      </c>
      <c r="AJ39" s="85">
        <f t="shared" si="54"/>
        <v>1526.1760889123552</v>
      </c>
      <c r="AK39" s="85">
        <f t="shared" si="55"/>
        <v>16533.349334086452</v>
      </c>
      <c r="AL39" s="85">
        <f t="shared" si="56"/>
        <v>63.728377187277935</v>
      </c>
      <c r="AM39" s="85">
        <f t="shared" si="57"/>
        <v>76.584284977177404</v>
      </c>
      <c r="AN39" s="85">
        <f t="shared" si="35"/>
        <v>210.75680823581175</v>
      </c>
      <c r="AO39" s="85">
        <f t="shared" si="36"/>
        <v>118.72369530342975</v>
      </c>
      <c r="AP39" s="31" t="s">
        <v>14</v>
      </c>
      <c r="AQ39" s="92" t="s">
        <v>17</v>
      </c>
      <c r="AR39" s="31" t="s">
        <v>24</v>
      </c>
      <c r="AT39" s="93">
        <f t="shared" si="58"/>
        <v>-30.75952113</v>
      </c>
      <c r="AU39" s="93">
        <f t="shared" si="59"/>
        <v>946.14814014691649</v>
      </c>
      <c r="AV39" s="93">
        <f t="shared" si="60"/>
        <v>-29103.063708959278</v>
      </c>
    </row>
    <row r="40" spans="1:48" s="32" customFormat="1" x14ac:dyDescent="0.3">
      <c r="A40" s="86" t="s">
        <v>23</v>
      </c>
      <c r="B40" s="84">
        <v>45853.338888888888</v>
      </c>
      <c r="C40" s="84">
        <v>45853.38958333333</v>
      </c>
      <c r="D40" s="85">
        <f t="shared" si="38"/>
        <v>1.21666666661622</v>
      </c>
      <c r="E40" s="42">
        <f t="shared" si="39"/>
        <v>45853.361907834515</v>
      </c>
      <c r="F40" s="43">
        <f t="shared" si="40"/>
        <v>39.852718294132501</v>
      </c>
      <c r="G40" s="43">
        <f t="shared" si="23"/>
        <v>-39.852718294132501</v>
      </c>
      <c r="H40" s="105">
        <f t="shared" si="24"/>
        <v>45853.418325157654</v>
      </c>
      <c r="I40" s="43">
        <f t="shared" si="25"/>
        <v>41.38822702690959</v>
      </c>
      <c r="J40" s="43">
        <f t="shared" si="26"/>
        <v>41.38822702690959</v>
      </c>
      <c r="K40" s="87">
        <f t="shared" si="41"/>
        <v>45853.378042944474</v>
      </c>
      <c r="L40" s="88">
        <f t="shared" si="42"/>
        <v>16.618159952340648</v>
      </c>
      <c r="M40" s="88">
        <f t="shared" si="28"/>
        <v>-16.618159952340648</v>
      </c>
      <c r="N40" s="105">
        <f t="shared" si="29"/>
        <v>45853.400065750015</v>
      </c>
      <c r="O40" s="88">
        <f t="shared" si="30"/>
        <v>15.094680025940761</v>
      </c>
      <c r="P40" s="88">
        <f t="shared" si="31"/>
        <v>15.094680025940761</v>
      </c>
      <c r="Q40" s="102">
        <v>-4.9138000000000002</v>
      </c>
      <c r="R40" s="102">
        <v>3.3612700000000002</v>
      </c>
      <c r="S40" s="102">
        <v>-4.4481000000000002</v>
      </c>
      <c r="T40" s="102">
        <v>681.85599999999999</v>
      </c>
      <c r="U40" s="89">
        <f t="shared" si="43"/>
        <v>-30.329636736000001</v>
      </c>
      <c r="V40" s="85">
        <f t="shared" si="44"/>
        <v>-30.329636736000001</v>
      </c>
      <c r="W40" s="85" t="e">
        <f t="shared" si="5"/>
        <v>#N/A</v>
      </c>
      <c r="X40" s="85">
        <f t="shared" si="45"/>
        <v>3221.0311872567481</v>
      </c>
      <c r="Y40" s="85">
        <f t="shared" si="46"/>
        <v>21238.887447781679</v>
      </c>
      <c r="Z40" s="85">
        <f t="shared" si="47"/>
        <v>6001.4596230875222</v>
      </c>
      <c r="AA40" s="85">
        <f t="shared" si="48"/>
        <v>7.4316323955709764</v>
      </c>
      <c r="AB40" s="85">
        <f t="shared" si="32"/>
        <v>3.8082268683875995</v>
      </c>
      <c r="AC40" s="85">
        <f t="shared" si="49"/>
        <v>-0.92367996467510738</v>
      </c>
      <c r="AD40" s="85">
        <f t="shared" si="33"/>
        <v>52.922963596676624</v>
      </c>
      <c r="AE40" s="85">
        <f t="shared" si="50"/>
        <v>-0.46183998233755369</v>
      </c>
      <c r="AF40" s="85">
        <f t="shared" si="51"/>
        <v>0.11583601773766465</v>
      </c>
      <c r="AG40" s="85">
        <f t="shared" si="52"/>
        <v>0.76380140399224172</v>
      </c>
      <c r="AH40" s="85">
        <f t="shared" si="53"/>
        <v>2647.4228937454536</v>
      </c>
      <c r="AI40" s="85">
        <f t="shared" si="34"/>
        <v>17456.619820818334</v>
      </c>
      <c r="AJ40" s="85">
        <f t="shared" si="54"/>
        <v>1462.5812074981677</v>
      </c>
      <c r="AK40" s="85">
        <f t="shared" si="55"/>
        <v>16403.939106566264</v>
      </c>
      <c r="AL40" s="85">
        <f t="shared" si="56"/>
        <v>33.147281704487511</v>
      </c>
      <c r="AM40" s="85">
        <f t="shared" si="57"/>
        <v>56.381840041002661</v>
      </c>
      <c r="AN40" s="85">
        <f t="shared" si="35"/>
        <v>114.38822702556268</v>
      </c>
      <c r="AO40" s="85">
        <f t="shared" si="36"/>
        <v>88.094680018392978</v>
      </c>
      <c r="AP40" s="31" t="s">
        <v>15</v>
      </c>
      <c r="AQ40" s="92" t="s">
        <v>18</v>
      </c>
      <c r="AR40" s="31" t="s">
        <v>86</v>
      </c>
      <c r="AT40" s="93">
        <f t="shared" si="58"/>
        <v>-30.329636736000001</v>
      </c>
      <c r="AU40" s="93">
        <f t="shared" si="59"/>
        <v>919.88686453772084</v>
      </c>
      <c r="AV40" s="93">
        <f t="shared" si="60"/>
        <v>-27899.834439647115</v>
      </c>
    </row>
    <row r="41" spans="1:48" s="32" customFormat="1" x14ac:dyDescent="0.3">
      <c r="A41" s="83" t="s">
        <v>23</v>
      </c>
      <c r="B41" s="84">
        <v>45447.11041666667</v>
      </c>
      <c r="C41" s="84">
        <v>45447.169444444444</v>
      </c>
      <c r="D41" s="85">
        <f t="shared" si="38"/>
        <v>1.4166666665696539</v>
      </c>
      <c r="E41" s="42">
        <f t="shared" si="39"/>
        <v>45447.135240958014</v>
      </c>
      <c r="F41" s="43">
        <f t="shared" si="40"/>
        <v>49.253020458854735</v>
      </c>
      <c r="G41" s="43">
        <f t="shared" si="23"/>
        <v>-49.253020458854735</v>
      </c>
      <c r="H41" s="105">
        <f t="shared" si="24"/>
        <v>45447.212542278401</v>
      </c>
      <c r="I41" s="43">
        <f t="shared" si="25"/>
        <v>62.060880898497999</v>
      </c>
      <c r="J41" s="43">
        <f t="shared" si="26"/>
        <v>62.060880898497999</v>
      </c>
      <c r="K41" s="87">
        <f t="shared" si="41"/>
        <v>45447.179093065875</v>
      </c>
      <c r="L41" s="88">
        <f t="shared" si="42"/>
        <v>13.894014861434698</v>
      </c>
      <c r="M41" s="88">
        <f t="shared" si="28"/>
        <v>13.894014861434698</v>
      </c>
      <c r="N41" s="105">
        <f t="shared" si="29"/>
        <v>45447.220906098781</v>
      </c>
      <c r="O41" s="88">
        <f t="shared" si="30"/>
        <v>74.104782245121896</v>
      </c>
      <c r="P41" s="88">
        <f t="shared" si="31"/>
        <v>74.104782245121896</v>
      </c>
      <c r="Q41" s="102">
        <v>-0.51549999999999996</v>
      </c>
      <c r="R41" s="102">
        <v>3.7122700000000002</v>
      </c>
      <c r="S41" s="102">
        <v>-6.9988999999999999</v>
      </c>
      <c r="T41" s="102">
        <v>408.3</v>
      </c>
      <c r="U41" s="89">
        <f t="shared" si="43"/>
        <v>-28.576508699999998</v>
      </c>
      <c r="V41" s="85">
        <f t="shared" si="44"/>
        <v>-28.576508699999998</v>
      </c>
      <c r="W41" s="85" t="e">
        <f t="shared" si="5"/>
        <v>#N/A</v>
      </c>
      <c r="X41" s="85">
        <f t="shared" si="45"/>
        <v>2917.2601597912512</v>
      </c>
      <c r="Y41" s="85">
        <f t="shared" si="46"/>
        <v>13692.863472975894</v>
      </c>
      <c r="Z41" s="85">
        <f t="shared" si="47"/>
        <v>3029.0457990487789</v>
      </c>
      <c r="AA41" s="85">
        <f t="shared" si="48"/>
        <v>7.9392247740506754</v>
      </c>
      <c r="AB41" s="85">
        <f t="shared" si="32"/>
        <v>3.9797158541640569</v>
      </c>
      <c r="AC41" s="85">
        <f t="shared" si="49"/>
        <v>-1.0831195595089542</v>
      </c>
      <c r="AD41" s="85">
        <f t="shared" si="33"/>
        <v>62.058179467931886</v>
      </c>
      <c r="AE41" s="85">
        <f t="shared" si="50"/>
        <v>-0.54155977975447711</v>
      </c>
      <c r="AF41" s="85">
        <f t="shared" si="51"/>
        <v>0.17082427280530954</v>
      </c>
      <c r="AG41" s="85">
        <f t="shared" si="52"/>
        <v>0.80180488447107456</v>
      </c>
      <c r="AH41" s="85">
        <f t="shared" si="53"/>
        <v>2059.2424658760169</v>
      </c>
      <c r="AI41" s="85">
        <f t="shared" si="34"/>
        <v>9665.550687468407</v>
      </c>
      <c r="AJ41" s="85">
        <f t="shared" si="54"/>
        <v>1226.86163825318</v>
      </c>
      <c r="AK41" s="85">
        <f t="shared" si="55"/>
        <v>15931.08522122736</v>
      </c>
      <c r="AL41" s="85">
        <f t="shared" si="56"/>
        <v>35.74697953981628</v>
      </c>
      <c r="AM41" s="85">
        <f t="shared" si="57"/>
        <v>98.894014855557188</v>
      </c>
      <c r="AN41" s="85">
        <f t="shared" si="35"/>
        <v>147.0608808922359</v>
      </c>
      <c r="AO41" s="85">
        <f t="shared" si="36"/>
        <v>159.10478223569444</v>
      </c>
      <c r="AP41" s="31" t="s">
        <v>15</v>
      </c>
      <c r="AQ41" s="92" t="s">
        <v>18</v>
      </c>
      <c r="AR41" s="31" t="s">
        <v>24</v>
      </c>
      <c r="AT41" s="93">
        <f t="shared" si="58"/>
        <v>-28.576508699999998</v>
      </c>
      <c r="AU41" s="93">
        <f t="shared" si="59"/>
        <v>816.61684948117556</v>
      </c>
      <c r="AV41" s="93">
        <f t="shared" si="60"/>
        <v>-23336.058503765402</v>
      </c>
    </row>
    <row r="42" spans="1:48" s="32" customFormat="1" x14ac:dyDescent="0.3">
      <c r="A42" s="83" t="s">
        <v>22</v>
      </c>
      <c r="B42" s="84">
        <v>45551.003472222219</v>
      </c>
      <c r="C42" s="84">
        <v>45551.047222222223</v>
      </c>
      <c r="D42" s="85">
        <f t="shared" si="38"/>
        <v>1.0500000001047738</v>
      </c>
      <c r="E42" s="42">
        <f t="shared" si="39"/>
        <v>45551.012028531899</v>
      </c>
      <c r="F42" s="43">
        <f t="shared" si="40"/>
        <v>50.678914067102596</v>
      </c>
      <c r="G42" s="43">
        <f t="shared" si="23"/>
        <v>-50.678914067102596</v>
      </c>
      <c r="H42" s="105">
        <f t="shared" si="24"/>
        <v>45551.0393858018</v>
      </c>
      <c r="I42" s="43">
        <f t="shared" si="25"/>
        <v>11.284445410128683</v>
      </c>
      <c r="J42" s="43">
        <f t="shared" si="26"/>
        <v>-11.284445410128683</v>
      </c>
      <c r="K42" s="87">
        <f t="shared" si="41"/>
        <v>45551.037879766671</v>
      </c>
      <c r="L42" s="88">
        <f t="shared" si="42"/>
        <v>13.453135995659977</v>
      </c>
      <c r="M42" s="88">
        <f t="shared" si="28"/>
        <v>-13.453135995659977</v>
      </c>
      <c r="N42" s="105">
        <f t="shared" si="29"/>
        <v>45551.058996246815</v>
      </c>
      <c r="O42" s="88">
        <f t="shared" si="30"/>
        <v>16.954595411662012</v>
      </c>
      <c r="P42" s="88">
        <f t="shared" si="31"/>
        <v>16.954595411662012</v>
      </c>
      <c r="Q42" s="102">
        <v>-11.983000000000001</v>
      </c>
      <c r="R42" s="102">
        <v>1.6176999999999999</v>
      </c>
      <c r="S42" s="102">
        <v>-5.5822000000000003</v>
      </c>
      <c r="T42" s="102">
        <v>508.35500000000002</v>
      </c>
      <c r="U42" s="89">
        <f t="shared" si="43"/>
        <v>-28.37739281</v>
      </c>
      <c r="V42" s="85">
        <f t="shared" si="44"/>
        <v>-28.37739281</v>
      </c>
      <c r="W42" s="85" t="e">
        <f t="shared" si="5"/>
        <v>#N/A</v>
      </c>
      <c r="X42" s="85">
        <f t="shared" si="45"/>
        <v>6148.5507424578209</v>
      </c>
      <c r="Y42" s="85">
        <f t="shared" si="46"/>
        <v>20195.550937076416</v>
      </c>
      <c r="Z42" s="85">
        <f t="shared" si="47"/>
        <v>4057.1662052308734</v>
      </c>
      <c r="AA42" s="85">
        <f t="shared" si="48"/>
        <v>13.318040363732196</v>
      </c>
      <c r="AB42" s="85">
        <f t="shared" si="32"/>
        <v>5.6185840829814353</v>
      </c>
      <c r="AC42" s="85">
        <f t="shared" si="49"/>
        <v>-1.2887269625498721</v>
      </c>
      <c r="AD42" s="85">
        <f t="shared" si="33"/>
        <v>73.838615898821772</v>
      </c>
      <c r="AE42" s="85">
        <f t="shared" si="50"/>
        <v>-0.64436348127493603</v>
      </c>
      <c r="AF42" s="85">
        <f t="shared" si="51"/>
        <v>0.25688206193485186</v>
      </c>
      <c r="AG42" s="85">
        <f t="shared" si="52"/>
        <v>0.84375570503183639</v>
      </c>
      <c r="AH42" s="85">
        <f t="shared" si="53"/>
        <v>5855.7626112802764</v>
      </c>
      <c r="AI42" s="85">
        <f t="shared" si="34"/>
        <v>19233.858033391629</v>
      </c>
      <c r="AJ42" s="85">
        <f t="shared" si="54"/>
        <v>1202.4892395158486</v>
      </c>
      <c r="AK42" s="85">
        <f t="shared" si="55"/>
        <v>15882.955806059248</v>
      </c>
      <c r="AL42" s="85">
        <f t="shared" si="56"/>
        <v>12.321085938826425</v>
      </c>
      <c r="AM42" s="85">
        <f t="shared" si="57"/>
        <v>49.546864009763631</v>
      </c>
      <c r="AN42" s="85">
        <f t="shared" si="35"/>
        <v>51.71555459216556</v>
      </c>
      <c r="AO42" s="85">
        <f t="shared" si="36"/>
        <v>79.954595414394433</v>
      </c>
      <c r="AP42" s="31" t="s">
        <v>14</v>
      </c>
      <c r="AQ42" s="92" t="s">
        <v>17</v>
      </c>
      <c r="AR42" s="31" t="s">
        <v>24</v>
      </c>
      <c r="AT42" s="93">
        <f t="shared" si="58"/>
        <v>-28.37739281</v>
      </c>
      <c r="AU42" s="93">
        <f t="shared" si="59"/>
        <v>805.27642269303965</v>
      </c>
      <c r="AV42" s="93">
        <f t="shared" si="60"/>
        <v>-22851.645367391982</v>
      </c>
    </row>
    <row r="43" spans="1:48" s="32" customFormat="1" x14ac:dyDescent="0.3">
      <c r="A43" s="83" t="s">
        <v>23</v>
      </c>
      <c r="B43" s="84">
        <v>40760.833333333336</v>
      </c>
      <c r="C43" s="84">
        <v>40760.863194444442</v>
      </c>
      <c r="D43" s="85">
        <f t="shared" si="38"/>
        <v>0.71666666655801237</v>
      </c>
      <c r="E43" s="42">
        <f t="shared" si="39"/>
        <v>40760.875981035548</v>
      </c>
      <c r="F43" s="43">
        <f t="shared" si="40"/>
        <v>18.412691191770136</v>
      </c>
      <c r="G43" s="43">
        <f t="shared" si="23"/>
        <v>18.412691191770136</v>
      </c>
      <c r="H43" s="105">
        <f t="shared" si="24"/>
        <v>40761.015768811441</v>
      </c>
      <c r="I43" s="43">
        <f t="shared" si="25"/>
        <v>219.70708847860806</v>
      </c>
      <c r="J43" s="43">
        <f t="shared" si="26"/>
        <v>219.70708847860806</v>
      </c>
      <c r="K43" s="87">
        <f t="shared" si="41"/>
        <v>40760.877370596623</v>
      </c>
      <c r="L43" s="88">
        <f t="shared" si="42"/>
        <v>20.413659140467644</v>
      </c>
      <c r="M43" s="88">
        <f t="shared" si="28"/>
        <v>20.413659140467644</v>
      </c>
      <c r="N43" s="105">
        <f t="shared" si="29"/>
        <v>40760.904596568114</v>
      </c>
      <c r="O43" s="88">
        <f t="shared" si="30"/>
        <v>59.619058087700978</v>
      </c>
      <c r="P43" s="88">
        <f t="shared" si="31"/>
        <v>59.619058087700978</v>
      </c>
      <c r="Q43" s="102">
        <v>4.3442499999999997</v>
      </c>
      <c r="R43" s="102">
        <v>5.7244999999999999</v>
      </c>
      <c r="S43" s="102">
        <v>-4.6216999999999997</v>
      </c>
      <c r="T43" s="102">
        <v>609.928</v>
      </c>
      <c r="U43" s="89">
        <f t="shared" si="43"/>
        <v>-28.189042375999996</v>
      </c>
      <c r="V43" s="85">
        <f t="shared" si="44"/>
        <v>-28.189042375999996</v>
      </c>
      <c r="W43" s="85" t="e">
        <f t="shared" si="5"/>
        <v>#N/A</v>
      </c>
      <c r="X43" s="85">
        <f t="shared" si="45"/>
        <v>826.13317535250974</v>
      </c>
      <c r="Y43" s="85">
        <f t="shared" si="46"/>
        <v>10739.869820502208</v>
      </c>
      <c r="Z43" s="85">
        <f t="shared" si="47"/>
        <v>5172.5507610901077</v>
      </c>
      <c r="AA43" s="85">
        <f t="shared" si="48"/>
        <v>8.5441511692209655</v>
      </c>
      <c r="AB43" s="85">
        <f t="shared" si="32"/>
        <v>4.179387271635302</v>
      </c>
      <c r="AC43" s="85">
        <f t="shared" si="49"/>
        <v>-0.67920924464090249</v>
      </c>
      <c r="AD43" s="85">
        <f t="shared" si="33"/>
        <v>38.915823124192343</v>
      </c>
      <c r="AE43" s="85">
        <f t="shared" si="50"/>
        <v>-0.33960462232045124</v>
      </c>
      <c r="AF43" s="85">
        <f t="shared" si="51"/>
        <v>5.3323111144247308E-2</v>
      </c>
      <c r="AG43" s="85">
        <f t="shared" si="52"/>
        <v>0.69320938705678248</v>
      </c>
      <c r="AH43" s="85">
        <f t="shared" si="53"/>
        <v>1152.7439657829214</v>
      </c>
      <c r="AI43" s="85">
        <f t="shared" si="34"/>
        <v>14985.864868089051</v>
      </c>
      <c r="AJ43" s="85">
        <f t="shared" si="54"/>
        <v>1179.8851530845313</v>
      </c>
      <c r="AK43" s="85">
        <f t="shared" si="55"/>
        <v>15838.475443911961</v>
      </c>
      <c r="AL43" s="85">
        <f t="shared" si="56"/>
        <v>61.412691184195936</v>
      </c>
      <c r="AM43" s="85">
        <f t="shared" si="57"/>
        <v>63.413659138106048</v>
      </c>
      <c r="AN43" s="85">
        <f t="shared" si="35"/>
        <v>262.70708847020342</v>
      </c>
      <c r="AO43" s="85">
        <f t="shared" si="36"/>
        <v>102.61905808268692</v>
      </c>
      <c r="AP43" s="31" t="s">
        <v>15</v>
      </c>
      <c r="AQ43" s="92" t="s">
        <v>18</v>
      </c>
      <c r="AR43" s="31" t="s">
        <v>24</v>
      </c>
      <c r="AT43" s="93">
        <f t="shared" si="58"/>
        <v>-28.189042375999996</v>
      </c>
      <c r="AU43" s="93">
        <f t="shared" si="59"/>
        <v>794.6221100759235</v>
      </c>
      <c r="AV43" s="93">
        <f t="shared" si="60"/>
        <v>-22399.636333836741</v>
      </c>
    </row>
    <row r="44" spans="1:48" s="32" customFormat="1" x14ac:dyDescent="0.3">
      <c r="A44" s="83" t="s">
        <v>22</v>
      </c>
      <c r="B44" s="84">
        <v>45765.109722222223</v>
      </c>
      <c r="C44" s="84">
        <v>45765.184027777781</v>
      </c>
      <c r="D44" s="85">
        <f t="shared" si="38"/>
        <v>1.78333333338378</v>
      </c>
      <c r="E44" s="42">
        <f t="shared" si="39"/>
        <v>45765.150989998983</v>
      </c>
      <c r="F44" s="43">
        <f t="shared" si="40"/>
        <v>47.574401468737051</v>
      </c>
      <c r="G44" s="43">
        <f t="shared" si="23"/>
        <v>-47.574401468737051</v>
      </c>
      <c r="H44" s="105">
        <f t="shared" si="24"/>
        <v>45765.336975296748</v>
      </c>
      <c r="I44" s="43">
        <f t="shared" si="25"/>
        <v>220.24442731286399</v>
      </c>
      <c r="J44" s="43">
        <f t="shared" si="26"/>
        <v>220.24442731286399</v>
      </c>
      <c r="K44" s="87">
        <f t="shared" si="41"/>
        <v>45765.170681907097</v>
      </c>
      <c r="L44" s="88">
        <f t="shared" si="42"/>
        <v>19.218053785152733</v>
      </c>
      <c r="M44" s="88">
        <f t="shared" si="28"/>
        <v>-19.218053785152733</v>
      </c>
      <c r="N44" s="105">
        <f t="shared" si="29"/>
        <v>45765.211604520562</v>
      </c>
      <c r="O44" s="88">
        <f t="shared" si="30"/>
        <v>39.710509604774415</v>
      </c>
      <c r="P44" s="88">
        <f t="shared" si="31"/>
        <v>39.710509604774415</v>
      </c>
      <c r="Q44" s="102">
        <v>4.2037199999999997</v>
      </c>
      <c r="R44" s="102">
        <v>-6.8734999999999999</v>
      </c>
      <c r="S44" s="102">
        <v>-6.0571999999999999</v>
      </c>
      <c r="T44" s="102">
        <v>423.202</v>
      </c>
      <c r="U44" s="89">
        <f t="shared" si="43"/>
        <v>-25.634191544</v>
      </c>
      <c r="V44" s="85">
        <f t="shared" si="44"/>
        <v>-25.634191544</v>
      </c>
      <c r="W44" s="85" t="e">
        <f t="shared" si="5"/>
        <v>#N/A</v>
      </c>
      <c r="X44" s="85">
        <f t="shared" si="45"/>
        <v>1650.3076637066044</v>
      </c>
      <c r="Y44" s="85">
        <f t="shared" si="46"/>
        <v>18693.091760425083</v>
      </c>
      <c r="Z44" s="85">
        <f t="shared" si="47"/>
        <v>3177.3394519001613</v>
      </c>
      <c r="AA44" s="85">
        <f t="shared" si="48"/>
        <v>10.079976980549112</v>
      </c>
      <c r="AB44" s="85">
        <f t="shared" si="32"/>
        <v>4.6663039797875845</v>
      </c>
      <c r="AC44" s="85">
        <f t="shared" si="49"/>
        <v>-0.72235299189318714</v>
      </c>
      <c r="AD44" s="85">
        <f t="shared" si="33"/>
        <v>41.387777754127391</v>
      </c>
      <c r="AE44" s="85">
        <f t="shared" si="50"/>
        <v>-0.36117649594659357</v>
      </c>
      <c r="AF44" s="85">
        <f t="shared" si="51"/>
        <v>6.2415973271211393E-2</v>
      </c>
      <c r="AG44" s="85">
        <f t="shared" si="52"/>
        <v>0.7069878794930089</v>
      </c>
      <c r="AH44" s="85">
        <f t="shared" si="53"/>
        <v>925.4061665382734</v>
      </c>
      <c r="AI44" s="85">
        <f t="shared" si="34"/>
        <v>10482.10752891381</v>
      </c>
      <c r="AJ44" s="85">
        <f t="shared" si="54"/>
        <v>916.54692225110466</v>
      </c>
      <c r="AK44" s="85">
        <f t="shared" si="55"/>
        <v>15335.663321895796</v>
      </c>
      <c r="AL44" s="85">
        <f t="shared" si="56"/>
        <v>59.425598535593785</v>
      </c>
      <c r="AM44" s="85">
        <f t="shared" si="57"/>
        <v>87.781946214121277</v>
      </c>
      <c r="AN44" s="85">
        <f t="shared" si="35"/>
        <v>327.24442731482742</v>
      </c>
      <c r="AO44" s="85">
        <f t="shared" si="36"/>
        <v>146.71050960656223</v>
      </c>
      <c r="AP44" s="31" t="s">
        <v>14</v>
      </c>
      <c r="AQ44" s="92" t="s">
        <v>17</v>
      </c>
      <c r="AR44" s="31" t="s">
        <v>24</v>
      </c>
      <c r="AT44" s="93">
        <f t="shared" si="58"/>
        <v>-25.634191544</v>
      </c>
      <c r="AU44" s="93">
        <f t="shared" si="59"/>
        <v>657.11177611448113</v>
      </c>
      <c r="AV44" s="93">
        <f t="shared" si="60"/>
        <v>-16844.529134736655</v>
      </c>
    </row>
    <row r="45" spans="1:48" s="32" customFormat="1" x14ac:dyDescent="0.3">
      <c r="A45" s="83" t="s">
        <v>23</v>
      </c>
      <c r="B45" s="84">
        <v>43338.376388888886</v>
      </c>
      <c r="C45" s="84">
        <v>43338.440972222219</v>
      </c>
      <c r="D45" s="85">
        <f t="shared" si="38"/>
        <v>1.5499999999883585</v>
      </c>
      <c r="E45" s="42">
        <f t="shared" si="39"/>
        <v>43338.54338057476</v>
      </c>
      <c r="F45" s="43">
        <f t="shared" si="40"/>
        <v>147.46802765876055</v>
      </c>
      <c r="G45" s="43">
        <f t="shared" si="23"/>
        <v>147.46802765876055</v>
      </c>
      <c r="H45" s="105">
        <f t="shared" si="24"/>
        <v>43339.502030940406</v>
      </c>
      <c r="I45" s="43">
        <f t="shared" si="25"/>
        <v>1527.9245541896671</v>
      </c>
      <c r="J45" s="43">
        <f t="shared" si="26"/>
        <v>1527.9245541896671</v>
      </c>
      <c r="K45" s="87">
        <f t="shared" si="41"/>
        <v>43338.434120311154</v>
      </c>
      <c r="L45" s="88">
        <f t="shared" si="42"/>
        <v>9.8667519330047071</v>
      </c>
      <c r="M45" s="88">
        <f t="shared" si="28"/>
        <v>-9.8667519330047071</v>
      </c>
      <c r="N45" s="105">
        <f t="shared" si="29"/>
        <v>43338.474748071392</v>
      </c>
      <c r="O45" s="88">
        <f t="shared" si="30"/>
        <v>48.637222809484228</v>
      </c>
      <c r="P45" s="88">
        <f t="shared" si="31"/>
        <v>48.637222809484228</v>
      </c>
      <c r="Q45" s="102">
        <v>1.35144</v>
      </c>
      <c r="R45" s="102">
        <v>15.9261</v>
      </c>
      <c r="S45" s="102">
        <v>-5.8586</v>
      </c>
      <c r="T45" s="102">
        <v>398.39100000000002</v>
      </c>
      <c r="U45" s="89">
        <f t="shared" si="43"/>
        <v>-23.340135126</v>
      </c>
      <c r="V45" s="85">
        <f t="shared" si="44"/>
        <v>-23.340135126</v>
      </c>
      <c r="W45" s="85" t="e">
        <f t="shared" si="5"/>
        <v>#N/A</v>
      </c>
      <c r="X45" s="85">
        <f t="shared" si="45"/>
        <v>289.58332196196039</v>
      </c>
      <c r="Y45" s="85">
        <f t="shared" si="46"/>
        <v>16829.225578019454</v>
      </c>
      <c r="Z45" s="85">
        <f t="shared" si="47"/>
        <v>2931.4288544943111</v>
      </c>
      <c r="AA45" s="85">
        <f t="shared" si="48"/>
        <v>17.02322664019956</v>
      </c>
      <c r="AB45" s="85">
        <f t="shared" si="32"/>
        <v>6.6175097137419954</v>
      </c>
      <c r="AC45" s="85">
        <f t="shared" si="49"/>
        <v>-0.35249767251626907</v>
      </c>
      <c r="AD45" s="85">
        <f t="shared" si="33"/>
        <v>20.196628923366852</v>
      </c>
      <c r="AE45" s="85">
        <f t="shared" si="50"/>
        <v>-0.17624883625813453</v>
      </c>
      <c r="AF45" s="85">
        <f t="shared" si="51"/>
        <v>9.6309228042406863E-3</v>
      </c>
      <c r="AG45" s="85">
        <f t="shared" si="52"/>
        <v>0.55970409932084808</v>
      </c>
      <c r="AH45" s="85">
        <f t="shared" si="53"/>
        <v>186.82794965428087</v>
      </c>
      <c r="AI45" s="85">
        <f t="shared" si="34"/>
        <v>10857.564889126357</v>
      </c>
      <c r="AJ45" s="85">
        <f t="shared" si="54"/>
        <v>748.76914274247429</v>
      </c>
      <c r="AK45" s="85">
        <f t="shared" si="55"/>
        <v>15043.743922667574</v>
      </c>
      <c r="AL45" s="85">
        <f t="shared" si="56"/>
        <v>240.46802765690495</v>
      </c>
      <c r="AM45" s="85">
        <f t="shared" si="57"/>
        <v>83.133248069649184</v>
      </c>
      <c r="AN45" s="85">
        <f t="shared" si="35"/>
        <v>1620.9245541837381</v>
      </c>
      <c r="AO45" s="85">
        <f t="shared" si="36"/>
        <v>141.63722280470461</v>
      </c>
      <c r="AP45" s="31" t="s">
        <v>32</v>
      </c>
      <c r="AQ45" s="92" t="s">
        <v>18</v>
      </c>
      <c r="AR45" s="31" t="s">
        <v>24</v>
      </c>
      <c r="AT45" s="93">
        <f t="shared" si="58"/>
        <v>-23.340135126</v>
      </c>
      <c r="AU45" s="93">
        <f t="shared" si="59"/>
        <v>544.761907699939</v>
      </c>
      <c r="AV45" s="93">
        <f t="shared" si="60"/>
        <v>-12714.816537214116</v>
      </c>
    </row>
    <row r="46" spans="1:48" s="32" customFormat="1" x14ac:dyDescent="0.3">
      <c r="A46" s="83" t="s">
        <v>23</v>
      </c>
      <c r="B46" s="84">
        <v>41350.301388888889</v>
      </c>
      <c r="C46" s="84">
        <v>41350.363888888889</v>
      </c>
      <c r="D46" s="85">
        <f t="shared" si="38"/>
        <v>1.5</v>
      </c>
      <c r="E46" s="42">
        <f t="shared" si="39"/>
        <v>41350.343737009927</v>
      </c>
      <c r="F46" s="43">
        <f t="shared" si="40"/>
        <v>29.018705704947934</v>
      </c>
      <c r="G46" s="43">
        <f t="shared" si="23"/>
        <v>-29.018705704947934</v>
      </c>
      <c r="H46" s="105">
        <f t="shared" si="24"/>
        <v>41350.638719483555</v>
      </c>
      <c r="I46" s="43">
        <f t="shared" si="25"/>
        <v>395.75605631922372</v>
      </c>
      <c r="J46" s="43">
        <f t="shared" si="26"/>
        <v>395.75605631922372</v>
      </c>
      <c r="K46" s="87">
        <f t="shared" si="41"/>
        <v>41350.351796026771</v>
      </c>
      <c r="L46" s="88">
        <f t="shared" si="42"/>
        <v>17.413721450138837</v>
      </c>
      <c r="M46" s="88">
        <f t="shared" si="28"/>
        <v>-17.413721450138837</v>
      </c>
      <c r="N46" s="105">
        <f t="shared" si="29"/>
        <v>41350.388138716771</v>
      </c>
      <c r="O46" s="88">
        <f t="shared" si="30"/>
        <v>34.919752150308341</v>
      </c>
      <c r="P46" s="88">
        <f t="shared" si="31"/>
        <v>34.919752150308341</v>
      </c>
      <c r="Q46" s="102">
        <v>-2.29E-2</v>
      </c>
      <c r="R46" s="102">
        <v>-4.8426999999999998</v>
      </c>
      <c r="S46" s="102">
        <v>-3.0659999999999998</v>
      </c>
      <c r="T46" s="102">
        <v>672</v>
      </c>
      <c r="U46" s="89">
        <f t="shared" si="43"/>
        <v>-20.60352</v>
      </c>
      <c r="V46" s="85">
        <f t="shared" si="44"/>
        <v>-20.60352</v>
      </c>
      <c r="W46" s="85" t="e">
        <f t="shared" si="5"/>
        <v>#N/A</v>
      </c>
      <c r="X46" s="85">
        <f t="shared" si="45"/>
        <v>935.14226038522179</v>
      </c>
      <c r="Y46" s="85">
        <f t="shared" si="46"/>
        <v>18465.878823750652</v>
      </c>
      <c r="Z46" s="85">
        <f t="shared" si="47"/>
        <v>5886.0737240093231</v>
      </c>
      <c r="AA46" s="85">
        <f t="shared" si="48"/>
        <v>5.7317208323504376</v>
      </c>
      <c r="AB46" s="85">
        <f t="shared" si="32"/>
        <v>3.2027523098027948</v>
      </c>
      <c r="AC46" s="85">
        <f t="shared" si="49"/>
        <v>-0.56441561176448019</v>
      </c>
      <c r="AD46" s="85">
        <f t="shared" si="33"/>
        <v>32.338632445399128</v>
      </c>
      <c r="AE46" s="85">
        <f t="shared" si="50"/>
        <v>-0.28220780588224009</v>
      </c>
      <c r="AF46" s="85">
        <f t="shared" si="51"/>
        <v>3.3070242098462745E-2</v>
      </c>
      <c r="AG46" s="85">
        <f t="shared" si="52"/>
        <v>0.65302479540465974</v>
      </c>
      <c r="AH46" s="85">
        <f t="shared" si="53"/>
        <v>623.42817359014782</v>
      </c>
      <c r="AI46" s="85">
        <f t="shared" si="34"/>
        <v>12310.585882500434</v>
      </c>
      <c r="AJ46" s="85">
        <f t="shared" si="54"/>
        <v>633.62428205297783</v>
      </c>
      <c r="AK46" s="85">
        <f t="shared" si="55"/>
        <v>14892.993600709306</v>
      </c>
      <c r="AL46" s="85">
        <f t="shared" si="56"/>
        <v>60.981294291284279</v>
      </c>
      <c r="AM46" s="85">
        <f t="shared" si="57"/>
        <v>72.586278555010665</v>
      </c>
      <c r="AN46" s="85">
        <f t="shared" si="35"/>
        <v>485.75605632079646</v>
      </c>
      <c r="AO46" s="85">
        <f t="shared" si="36"/>
        <v>124.91975215442582</v>
      </c>
      <c r="AP46" s="31" t="s">
        <v>15</v>
      </c>
      <c r="AQ46" s="92" t="s">
        <v>18</v>
      </c>
      <c r="AR46" s="31" t="s">
        <v>24</v>
      </c>
      <c r="AT46" s="93">
        <f t="shared" si="58"/>
        <v>-20.60352</v>
      </c>
      <c r="AU46" s="93">
        <f t="shared" si="59"/>
        <v>424.50503639039999</v>
      </c>
      <c r="AV46" s="93">
        <f t="shared" si="60"/>
        <v>-8746.2980073703347</v>
      </c>
    </row>
    <row r="47" spans="1:48" s="32" customFormat="1" x14ac:dyDescent="0.3">
      <c r="A47" s="83" t="s">
        <v>23</v>
      </c>
      <c r="B47" s="84">
        <v>45855.072222222225</v>
      </c>
      <c r="C47" s="84">
        <v>45855.13958333333</v>
      </c>
      <c r="D47" s="85">
        <f t="shared" si="38"/>
        <v>1.6166666665230878</v>
      </c>
      <c r="E47" s="42">
        <f t="shared" si="39"/>
        <v>45855.092738098981</v>
      </c>
      <c r="F47" s="43">
        <f t="shared" si="40"/>
        <v>67.457137461751699</v>
      </c>
      <c r="G47" s="43">
        <f t="shared" si="23"/>
        <v>-67.457137461751699</v>
      </c>
      <c r="H47" s="105">
        <f t="shared" si="24"/>
        <v>45855.233933756426</v>
      </c>
      <c r="I47" s="43">
        <f t="shared" si="25"/>
        <v>135.86460925871506</v>
      </c>
      <c r="J47" s="43">
        <f t="shared" si="26"/>
        <v>135.86460925871506</v>
      </c>
      <c r="K47" s="87">
        <f t="shared" si="41"/>
        <v>45855.117991789943</v>
      </c>
      <c r="L47" s="88">
        <f t="shared" si="42"/>
        <v>31.091822477756068</v>
      </c>
      <c r="M47" s="88">
        <f t="shared" si="28"/>
        <v>-31.091822477756068</v>
      </c>
      <c r="N47" s="105">
        <f t="shared" si="29"/>
        <v>45855.149945578101</v>
      </c>
      <c r="O47" s="88">
        <f t="shared" si="30"/>
        <v>14.921632470795885</v>
      </c>
      <c r="P47" s="88">
        <f t="shared" si="31"/>
        <v>14.921632470795885</v>
      </c>
      <c r="Q47" s="102">
        <v>-5.4051</v>
      </c>
      <c r="R47" s="102">
        <v>2.7711100000000002</v>
      </c>
      <c r="S47" s="102">
        <v>-2.5571999999999999</v>
      </c>
      <c r="T47" s="102">
        <v>636.41999999999996</v>
      </c>
      <c r="U47" s="89">
        <f t="shared" si="43"/>
        <v>-16.274532239999999</v>
      </c>
      <c r="V47" s="85">
        <f t="shared" si="44"/>
        <v>-16.274532239999999</v>
      </c>
      <c r="W47" s="85" t="e">
        <f t="shared" si="5"/>
        <v>#N/A</v>
      </c>
      <c r="X47" s="85">
        <f t="shared" si="45"/>
        <v>2102.4304752057892</v>
      </c>
      <c r="Y47" s="85">
        <f t="shared" si="46"/>
        <v>22213.463776570181</v>
      </c>
      <c r="Z47" s="85">
        <f t="shared" si="47"/>
        <v>5474.2558647171236</v>
      </c>
      <c r="AA47" s="85">
        <f t="shared" si="48"/>
        <v>6.590404273039705</v>
      </c>
      <c r="AB47" s="85">
        <f t="shared" si="32"/>
        <v>3.5151298352003266</v>
      </c>
      <c r="AC47" s="85">
        <f t="shared" si="49"/>
        <v>-0.74527377279645879</v>
      </c>
      <c r="AD47" s="85">
        <f t="shared" si="33"/>
        <v>42.701041763028911</v>
      </c>
      <c r="AE47" s="85">
        <f t="shared" si="50"/>
        <v>-0.37263688639822939</v>
      </c>
      <c r="AF47" s="85">
        <f t="shared" si="51"/>
        <v>6.7582568950438099E-2</v>
      </c>
      <c r="AG47" s="85">
        <f t="shared" si="52"/>
        <v>0.71405117316003963</v>
      </c>
      <c r="AH47" s="85">
        <f t="shared" si="53"/>
        <v>1300.472459005676</v>
      </c>
      <c r="AI47" s="85">
        <f t="shared" si="34"/>
        <v>13740.286873325564</v>
      </c>
      <c r="AJ47" s="85">
        <f t="shared" si="54"/>
        <v>640.32798467415978</v>
      </c>
      <c r="AK47" s="85">
        <f t="shared" si="55"/>
        <v>15093.287771506772</v>
      </c>
      <c r="AL47" s="85">
        <f t="shared" si="56"/>
        <v>29.542862529995265</v>
      </c>
      <c r="AM47" s="85">
        <f t="shared" si="57"/>
        <v>65.908177510359678</v>
      </c>
      <c r="AN47" s="85">
        <f t="shared" si="35"/>
        <v>232.86460924668097</v>
      </c>
      <c r="AO47" s="85">
        <f t="shared" si="36"/>
        <v>111.92163245901176</v>
      </c>
      <c r="AP47" s="31" t="s">
        <v>32</v>
      </c>
      <c r="AQ47" s="92" t="s">
        <v>17</v>
      </c>
      <c r="AR47" s="31" t="s">
        <v>86</v>
      </c>
      <c r="AT47" s="93">
        <f t="shared" si="58"/>
        <v>-16.274532239999999</v>
      </c>
      <c r="AU47" s="93">
        <f t="shared" si="59"/>
        <v>264.86039963079941</v>
      </c>
      <c r="AV47" s="93">
        <f t="shared" si="60"/>
        <v>-4310.4791128907291</v>
      </c>
    </row>
    <row r="48" spans="1:48" s="32" customFormat="1" x14ac:dyDescent="0.3">
      <c r="A48" s="83" t="s">
        <v>23</v>
      </c>
      <c r="B48" s="84">
        <v>43210.269444444442</v>
      </c>
      <c r="C48" s="84">
        <v>43210.356944444444</v>
      </c>
      <c r="D48" s="85">
        <f t="shared" si="38"/>
        <v>2.1000000000349246</v>
      </c>
      <c r="E48" s="42">
        <f t="shared" si="39"/>
        <v>43210.327171385856</v>
      </c>
      <c r="F48" s="43">
        <f t="shared" si="40"/>
        <v>42.873204366769642</v>
      </c>
      <c r="G48" s="43">
        <f t="shared" si="23"/>
        <v>-42.873204366769642</v>
      </c>
      <c r="H48" s="105">
        <f t="shared" si="24"/>
        <v>43210.717214132223</v>
      </c>
      <c r="I48" s="43">
        <f t="shared" si="25"/>
        <v>518.78835040144622</v>
      </c>
      <c r="J48" s="43">
        <f t="shared" si="26"/>
        <v>518.78835040144622</v>
      </c>
      <c r="K48" s="87">
        <f t="shared" si="41"/>
        <v>43210.356528746648</v>
      </c>
      <c r="L48" s="88">
        <f t="shared" si="42"/>
        <v>0.59860482579097152</v>
      </c>
      <c r="M48" s="88">
        <f t="shared" si="28"/>
        <v>-0.59860482579097152</v>
      </c>
      <c r="N48" s="105">
        <f t="shared" si="29"/>
        <v>43210.416948537102</v>
      </c>
      <c r="O48" s="88">
        <f t="shared" si="30"/>
        <v>86.405893428018317</v>
      </c>
      <c r="P48" s="88">
        <f t="shared" si="31"/>
        <v>86.405893428018317</v>
      </c>
      <c r="Q48" s="102">
        <v>-1.6449</v>
      </c>
      <c r="R48" s="102">
        <v>5.4988400000000004</v>
      </c>
      <c r="S48" s="102">
        <v>-4.0064000000000002</v>
      </c>
      <c r="T48" s="102">
        <v>397.697</v>
      </c>
      <c r="U48" s="89">
        <f t="shared" si="43"/>
        <v>-15.933332608000001</v>
      </c>
      <c r="V48" s="85">
        <f t="shared" si="44"/>
        <v>-15.933332608000001</v>
      </c>
      <c r="W48" s="85" t="e">
        <f t="shared" si="5"/>
        <v>#N/A</v>
      </c>
      <c r="X48" s="85">
        <f t="shared" si="45"/>
        <v>986.29484034659322</v>
      </c>
      <c r="Y48" s="85">
        <f t="shared" si="46"/>
        <v>15204.164800714188</v>
      </c>
      <c r="Z48" s="85">
        <f t="shared" si="47"/>
        <v>2924.6220717566039</v>
      </c>
      <c r="AA48" s="85">
        <f t="shared" si="48"/>
        <v>6.9995841530479517</v>
      </c>
      <c r="AB48" s="85">
        <f t="shared" si="32"/>
        <v>3.65916078371886</v>
      </c>
      <c r="AC48" s="85">
        <f t="shared" si="49"/>
        <v>-0.62965733378459487</v>
      </c>
      <c r="AD48" s="85">
        <f t="shared" si="33"/>
        <v>36.07670776531743</v>
      </c>
      <c r="AE48" s="85">
        <f t="shared" si="50"/>
        <v>-0.31482866689229744</v>
      </c>
      <c r="AF48" s="85">
        <f t="shared" si="51"/>
        <v>4.3887032917863514E-2</v>
      </c>
      <c r="AG48" s="85">
        <f t="shared" si="52"/>
        <v>0.67653773881964341</v>
      </c>
      <c r="AH48" s="85">
        <f t="shared" si="53"/>
        <v>469.66420968104302</v>
      </c>
      <c r="AI48" s="85">
        <f t="shared" si="34"/>
        <v>7240.0784764101581</v>
      </c>
      <c r="AJ48" s="85">
        <f t="shared" si="54"/>
        <v>650.69467957088909</v>
      </c>
      <c r="AK48" s="85">
        <f t="shared" si="55"/>
        <v>15131.932369418868</v>
      </c>
      <c r="AL48" s="85">
        <f t="shared" si="56"/>
        <v>83.126795632920832</v>
      </c>
      <c r="AM48" s="85">
        <f t="shared" si="57"/>
        <v>125.40139518146539</v>
      </c>
      <c r="AN48" s="85">
        <f t="shared" si="35"/>
        <v>644.78835040056981</v>
      </c>
      <c r="AO48" s="85">
        <f t="shared" si="36"/>
        <v>212.40589343449096</v>
      </c>
      <c r="AP48" s="31" t="s">
        <v>15</v>
      </c>
      <c r="AQ48" s="92" t="s">
        <v>18</v>
      </c>
      <c r="AR48" s="31" t="s">
        <v>24</v>
      </c>
      <c r="AT48" s="93">
        <f t="shared" si="58"/>
        <v>-15.933332608000001</v>
      </c>
      <c r="AU48" s="93">
        <f t="shared" si="59"/>
        <v>253.87108799715611</v>
      </c>
      <c r="AV48" s="93">
        <f t="shared" si="60"/>
        <v>-4045.012484613525</v>
      </c>
    </row>
    <row r="49" spans="1:48" s="32" customFormat="1" x14ac:dyDescent="0.3">
      <c r="A49" s="83" t="s">
        <v>23</v>
      </c>
      <c r="B49" s="84">
        <v>41349.080555555556</v>
      </c>
      <c r="C49" s="84">
        <v>41349.143750000003</v>
      </c>
      <c r="D49" s="85">
        <f t="shared" si="38"/>
        <v>1.5166666667209938</v>
      </c>
      <c r="E49" s="42">
        <f t="shared" si="39"/>
        <v>41349.095831799968</v>
      </c>
      <c r="F49" s="43">
        <f t="shared" si="40"/>
        <v>69.002208049641922</v>
      </c>
      <c r="G49" s="43">
        <f t="shared" si="23"/>
        <v>-69.002208049641922</v>
      </c>
      <c r="H49" s="105">
        <f t="shared" si="24"/>
        <v>41349.195664336046</v>
      </c>
      <c r="I49" s="43">
        <f t="shared" si="25"/>
        <v>74.756643902510405</v>
      </c>
      <c r="J49" s="43">
        <f t="shared" si="26"/>
        <v>74.756643902510405</v>
      </c>
      <c r="K49" s="87">
        <f t="shared" si="41"/>
        <v>41349.155507415533</v>
      </c>
      <c r="L49" s="88">
        <f t="shared" si="42"/>
        <v>16.930678363423795</v>
      </c>
      <c r="M49" s="88">
        <f t="shared" si="28"/>
        <v>16.930678363423795</v>
      </c>
      <c r="N49" s="105">
        <f t="shared" si="29"/>
        <v>41349.206947855339</v>
      </c>
      <c r="O49" s="88">
        <f t="shared" si="30"/>
        <v>91.004911683266982</v>
      </c>
      <c r="P49" s="88">
        <f t="shared" si="31"/>
        <v>91.004911683266982</v>
      </c>
      <c r="Q49" s="102">
        <v>-3.6575000000000002</v>
      </c>
      <c r="R49" s="102">
        <v>1.7795099999999999</v>
      </c>
      <c r="S49" s="102">
        <v>-3.4180000000000001</v>
      </c>
      <c r="T49" s="102">
        <v>450.52100000000002</v>
      </c>
      <c r="U49" s="89">
        <f t="shared" si="43"/>
        <v>-15.398807780000002</v>
      </c>
      <c r="V49" s="85">
        <f t="shared" si="44"/>
        <v>-15.398807780000002</v>
      </c>
      <c r="W49" s="85" t="e">
        <f t="shared" si="5"/>
        <v>#N/A</v>
      </c>
      <c r="X49" s="85">
        <f t="shared" si="45"/>
        <v>2770.9190968467465</v>
      </c>
      <c r="Y49" s="85">
        <f t="shared" si="46"/>
        <v>12814.948637255562</v>
      </c>
      <c r="Z49" s="85">
        <f t="shared" si="47"/>
        <v>3453.7167688961986</v>
      </c>
      <c r="AA49" s="85">
        <f t="shared" si="48"/>
        <v>5.3128792655301327</v>
      </c>
      <c r="AB49" s="85">
        <f t="shared" si="32"/>
        <v>3.0447616287004848</v>
      </c>
      <c r="AC49" s="85">
        <f t="shared" si="49"/>
        <v>-1.0907820246832818</v>
      </c>
      <c r="AD49" s="85">
        <f t="shared" si="33"/>
        <v>62.497206383086834</v>
      </c>
      <c r="AE49" s="85">
        <f t="shared" si="50"/>
        <v>-0.54539101234164089</v>
      </c>
      <c r="AF49" s="85">
        <f t="shared" si="51"/>
        <v>0.17373754753749709</v>
      </c>
      <c r="AG49" s="85">
        <f t="shared" si="52"/>
        <v>0.80350153513663247</v>
      </c>
      <c r="AH49" s="85">
        <f t="shared" si="53"/>
        <v>1826.9796242291154</v>
      </c>
      <c r="AI49" s="85">
        <f t="shared" si="34"/>
        <v>8449.4166836021068</v>
      </c>
      <c r="AJ49" s="85">
        <f t="shared" si="54"/>
        <v>669.82529460430078</v>
      </c>
      <c r="AK49" s="85">
        <f t="shared" si="55"/>
        <v>15199.187907365658</v>
      </c>
      <c r="AL49" s="85">
        <f t="shared" si="56"/>
        <v>21.997791953052463</v>
      </c>
      <c r="AM49" s="85">
        <f t="shared" si="57"/>
        <v>107.93067836407869</v>
      </c>
      <c r="AN49" s="85">
        <f t="shared" si="35"/>
        <v>165.75664390904541</v>
      </c>
      <c r="AO49" s="85">
        <f t="shared" si="36"/>
        <v>182.00491168842754</v>
      </c>
      <c r="AP49" s="31" t="s">
        <v>15</v>
      </c>
      <c r="AQ49" s="92" t="s">
        <v>18</v>
      </c>
      <c r="AR49" s="31" t="s">
        <v>24</v>
      </c>
      <c r="AT49" s="93">
        <f t="shared" si="58"/>
        <v>-15.398807780000002</v>
      </c>
      <c r="AU49" s="93">
        <f t="shared" si="59"/>
        <v>237.12328104538858</v>
      </c>
      <c r="AV49" s="93">
        <f t="shared" si="60"/>
        <v>-3651.4158249808565</v>
      </c>
    </row>
    <row r="50" spans="1:48" s="32" customFormat="1" x14ac:dyDescent="0.3">
      <c r="A50" s="83" t="s">
        <v>23</v>
      </c>
      <c r="B50" s="84">
        <v>45854.345833333333</v>
      </c>
      <c r="C50" s="84">
        <v>45854.38958333333</v>
      </c>
      <c r="D50" s="85">
        <f t="shared" si="38"/>
        <v>1.0499999999301508</v>
      </c>
      <c r="E50" s="42">
        <f t="shared" si="39"/>
        <v>45854.362815673929</v>
      </c>
      <c r="F50" s="43">
        <f t="shared" si="40"/>
        <v>38.54542953777127</v>
      </c>
      <c r="G50" s="43">
        <f t="shared" si="23"/>
        <v>-38.54542953777127</v>
      </c>
      <c r="H50" s="105">
        <f t="shared" si="24"/>
        <v>45854.465297809671</v>
      </c>
      <c r="I50" s="43">
        <f t="shared" si="25"/>
        <v>109.02884593117051</v>
      </c>
      <c r="J50" s="43">
        <f t="shared" si="26"/>
        <v>109.02884593117051</v>
      </c>
      <c r="K50" s="87">
        <f t="shared" si="41"/>
        <v>45854.404898561443</v>
      </c>
      <c r="L50" s="88">
        <f t="shared" si="42"/>
        <v>22.053928482346237</v>
      </c>
      <c r="M50" s="88">
        <f t="shared" si="28"/>
        <v>22.053928482346237</v>
      </c>
      <c r="N50" s="105">
        <f t="shared" si="29"/>
        <v>45854.44442791785</v>
      </c>
      <c r="O50" s="88">
        <f t="shared" si="30"/>
        <v>78.976201708428562</v>
      </c>
      <c r="P50" s="88">
        <f t="shared" si="31"/>
        <v>78.976201708428562</v>
      </c>
      <c r="Q50" s="102">
        <v>-4.1959999999999997</v>
      </c>
      <c r="R50" s="102">
        <v>1.8049999999999999</v>
      </c>
      <c r="S50" s="102">
        <v>-2.5442</v>
      </c>
      <c r="T50" s="102">
        <v>564.12699999999995</v>
      </c>
      <c r="U50" s="89">
        <f t="shared" si="43"/>
        <v>-14.352519134</v>
      </c>
      <c r="V50" s="85">
        <f t="shared" si="44"/>
        <v>-14.352519134</v>
      </c>
      <c r="W50" s="85" t="e">
        <f t="shared" si="5"/>
        <v>#N/A</v>
      </c>
      <c r="X50" s="85">
        <f t="shared" si="45"/>
        <v>1848.3860065876293</v>
      </c>
      <c r="Y50" s="85">
        <f t="shared" si="46"/>
        <v>11373.223714483864</v>
      </c>
      <c r="Z50" s="85">
        <f t="shared" si="47"/>
        <v>4661.2512730474973</v>
      </c>
      <c r="AA50" s="85">
        <f t="shared" si="48"/>
        <v>5.2285174418758515</v>
      </c>
      <c r="AB50" s="85">
        <f t="shared" si="32"/>
        <v>3.0124444053260739</v>
      </c>
      <c r="AC50" s="85">
        <f t="shared" si="49"/>
        <v>-0.95375167138649508</v>
      </c>
      <c r="AD50" s="85">
        <f t="shared" si="33"/>
        <v>54.645945473994367</v>
      </c>
      <c r="AE50" s="85">
        <f t="shared" si="50"/>
        <v>-0.47687583569324754</v>
      </c>
      <c r="AF50" s="85">
        <f t="shared" si="51"/>
        <v>0.12536659118285232</v>
      </c>
      <c r="AG50" s="85">
        <f t="shared" si="52"/>
        <v>0.7713877311141738</v>
      </c>
      <c r="AH50" s="85">
        <f t="shared" si="53"/>
        <v>1760.3676254386567</v>
      </c>
      <c r="AI50" s="85">
        <f t="shared" si="34"/>
        <v>10831.641633562329</v>
      </c>
      <c r="AJ50" s="85">
        <f t="shared" si="54"/>
        <v>717.48390228119388</v>
      </c>
      <c r="AK50" s="85">
        <f t="shared" si="55"/>
        <v>15354.561212863468</v>
      </c>
      <c r="AL50" s="85">
        <f t="shared" si="56"/>
        <v>24.454570462885258</v>
      </c>
      <c r="AM50" s="85">
        <f t="shared" si="57"/>
        <v>85.053928475366106</v>
      </c>
      <c r="AN50" s="85">
        <f t="shared" si="35"/>
        <v>172.02884592186558</v>
      </c>
      <c r="AO50" s="85">
        <f t="shared" si="36"/>
        <v>141.97620170082766</v>
      </c>
      <c r="AP50" s="31" t="s">
        <v>15</v>
      </c>
      <c r="AQ50" s="92" t="s">
        <v>18</v>
      </c>
      <c r="AR50" s="31" t="s">
        <v>86</v>
      </c>
      <c r="AT50" s="93">
        <f t="shared" si="58"/>
        <v>-14.352519134</v>
      </c>
      <c r="AU50" s="93">
        <f t="shared" si="59"/>
        <v>205.9948054918361</v>
      </c>
      <c r="AV50" s="93">
        <f t="shared" si="60"/>
        <v>-2956.5443873261861</v>
      </c>
    </row>
    <row r="51" spans="1:48" s="32" customFormat="1" x14ac:dyDescent="0.3">
      <c r="A51" s="86" t="s">
        <v>23</v>
      </c>
      <c r="B51" s="84">
        <v>45853.135416666664</v>
      </c>
      <c r="C51" s="84">
        <v>45853.191666666666</v>
      </c>
      <c r="D51" s="85">
        <f t="shared" si="38"/>
        <v>1.3500000000349246</v>
      </c>
      <c r="E51" s="42">
        <f t="shared" si="39"/>
        <v>45853.248732531589</v>
      </c>
      <c r="F51" s="43">
        <f t="shared" si="40"/>
        <v>82.174845489207655</v>
      </c>
      <c r="G51" s="43">
        <f t="shared" si="23"/>
        <v>82.174845489207655</v>
      </c>
      <c r="H51" s="105">
        <f t="shared" si="24"/>
        <v>45853.91872608316</v>
      </c>
      <c r="I51" s="43">
        <f t="shared" si="25"/>
        <v>1046.9655597524252</v>
      </c>
      <c r="J51" s="43">
        <f t="shared" si="26"/>
        <v>1046.9655597524252</v>
      </c>
      <c r="K51" s="87">
        <f t="shared" si="41"/>
        <v>45853.185897828851</v>
      </c>
      <c r="L51" s="88">
        <f t="shared" si="42"/>
        <v>8.3071264531463385</v>
      </c>
      <c r="M51" s="88">
        <f t="shared" si="28"/>
        <v>-8.3071264531463385</v>
      </c>
      <c r="N51" s="105">
        <f t="shared" si="29"/>
        <v>45853.219465932219</v>
      </c>
      <c r="O51" s="88">
        <f t="shared" si="30"/>
        <v>40.030942397424951</v>
      </c>
      <c r="P51" s="88">
        <f t="shared" si="31"/>
        <v>40.030942397424951</v>
      </c>
      <c r="Q51" s="102">
        <v>-4.6821999999999999</v>
      </c>
      <c r="R51" s="102">
        <v>5.2005600000000003</v>
      </c>
      <c r="S51" s="102">
        <v>-2.1093000000000002</v>
      </c>
      <c r="T51" s="102">
        <v>669.21199999999999</v>
      </c>
      <c r="U51" s="89">
        <f t="shared" si="43"/>
        <v>-14.115688716000001</v>
      </c>
      <c r="V51" s="85">
        <f t="shared" si="44"/>
        <v>-14.115688716000001</v>
      </c>
      <c r="W51" s="85" t="e">
        <f t="shared" si="5"/>
        <v>#N/A</v>
      </c>
      <c r="X51" s="85">
        <f t="shared" si="45"/>
        <v>362.44538791826579</v>
      </c>
      <c r="Y51" s="85">
        <f t="shared" si="46"/>
        <v>17153.280511261404</v>
      </c>
      <c r="Z51" s="85">
        <f t="shared" si="47"/>
        <v>5853.5359942268087</v>
      </c>
      <c r="AA51" s="85">
        <f t="shared" si="48"/>
        <v>7.308759651514066</v>
      </c>
      <c r="AB51" s="85">
        <f t="shared" si="32"/>
        <v>3.7661341616124315</v>
      </c>
      <c r="AC51" s="85">
        <f t="shared" si="49"/>
        <v>-0.38531683852738041</v>
      </c>
      <c r="AD51" s="85">
        <f t="shared" si="33"/>
        <v>22.077028622942731</v>
      </c>
      <c r="AE51" s="85">
        <f t="shared" si="50"/>
        <v>-0.19265841926369021</v>
      </c>
      <c r="AF51" s="85">
        <f t="shared" si="51"/>
        <v>1.2178526041682352E-2</v>
      </c>
      <c r="AG51" s="85">
        <f t="shared" si="52"/>
        <v>0.57636731041474398</v>
      </c>
      <c r="AH51" s="85">
        <f t="shared" si="53"/>
        <v>268.47806511769579</v>
      </c>
      <c r="AI51" s="85">
        <f t="shared" si="34"/>
        <v>12706.133711716777</v>
      </c>
      <c r="AJ51" s="85">
        <f t="shared" si="54"/>
        <v>730.14777986723198</v>
      </c>
      <c r="AK51" s="85">
        <f t="shared" si="55"/>
        <v>15394.089519808087</v>
      </c>
      <c r="AL51" s="85">
        <f t="shared" si="56"/>
        <v>163.17484548627436</v>
      </c>
      <c r="AM51" s="85">
        <f t="shared" si="57"/>
        <v>72.692873547895928</v>
      </c>
      <c r="AN51" s="85">
        <f t="shared" si="35"/>
        <v>1127.9655597550222</v>
      </c>
      <c r="AO51" s="85">
        <f t="shared" si="36"/>
        <v>121.03094239435202</v>
      </c>
      <c r="AP51" s="31" t="s">
        <v>15</v>
      </c>
      <c r="AQ51" s="92" t="s">
        <v>18</v>
      </c>
      <c r="AR51" s="31" t="s">
        <v>86</v>
      </c>
      <c r="AT51" s="93">
        <f t="shared" si="58"/>
        <v>-14.115688716000001</v>
      </c>
      <c r="AU51" s="93">
        <f t="shared" si="59"/>
        <v>199.25266792700975</v>
      </c>
      <c r="AV51" s="93">
        <f t="shared" si="60"/>
        <v>-2812.588636290187</v>
      </c>
    </row>
    <row r="52" spans="1:48" s="32" customFormat="1" x14ac:dyDescent="0.3">
      <c r="A52" s="83" t="s">
        <v>23</v>
      </c>
      <c r="B52" s="84">
        <v>41354.179166666669</v>
      </c>
      <c r="C52" s="84">
        <v>41354.261111111111</v>
      </c>
      <c r="D52" s="85">
        <f t="shared" si="38"/>
        <v>1.96666666661622</v>
      </c>
      <c r="E52" s="42">
        <f t="shared" si="39"/>
        <v>41354.20327879439</v>
      </c>
      <c r="F52" s="43">
        <f t="shared" si="40"/>
        <v>83.278536078287289</v>
      </c>
      <c r="G52" s="43">
        <f t="shared" si="23"/>
        <v>-83.278536078287289</v>
      </c>
      <c r="H52" s="105">
        <f t="shared" si="24"/>
        <v>41354.344803272397</v>
      </c>
      <c r="I52" s="43">
        <f t="shared" si="25"/>
        <v>120.51671225228347</v>
      </c>
      <c r="J52" s="43">
        <f t="shared" si="26"/>
        <v>120.51671225228347</v>
      </c>
      <c r="K52" s="87">
        <f t="shared" si="41"/>
        <v>41354.257054820373</v>
      </c>
      <c r="L52" s="88">
        <f t="shared" si="42"/>
        <v>5.8410586626268923</v>
      </c>
      <c r="M52" s="88">
        <f t="shared" si="28"/>
        <v>-5.8410586626268923</v>
      </c>
      <c r="N52" s="105">
        <f t="shared" si="29"/>
        <v>41354.308728064585</v>
      </c>
      <c r="O52" s="88">
        <f t="shared" si="30"/>
        <v>68.568413002649322</v>
      </c>
      <c r="P52" s="88">
        <f t="shared" si="31"/>
        <v>68.568413002649322</v>
      </c>
      <c r="Q52" s="102">
        <v>4.6488699999999996</v>
      </c>
      <c r="R52" s="102">
        <v>2.4669400000000001</v>
      </c>
      <c r="S52" s="102">
        <v>-3.3102</v>
      </c>
      <c r="T52" s="102">
        <v>423.92899999999997</v>
      </c>
      <c r="U52" s="89">
        <f t="shared" si="43"/>
        <v>-14.032897757999999</v>
      </c>
      <c r="V52" s="85">
        <f t="shared" si="44"/>
        <v>-14.032897757999999</v>
      </c>
      <c r="W52" s="85" t="e">
        <f t="shared" si="5"/>
        <v>#N/A</v>
      </c>
      <c r="X52" s="85">
        <f t="shared" si="45"/>
        <v>2496.9887826682079</v>
      </c>
      <c r="Y52" s="85">
        <f t="shared" si="46"/>
        <v>16210.72639263406</v>
      </c>
      <c r="Z52" s="85">
        <f t="shared" si="47"/>
        <v>3184.6191493258725</v>
      </c>
      <c r="AA52" s="85">
        <f t="shared" si="48"/>
        <v>6.2173313632538516</v>
      </c>
      <c r="AB52" s="85">
        <f t="shared" si="32"/>
        <v>3.3811881867842479</v>
      </c>
      <c r="AC52" s="85">
        <f t="shared" si="49"/>
        <v>-0.93033954329526269</v>
      </c>
      <c r="AD52" s="85">
        <f t="shared" si="33"/>
        <v>53.304529344947078</v>
      </c>
      <c r="AE52" s="85">
        <f t="shared" si="50"/>
        <v>-0.46516977164763135</v>
      </c>
      <c r="AF52" s="85">
        <f t="shared" si="51"/>
        <v>0.11791226699983666</v>
      </c>
      <c r="AG52" s="85">
        <f t="shared" si="52"/>
        <v>0.76549943353251848</v>
      </c>
      <c r="AH52" s="85">
        <f t="shared" si="53"/>
        <v>1269.6553132536903</v>
      </c>
      <c r="AI52" s="85">
        <f t="shared" si="34"/>
        <v>8242.7422337541757</v>
      </c>
      <c r="AJ52" s="85">
        <f t="shared" si="54"/>
        <v>734.73818577721886</v>
      </c>
      <c r="AK52" s="85">
        <f t="shared" si="55"/>
        <v>15408.28737694132</v>
      </c>
      <c r="AL52" s="85">
        <f t="shared" si="56"/>
        <v>34.721463917368439</v>
      </c>
      <c r="AM52" s="85">
        <f t="shared" si="57"/>
        <v>112.15894133273349</v>
      </c>
      <c r="AN52" s="85">
        <f t="shared" si="35"/>
        <v>238.51671224559959</v>
      </c>
      <c r="AO52" s="85">
        <f t="shared" si="36"/>
        <v>186.56841299977387</v>
      </c>
      <c r="AP52" s="31" t="s">
        <v>15</v>
      </c>
      <c r="AQ52" s="92" t="s">
        <v>18</v>
      </c>
      <c r="AR52" s="31" t="s">
        <v>24</v>
      </c>
      <c r="AT52" s="93">
        <f t="shared" si="58"/>
        <v>-14.032897757999999</v>
      </c>
      <c r="AU52" s="93">
        <f t="shared" si="59"/>
        <v>196.9222194864814</v>
      </c>
      <c r="AV52" s="93">
        <f t="shared" si="60"/>
        <v>-2763.3893723322285</v>
      </c>
    </row>
    <row r="53" spans="1:48" s="32" customFormat="1" x14ac:dyDescent="0.3">
      <c r="A53" s="83" t="s">
        <v>23</v>
      </c>
      <c r="B53" s="84">
        <v>41426.383333333331</v>
      </c>
      <c r="C53" s="84">
        <v>41426.409722222219</v>
      </c>
      <c r="D53" s="85">
        <f t="shared" si="38"/>
        <v>0.63333333330228925</v>
      </c>
      <c r="E53" s="42">
        <f t="shared" si="39"/>
        <v>41426.470594622093</v>
      </c>
      <c r="F53" s="43">
        <f t="shared" si="40"/>
        <v>87.656255818437785</v>
      </c>
      <c r="G53" s="43">
        <f t="shared" si="23"/>
        <v>87.656255818437785</v>
      </c>
      <c r="H53" s="105">
        <f t="shared" si="24"/>
        <v>41426.979154443812</v>
      </c>
      <c r="I53" s="43">
        <f t="shared" si="25"/>
        <v>819.98239909415133</v>
      </c>
      <c r="J53" s="43">
        <f t="shared" si="26"/>
        <v>819.98239909415133</v>
      </c>
      <c r="K53" s="87">
        <f t="shared" si="41"/>
        <v>41426.42971368599</v>
      </c>
      <c r="L53" s="88">
        <f t="shared" si="42"/>
        <v>28.787707829615101</v>
      </c>
      <c r="M53" s="88">
        <f t="shared" si="28"/>
        <v>28.787707829615101</v>
      </c>
      <c r="N53" s="105">
        <f t="shared" si="29"/>
        <v>41426.460415088819</v>
      </c>
      <c r="O53" s="88">
        <f t="shared" si="30"/>
        <v>72.997727904003114</v>
      </c>
      <c r="P53" s="88">
        <f t="shared" si="31"/>
        <v>72.997727904003114</v>
      </c>
      <c r="Q53" s="102">
        <v>-13.47</v>
      </c>
      <c r="R53" s="102">
        <v>6.4785300000000001</v>
      </c>
      <c r="S53" s="102">
        <v>-2.8771</v>
      </c>
      <c r="T53" s="102">
        <v>485</v>
      </c>
      <c r="U53" s="89">
        <f t="shared" si="43"/>
        <v>-13.953935</v>
      </c>
      <c r="V53" s="85">
        <f t="shared" si="44"/>
        <v>-13.953935</v>
      </c>
      <c r="W53" s="85" t="e">
        <f t="shared" si="5"/>
        <v>#N/A</v>
      </c>
      <c r="X53" s="85">
        <f t="shared" si="45"/>
        <v>223.54173445512694</v>
      </c>
      <c r="Y53" s="85">
        <f t="shared" si="46"/>
        <v>8774.6154685697711</v>
      </c>
      <c r="Z53" s="85">
        <f t="shared" si="47"/>
        <v>3810.5615838062772</v>
      </c>
      <c r="AA53" s="85">
        <f t="shared" si="48"/>
        <v>15.221365095512953</v>
      </c>
      <c r="AB53" s="85">
        <f t="shared" si="32"/>
        <v>6.1418952031606748</v>
      </c>
      <c r="AC53" s="85">
        <f t="shared" si="49"/>
        <v>-0.4179347077186128</v>
      </c>
      <c r="AD53" s="85">
        <f t="shared" si="33"/>
        <v>23.945894864310144</v>
      </c>
      <c r="AE53" s="85">
        <f t="shared" si="50"/>
        <v>-0.2089673538593064</v>
      </c>
      <c r="AF53" s="85">
        <f t="shared" si="51"/>
        <v>1.5081164715395523E-2</v>
      </c>
      <c r="AG53" s="85">
        <f t="shared" si="52"/>
        <v>0.59197635519072156</v>
      </c>
      <c r="AH53" s="85">
        <f t="shared" si="53"/>
        <v>352.96063336750149</v>
      </c>
      <c r="AI53" s="85">
        <f t="shared" si="34"/>
        <v>13854.656003684015</v>
      </c>
      <c r="AJ53" s="85">
        <f t="shared" si="54"/>
        <v>739.19519397354384</v>
      </c>
      <c r="AK53" s="85">
        <f t="shared" si="55"/>
        <v>15422.011953438052</v>
      </c>
      <c r="AL53" s="85">
        <f t="shared" si="56"/>
        <v>125.65625581319084</v>
      </c>
      <c r="AM53" s="85">
        <f t="shared" si="57"/>
        <v>66.787707826180323</v>
      </c>
      <c r="AN53" s="85">
        <f t="shared" si="35"/>
        <v>857.98239909411438</v>
      </c>
      <c r="AO53" s="85">
        <f t="shared" si="36"/>
        <v>110.99772790524791</v>
      </c>
      <c r="AP53" s="31" t="s">
        <v>15</v>
      </c>
      <c r="AQ53" s="92" t="s">
        <v>18</v>
      </c>
      <c r="AR53" s="31" t="s">
        <v>24</v>
      </c>
      <c r="AT53" s="93">
        <f t="shared" si="58"/>
        <v>-13.953935</v>
      </c>
      <c r="AU53" s="93">
        <f t="shared" si="59"/>
        <v>194.71230198422498</v>
      </c>
      <c r="AV53" s="93">
        <f t="shared" si="60"/>
        <v>-2717.0028055882462</v>
      </c>
    </row>
    <row r="54" spans="1:48" s="32" customFormat="1" x14ac:dyDescent="0.3">
      <c r="A54" s="83" t="s">
        <v>23</v>
      </c>
      <c r="B54" s="84">
        <v>45855.182638888888</v>
      </c>
      <c r="C54" s="84">
        <v>45855.211111111108</v>
      </c>
      <c r="D54" s="85">
        <f t="shared" si="38"/>
        <v>0.68333333329064772</v>
      </c>
      <c r="E54" s="42">
        <f t="shared" si="39"/>
        <v>45855.215234572577</v>
      </c>
      <c r="F54" s="43">
        <f t="shared" si="40"/>
        <v>5.9377845155540854</v>
      </c>
      <c r="G54" s="43">
        <f t="shared" si="23"/>
        <v>5.9377845155540854</v>
      </c>
      <c r="H54" s="105">
        <f t="shared" si="24"/>
        <v>45855.401607838066</v>
      </c>
      <c r="I54" s="43">
        <f t="shared" si="25"/>
        <v>274.31528682005592</v>
      </c>
      <c r="J54" s="43">
        <f t="shared" si="26"/>
        <v>274.31528682005592</v>
      </c>
      <c r="K54" s="87">
        <f t="shared" si="41"/>
        <v>45855.230426926668</v>
      </c>
      <c r="L54" s="88">
        <f t="shared" si="42"/>
        <v>27.814774406142533</v>
      </c>
      <c r="M54" s="88">
        <f t="shared" si="28"/>
        <v>27.814774406142533</v>
      </c>
      <c r="N54" s="105">
        <f t="shared" si="29"/>
        <v>45855.261869601425</v>
      </c>
      <c r="O54" s="88">
        <f t="shared" si="30"/>
        <v>73.092226056614891</v>
      </c>
      <c r="P54" s="88">
        <f t="shared" si="31"/>
        <v>73.092226056614891</v>
      </c>
      <c r="Q54" s="102">
        <v>-5.6978</v>
      </c>
      <c r="R54" s="102">
        <v>2.78</v>
      </c>
      <c r="S54" s="102">
        <v>-2.1417999999999999</v>
      </c>
      <c r="T54" s="102">
        <v>641.77300000000002</v>
      </c>
      <c r="U54" s="89">
        <f t="shared" si="43"/>
        <v>-13.745494114000001</v>
      </c>
      <c r="V54" s="85">
        <f t="shared" si="44"/>
        <v>-13.745494114000001</v>
      </c>
      <c r="W54" s="85" t="e">
        <f t="shared" si="5"/>
        <v>#N/A</v>
      </c>
      <c r="X54" s="85">
        <f t="shared" si="45"/>
        <v>656.28462312607905</v>
      </c>
      <c r="Y54" s="85">
        <f t="shared" si="46"/>
        <v>9210.5674803952679</v>
      </c>
      <c r="Z54" s="85">
        <f t="shared" si="47"/>
        <v>5535.7345414152751</v>
      </c>
      <c r="AA54" s="85">
        <f t="shared" si="48"/>
        <v>6.6918332376113501</v>
      </c>
      <c r="AB54" s="85">
        <f t="shared" si="32"/>
        <v>3.5511041220761168</v>
      </c>
      <c r="AC54" s="85">
        <f t="shared" si="49"/>
        <v>-0.65644964812858919</v>
      </c>
      <c r="AD54" s="85">
        <f t="shared" si="33"/>
        <v>37.611794300616118</v>
      </c>
      <c r="AE54" s="85">
        <f t="shared" si="50"/>
        <v>-0.3282248240642946</v>
      </c>
      <c r="AF54" s="85">
        <f t="shared" si="51"/>
        <v>4.8856343456807193E-2</v>
      </c>
      <c r="AG54" s="85">
        <f t="shared" si="52"/>
        <v>0.68566995537825026</v>
      </c>
      <c r="AH54" s="85">
        <f t="shared" si="53"/>
        <v>960.41652170791463</v>
      </c>
      <c r="AI54" s="85">
        <f t="shared" si="34"/>
        <v>13478.879240444812</v>
      </c>
      <c r="AJ54" s="85">
        <f t="shared" si="54"/>
        <v>751.3303956227121</v>
      </c>
      <c r="AK54" s="85">
        <f t="shared" si="55"/>
        <v>15459.100569220576</v>
      </c>
      <c r="AL54" s="85">
        <f t="shared" si="56"/>
        <v>46.937784511658542</v>
      </c>
      <c r="AM54" s="85">
        <f t="shared" si="57"/>
        <v>68.814774404242314</v>
      </c>
      <c r="AN54" s="85">
        <f t="shared" si="35"/>
        <v>315.31528681315842</v>
      </c>
      <c r="AO54" s="85">
        <f t="shared" si="36"/>
        <v>114.09222605862429</v>
      </c>
      <c r="AP54" s="31" t="s">
        <v>15</v>
      </c>
      <c r="AQ54" s="92" t="s">
        <v>18</v>
      </c>
      <c r="AR54" s="31" t="s">
        <v>87</v>
      </c>
      <c r="AT54" s="93">
        <f t="shared" si="58"/>
        <v>-13.745494114000001</v>
      </c>
      <c r="AU54" s="93">
        <f t="shared" si="59"/>
        <v>188.93860843800869</v>
      </c>
      <c r="AV54" s="93">
        <f t="shared" si="60"/>
        <v>-2597.0545301919992</v>
      </c>
    </row>
    <row r="55" spans="1:48" s="32" customFormat="1" x14ac:dyDescent="0.3">
      <c r="A55" s="83" t="s">
        <v>22</v>
      </c>
      <c r="B55" s="84">
        <v>45860.022916666669</v>
      </c>
      <c r="C55" s="84">
        <v>45860.095138888886</v>
      </c>
      <c r="D55" s="85">
        <f t="shared" si="38"/>
        <v>1.7333333332207985</v>
      </c>
      <c r="E55" s="42">
        <f t="shared" si="39"/>
        <v>45860.316792239595</v>
      </c>
      <c r="F55" s="43">
        <f t="shared" si="40"/>
        <v>319.1808250208851</v>
      </c>
      <c r="G55" s="43">
        <f t="shared" si="23"/>
        <v>319.1808250208851</v>
      </c>
      <c r="H55" s="105">
        <f t="shared" si="24"/>
        <v>45861.834866811143</v>
      </c>
      <c r="I55" s="43">
        <f t="shared" si="25"/>
        <v>2505.2082080498803</v>
      </c>
      <c r="J55" s="43">
        <f t="shared" si="26"/>
        <v>2505.2082080498803</v>
      </c>
      <c r="K55" s="87">
        <f t="shared" si="41"/>
        <v>45860.090743375709</v>
      </c>
      <c r="L55" s="88">
        <f t="shared" si="42"/>
        <v>6.3295389746781439</v>
      </c>
      <c r="M55" s="88">
        <f t="shared" si="28"/>
        <v>-6.3295389746781439</v>
      </c>
      <c r="N55" s="105">
        <f t="shared" si="29"/>
        <v>45860.133935167258</v>
      </c>
      <c r="O55" s="88">
        <f t="shared" si="30"/>
        <v>55.866640855092555</v>
      </c>
      <c r="P55" s="88">
        <f t="shared" si="31"/>
        <v>55.866640855092555</v>
      </c>
      <c r="Q55" s="102">
        <v>5.7243000000000004</v>
      </c>
      <c r="R55" s="102">
        <v>-8.5184999999999995</v>
      </c>
      <c r="S55" s="102">
        <v>-2.6568999999999998</v>
      </c>
      <c r="T55" s="102">
        <v>478.88299999999998</v>
      </c>
      <c r="U55" s="89">
        <f t="shared" si="43"/>
        <v>-12.723442426999998</v>
      </c>
      <c r="V55" s="85">
        <f t="shared" si="44"/>
        <v>-12.723442426999998</v>
      </c>
      <c r="W55" s="85" t="e">
        <f t="shared" si="5"/>
        <v>#N/A</v>
      </c>
      <c r="X55" s="85">
        <f t="shared" si="45"/>
        <v>201.17684900971906</v>
      </c>
      <c r="Y55" s="85">
        <f t="shared" si="46"/>
        <v>16673.780326888671</v>
      </c>
      <c r="Z55" s="85">
        <f t="shared" si="47"/>
        <v>3746.6163748357617</v>
      </c>
      <c r="AA55" s="85">
        <f t="shared" si="48"/>
        <v>10.60148906286282</v>
      </c>
      <c r="AB55" s="85">
        <f t="shared" si="32"/>
        <v>4.8258954959555576</v>
      </c>
      <c r="AC55" s="85">
        <f t="shared" si="49"/>
        <v>-0.30233600009497757</v>
      </c>
      <c r="AD55" s="85">
        <f t="shared" si="33"/>
        <v>17.322576800309072</v>
      </c>
      <c r="AE55" s="85">
        <f t="shared" si="50"/>
        <v>-0.15116800004748879</v>
      </c>
      <c r="AF55" s="85">
        <f t="shared" si="51"/>
        <v>6.4191684537762764E-3</v>
      </c>
      <c r="AG55" s="85">
        <f t="shared" si="52"/>
        <v>0.53202843769756236</v>
      </c>
      <c r="AH55" s="85">
        <f t="shared" si="53"/>
        <v>116.06356674391168</v>
      </c>
      <c r="AI55" s="85">
        <f t="shared" si="34"/>
        <v>9619.4886507526135</v>
      </c>
      <c r="AJ55" s="85">
        <f t="shared" si="54"/>
        <v>818.59793213894659</v>
      </c>
      <c r="AK55" s="85">
        <f t="shared" si="55"/>
        <v>15658.998187960438</v>
      </c>
      <c r="AL55" s="85">
        <f t="shared" si="56"/>
        <v>423.18082501038816</v>
      </c>
      <c r="AM55" s="85">
        <f t="shared" si="57"/>
        <v>97.670461018124726</v>
      </c>
      <c r="AN55" s="85">
        <f t="shared" si="35"/>
        <v>2609.2082080384002</v>
      </c>
      <c r="AO55" s="85">
        <f t="shared" si="36"/>
        <v>159.86664085282848</v>
      </c>
      <c r="AP55" s="31" t="s">
        <v>14</v>
      </c>
      <c r="AQ55" s="92" t="s">
        <v>17</v>
      </c>
      <c r="AR55" s="31" t="s">
        <v>86</v>
      </c>
      <c r="AT55" s="93">
        <f t="shared" si="58"/>
        <v>-12.723442426999998</v>
      </c>
      <c r="AU55" s="93">
        <f t="shared" si="59"/>
        <v>161.88598719318361</v>
      </c>
      <c r="AV55" s="93">
        <f t="shared" si="60"/>
        <v>-2059.7470377905306</v>
      </c>
    </row>
    <row r="56" spans="1:48" s="32" customFormat="1" x14ac:dyDescent="0.3">
      <c r="A56" s="83" t="s">
        <v>23</v>
      </c>
      <c r="B56" s="84">
        <v>40933.063888888886</v>
      </c>
      <c r="C56" s="84">
        <v>40933.105555555558</v>
      </c>
      <c r="D56" s="85">
        <f t="shared" si="38"/>
        <v>1.0000000001164153</v>
      </c>
      <c r="E56" s="42">
        <f t="shared" si="39"/>
        <v>40933.117919482233</v>
      </c>
      <c r="F56" s="43">
        <f t="shared" si="40"/>
        <v>17.804054411826655</v>
      </c>
      <c r="G56" s="43">
        <f t="shared" si="23"/>
        <v>17.804054411826655</v>
      </c>
      <c r="H56" s="105">
        <f t="shared" si="24"/>
        <v>40933.360281581234</v>
      </c>
      <c r="I56" s="43">
        <f t="shared" si="25"/>
        <v>366.80547697353177</v>
      </c>
      <c r="J56" s="43">
        <f t="shared" si="26"/>
        <v>366.80547697353177</v>
      </c>
      <c r="K56" s="87">
        <f t="shared" si="41"/>
        <v>40933.125986850879</v>
      </c>
      <c r="L56" s="88">
        <f t="shared" si="42"/>
        <v>29.421065262285993</v>
      </c>
      <c r="M56" s="88">
        <f t="shared" si="28"/>
        <v>29.421065262285993</v>
      </c>
      <c r="N56" s="105">
        <f t="shared" si="29"/>
        <v>40933.163682869417</v>
      </c>
      <c r="O56" s="88">
        <f t="shared" si="30"/>
        <v>83.703331957804039</v>
      </c>
      <c r="P56" s="88">
        <f t="shared" si="31"/>
        <v>83.703331957804039</v>
      </c>
      <c r="Q56" s="102">
        <v>-4.2919</v>
      </c>
      <c r="R56" s="102">
        <v>-2.5470999999999999</v>
      </c>
      <c r="S56" s="102">
        <v>-1.8797999999999999</v>
      </c>
      <c r="T56" s="102">
        <v>609.33699999999999</v>
      </c>
      <c r="U56" s="89">
        <f t="shared" si="43"/>
        <v>-11.454316925999999</v>
      </c>
      <c r="V56" s="85">
        <f t="shared" si="44"/>
        <v>-11.454316925999999</v>
      </c>
      <c r="W56" s="85" t="e">
        <f t="shared" si="5"/>
        <v>#N/A</v>
      </c>
      <c r="X56" s="85">
        <f t="shared" si="45"/>
        <v>709.53637517425648</v>
      </c>
      <c r="Y56" s="85">
        <f t="shared" si="46"/>
        <v>10701.459155526165</v>
      </c>
      <c r="Z56" s="85">
        <f t="shared" si="47"/>
        <v>5165.8691337319224</v>
      </c>
      <c r="AA56" s="85">
        <f t="shared" si="48"/>
        <v>5.333082791406861</v>
      </c>
      <c r="AB56" s="85">
        <f t="shared" si="32"/>
        <v>3.0524757130898483</v>
      </c>
      <c r="AC56" s="85">
        <f t="shared" si="49"/>
        <v>-0.63578698692998226</v>
      </c>
      <c r="AD56" s="85">
        <f t="shared" si="33"/>
        <v>36.427911020427217</v>
      </c>
      <c r="AE56" s="85">
        <f t="shared" si="50"/>
        <v>-0.31789349346499113</v>
      </c>
      <c r="AF56" s="85">
        <f t="shared" si="51"/>
        <v>4.4996532498553586E-2</v>
      </c>
      <c r="AG56" s="85">
        <f t="shared" si="52"/>
        <v>0.67865238699751984</v>
      </c>
      <c r="AH56" s="85">
        <f t="shared" si="53"/>
        <v>709.5363750916556</v>
      </c>
      <c r="AI56" s="85">
        <f t="shared" si="34"/>
        <v>10701.459154280352</v>
      </c>
      <c r="AJ56" s="85">
        <f t="shared" si="54"/>
        <v>920.08011232617173</v>
      </c>
      <c r="AK56" s="85">
        <f t="shared" si="55"/>
        <v>15948.931291096362</v>
      </c>
      <c r="AL56" s="85">
        <f t="shared" si="56"/>
        <v>77.804054418547793</v>
      </c>
      <c r="AM56" s="85">
        <f t="shared" si="57"/>
        <v>89.421065265013709</v>
      </c>
      <c r="AN56" s="85">
        <f t="shared" si="35"/>
        <v>426.80547697545165</v>
      </c>
      <c r="AO56" s="85">
        <f t="shared" si="36"/>
        <v>143.70333196128931</v>
      </c>
      <c r="AP56" s="31" t="s">
        <v>15</v>
      </c>
      <c r="AQ56" s="92" t="s">
        <v>18</v>
      </c>
      <c r="AR56" s="31" t="s">
        <v>24</v>
      </c>
      <c r="AT56" s="93">
        <f t="shared" si="58"/>
        <v>-11.454316925999999</v>
      </c>
      <c r="AU56" s="93">
        <f t="shared" si="59"/>
        <v>131.20137624125007</v>
      </c>
      <c r="AV56" s="93">
        <f t="shared" si="60"/>
        <v>-1502.8221445946449</v>
      </c>
    </row>
    <row r="57" spans="1:48" s="32" customFormat="1" x14ac:dyDescent="0.3">
      <c r="A57" s="86" t="s">
        <v>23</v>
      </c>
      <c r="B57" s="84">
        <v>45851.118055555555</v>
      </c>
      <c r="C57" s="84">
        <v>45851.1875</v>
      </c>
      <c r="D57" s="85">
        <f t="shared" si="38"/>
        <v>1.6666666666860692</v>
      </c>
      <c r="E57" s="42">
        <f t="shared" si="39"/>
        <v>45851.366925357062</v>
      </c>
      <c r="F57" s="43">
        <f t="shared" si="40"/>
        <v>258.37251416989602</v>
      </c>
      <c r="G57" s="43">
        <f t="shared" si="23"/>
        <v>258.37251416989602</v>
      </c>
      <c r="H57" s="105">
        <f t="shared" si="24"/>
        <v>45852.26824041958</v>
      </c>
      <c r="I57" s="43">
        <f t="shared" si="25"/>
        <v>1556.2662041955628</v>
      </c>
      <c r="J57" s="43">
        <f t="shared" si="26"/>
        <v>1556.2662041955628</v>
      </c>
      <c r="K57" s="87">
        <f t="shared" si="41"/>
        <v>45851.194877984119</v>
      </c>
      <c r="L57" s="88">
        <f t="shared" si="42"/>
        <v>10.624297130852938</v>
      </c>
      <c r="M57" s="88">
        <f t="shared" si="28"/>
        <v>10.624297130852938</v>
      </c>
      <c r="N57" s="105">
        <f t="shared" si="29"/>
        <v>45851.237948430193</v>
      </c>
      <c r="O57" s="88">
        <f t="shared" si="30"/>
        <v>72.645739477593452</v>
      </c>
      <c r="P57" s="88">
        <f t="shared" si="31"/>
        <v>72.645739477593452</v>
      </c>
      <c r="Q57" s="102">
        <v>-3</v>
      </c>
      <c r="R57" s="102">
        <v>4</v>
      </c>
      <c r="S57" s="102">
        <v>-1.6</v>
      </c>
      <c r="T57" s="102">
        <v>606.83199999999999</v>
      </c>
      <c r="U57" s="89">
        <f t="shared" si="43"/>
        <v>-9.7093120000000006</v>
      </c>
      <c r="V57" s="85">
        <f t="shared" si="44"/>
        <v>-9.7093120000000006</v>
      </c>
      <c r="W57" s="85" t="e">
        <f t="shared" si="5"/>
        <v>#N/A</v>
      </c>
      <c r="X57" s="85">
        <f t="shared" si="45"/>
        <v>304.73564599567618</v>
      </c>
      <c r="Y57" s="85">
        <f t="shared" si="46"/>
        <v>14845.769744033541</v>
      </c>
      <c r="Z57" s="85">
        <f t="shared" si="47"/>
        <v>5137.5725258666325</v>
      </c>
      <c r="AA57" s="85">
        <f t="shared" si="48"/>
        <v>5.2497618993626753</v>
      </c>
      <c r="AB57" s="85">
        <f t="shared" si="32"/>
        <v>3.0205989777235587</v>
      </c>
      <c r="AC57" s="85">
        <f t="shared" si="49"/>
        <v>-0.3805063771123649</v>
      </c>
      <c r="AD57" s="85">
        <f t="shared" si="33"/>
        <v>21.801409486351812</v>
      </c>
      <c r="AE57" s="85">
        <f t="shared" si="50"/>
        <v>-0.19025318855618245</v>
      </c>
      <c r="AF57" s="85">
        <f t="shared" si="51"/>
        <v>1.1782120813995949E-2</v>
      </c>
      <c r="AG57" s="85">
        <f t="shared" si="52"/>
        <v>0.57398815989991103</v>
      </c>
      <c r="AH57" s="85">
        <f t="shared" si="53"/>
        <v>182.84138759527715</v>
      </c>
      <c r="AI57" s="85">
        <f t="shared" si="34"/>
        <v>8907.4618463164279</v>
      </c>
      <c r="AJ57" s="85">
        <f t="shared" si="54"/>
        <v>1092.0887961134526</v>
      </c>
      <c r="AK57" s="85">
        <f t="shared" si="55"/>
        <v>16423.028432562878</v>
      </c>
      <c r="AL57" s="85">
        <f t="shared" si="56"/>
        <v>358.37251416976062</v>
      </c>
      <c r="AM57" s="85">
        <f t="shared" si="57"/>
        <v>110.62429712918336</v>
      </c>
      <c r="AN57" s="85">
        <f t="shared" si="35"/>
        <v>1656.2662041963706</v>
      </c>
      <c r="AO57" s="85">
        <f t="shared" si="36"/>
        <v>172.64573947669288</v>
      </c>
      <c r="AP57" s="31" t="s">
        <v>15</v>
      </c>
      <c r="AQ57" s="92" t="s">
        <v>18</v>
      </c>
      <c r="AR57" s="31" t="s">
        <v>86</v>
      </c>
      <c r="AT57" s="93">
        <f t="shared" si="58"/>
        <v>-9.7093120000000006</v>
      </c>
      <c r="AU57" s="93">
        <f t="shared" si="59"/>
        <v>94.270739513344012</v>
      </c>
      <c r="AV57" s="93">
        <f t="shared" si="60"/>
        <v>-915.30402240578519</v>
      </c>
    </row>
    <row r="58" spans="1:48" s="32" customFormat="1" x14ac:dyDescent="0.3">
      <c r="A58" s="83" t="s">
        <v>23</v>
      </c>
      <c r="B58" s="84">
        <v>41426.42083333333</v>
      </c>
      <c r="C58" s="84">
        <v>41426.527083333334</v>
      </c>
      <c r="D58" s="85">
        <f t="shared" si="38"/>
        <v>2.5500000001047738</v>
      </c>
      <c r="E58" s="42">
        <f t="shared" si="39"/>
        <v>41427.008475804927</v>
      </c>
      <c r="F58" s="43">
        <f t="shared" si="40"/>
        <v>693.20515909348615</v>
      </c>
      <c r="G58" s="43">
        <f t="shared" si="23"/>
        <v>693.20515909348615</v>
      </c>
      <c r="H58" s="105">
        <f t="shared" si="24"/>
        <v>41428.661806209675</v>
      </c>
      <c r="I58" s="43">
        <f t="shared" si="25"/>
        <v>3074.0009419305716</v>
      </c>
      <c r="J58" s="43">
        <f t="shared" si="26"/>
        <v>3074.0009419305716</v>
      </c>
      <c r="K58" s="87">
        <f t="shared" si="41"/>
        <v>41426.503611487984</v>
      </c>
      <c r="L58" s="88">
        <f t="shared" si="42"/>
        <v>33.799457304412499</v>
      </c>
      <c r="M58" s="88">
        <f t="shared" si="28"/>
        <v>-33.799457304412499</v>
      </c>
      <c r="N58" s="105">
        <f t="shared" si="29"/>
        <v>41426.545327116517</v>
      </c>
      <c r="O58" s="88">
        <f t="shared" si="30"/>
        <v>26.271047783084214</v>
      </c>
      <c r="P58" s="88">
        <f t="shared" si="31"/>
        <v>26.271047783084214</v>
      </c>
      <c r="Q58" s="102">
        <v>-7.6</v>
      </c>
      <c r="R58" s="102">
        <v>5.6</v>
      </c>
      <c r="S58" s="102">
        <v>-1.67</v>
      </c>
      <c r="T58" s="102">
        <v>467</v>
      </c>
      <c r="U58" s="89">
        <f t="shared" si="43"/>
        <v>-7.7988999999999997</v>
      </c>
      <c r="V58" s="85">
        <f t="shared" si="44"/>
        <v>-7.7988999999999997</v>
      </c>
      <c r="W58" s="85" t="e">
        <f t="shared" si="5"/>
        <v>#N/A</v>
      </c>
      <c r="X58" s="85">
        <f t="shared" si="45"/>
        <v>239.30167421161045</v>
      </c>
      <c r="Y58" s="85">
        <f t="shared" si="46"/>
        <v>21874.58688154857</v>
      </c>
      <c r="Z58" s="85">
        <f t="shared" si="47"/>
        <v>3623.1738574376836</v>
      </c>
      <c r="AA58" s="85">
        <f t="shared" si="48"/>
        <v>9.5869129546481222</v>
      </c>
      <c r="AB58" s="85">
        <f t="shared" si="32"/>
        <v>4.5128668782927468</v>
      </c>
      <c r="AC58" s="85">
        <f t="shared" si="49"/>
        <v>-0.28981772038431103</v>
      </c>
      <c r="AD58" s="85">
        <f t="shared" si="33"/>
        <v>16.605332206123627</v>
      </c>
      <c r="AE58" s="85">
        <f t="shared" si="50"/>
        <v>-0.14490886019215551</v>
      </c>
      <c r="AF58" s="85">
        <f t="shared" si="51"/>
        <v>5.7393651951340944E-3</v>
      </c>
      <c r="AG58" s="85">
        <f t="shared" si="52"/>
        <v>0.52463587235448372</v>
      </c>
      <c r="AH58" s="85">
        <f t="shared" si="53"/>
        <v>93.843793804618855</v>
      </c>
      <c r="AI58" s="85">
        <f t="shared" si="34"/>
        <v>8578.2693649607027</v>
      </c>
      <c r="AJ58" s="85">
        <f t="shared" si="54"/>
        <v>1323.5183744479091</v>
      </c>
      <c r="AK58" s="85">
        <f t="shared" si="55"/>
        <v>17042.239395697557</v>
      </c>
      <c r="AL58" s="85">
        <f t="shared" si="56"/>
        <v>846.20515909882192</v>
      </c>
      <c r="AM58" s="85">
        <f t="shared" si="57"/>
        <v>119.20054270137013</v>
      </c>
      <c r="AN58" s="85">
        <f t="shared" si="35"/>
        <v>3227.0009419367916</v>
      </c>
      <c r="AO58" s="85">
        <f t="shared" si="36"/>
        <v>179.27104779423914</v>
      </c>
      <c r="AP58" s="31" t="s">
        <v>15</v>
      </c>
      <c r="AQ58" s="92" t="s">
        <v>18</v>
      </c>
      <c r="AR58" s="31" t="s">
        <v>24</v>
      </c>
      <c r="AT58" s="93">
        <f t="shared" si="58"/>
        <v>-7.7988999999999997</v>
      </c>
      <c r="AU58" s="93">
        <f t="shared" si="59"/>
        <v>60.822841209999993</v>
      </c>
      <c r="AV58" s="93">
        <f t="shared" si="60"/>
        <v>-474.35125631266891</v>
      </c>
    </row>
    <row r="59" spans="1:48" s="32" customFormat="1" x14ac:dyDescent="0.3">
      <c r="A59" s="86" t="s">
        <v>23</v>
      </c>
      <c r="B59" s="84">
        <v>45853.220138888886</v>
      </c>
      <c r="C59" s="84">
        <v>45853.299305555556</v>
      </c>
      <c r="D59" s="85">
        <f t="shared" si="38"/>
        <v>1.9000000000814907</v>
      </c>
      <c r="E59" s="42">
        <f t="shared" si="39"/>
        <v>45854.576908641357</v>
      </c>
      <c r="F59" s="43">
        <f t="shared" si="40"/>
        <v>1839.7484435525257</v>
      </c>
      <c r="G59" s="43">
        <f t="shared" si="23"/>
        <v>1839.7484435525257</v>
      </c>
      <c r="H59" s="105">
        <f t="shared" si="24"/>
        <v>45857.65373185651</v>
      </c>
      <c r="I59" s="43">
        <f t="shared" si="25"/>
        <v>6270.3738733730279</v>
      </c>
      <c r="J59" s="43">
        <f t="shared" si="26"/>
        <v>6270.3738733730279</v>
      </c>
      <c r="K59" s="87">
        <f t="shared" si="41"/>
        <v>45853.29740204462</v>
      </c>
      <c r="L59" s="88">
        <f t="shared" si="42"/>
        <v>2.7410557481925935</v>
      </c>
      <c r="M59" s="88">
        <f t="shared" si="28"/>
        <v>-2.7410557481925935</v>
      </c>
      <c r="N59" s="105">
        <f t="shared" si="29"/>
        <v>45853.332515660244</v>
      </c>
      <c r="O59" s="88">
        <f t="shared" si="30"/>
        <v>47.822550750570372</v>
      </c>
      <c r="P59" s="88">
        <f t="shared" si="31"/>
        <v>47.822550750570372</v>
      </c>
      <c r="Q59" s="102">
        <v>-4.01</v>
      </c>
      <c r="R59" s="102">
        <v>4.2711300000000003</v>
      </c>
      <c r="S59" s="102">
        <v>-0.89559999999999995</v>
      </c>
      <c r="T59" s="102">
        <v>697.62099999999998</v>
      </c>
      <c r="U59" s="89">
        <f t="shared" si="43"/>
        <v>-6.2478936760000003</v>
      </c>
      <c r="V59" s="85">
        <f t="shared" si="44"/>
        <v>-6.2478936760000003</v>
      </c>
      <c r="W59" s="85" t="e">
        <f t="shared" si="5"/>
        <v>#N/A</v>
      </c>
      <c r="X59" s="85">
        <f t="shared" si="45"/>
        <v>90.123891918114381</v>
      </c>
      <c r="Y59" s="85">
        <f t="shared" si="46"/>
        <v>18056.118429944781</v>
      </c>
      <c r="Z59" s="85">
        <f t="shared" si="47"/>
        <v>6187.1796624010613</v>
      </c>
      <c r="AA59" s="85">
        <f t="shared" si="48"/>
        <v>5.9266137749055323</v>
      </c>
      <c r="AB59" s="85">
        <f t="shared" si="32"/>
        <v>3.2749480662867674</v>
      </c>
      <c r="AC59" s="85">
        <f t="shared" si="49"/>
        <v>-0.20669229778984921</v>
      </c>
      <c r="AD59" s="85">
        <f t="shared" si="33"/>
        <v>11.842596321219553</v>
      </c>
      <c r="AE59" s="85">
        <f t="shared" si="50"/>
        <v>-0.10334614889492461</v>
      </c>
      <c r="AF59" s="85">
        <f t="shared" si="51"/>
        <v>2.3409341244852075E-3</v>
      </c>
      <c r="AG59" s="85">
        <f t="shared" si="52"/>
        <v>0.46900087078805286</v>
      </c>
      <c r="AH59" s="85">
        <f t="shared" si="53"/>
        <v>47.433627323288938</v>
      </c>
      <c r="AI59" s="85">
        <f t="shared" si="34"/>
        <v>9503.2202258791349</v>
      </c>
      <c r="AJ59" s="85">
        <f t="shared" si="54"/>
        <v>1544.5562592539623</v>
      </c>
      <c r="AK59" s="85">
        <f t="shared" si="55"/>
        <v>17621.970823356725</v>
      </c>
      <c r="AL59" s="85">
        <f t="shared" si="56"/>
        <v>1953.7484435590911</v>
      </c>
      <c r="AM59" s="85">
        <f t="shared" si="57"/>
        <v>111.25894425998024</v>
      </c>
      <c r="AN59" s="85">
        <f t="shared" si="35"/>
        <v>6384.3738733795244</v>
      </c>
      <c r="AO59" s="85">
        <f t="shared" si="36"/>
        <v>161.82255075283851</v>
      </c>
      <c r="AP59" s="31" t="s">
        <v>15</v>
      </c>
      <c r="AQ59" s="92" t="s">
        <v>18</v>
      </c>
      <c r="AR59" s="31" t="s">
        <v>86</v>
      </c>
      <c r="AT59" s="93">
        <f t="shared" si="58"/>
        <v>-6.2478936760000003</v>
      </c>
      <c r="AU59" s="93">
        <f t="shared" si="59"/>
        <v>39.036175386600796</v>
      </c>
      <c r="AV59" s="93">
        <f t="shared" si="60"/>
        <v>-243.89387333316998</v>
      </c>
    </row>
    <row r="60" spans="1:48" s="32" customFormat="1" ht="15.6" customHeight="1" x14ac:dyDescent="0.3">
      <c r="A60" s="83" t="s">
        <v>22</v>
      </c>
      <c r="B60" s="84">
        <v>45852.211805555555</v>
      </c>
      <c r="C60" s="84">
        <v>45852.293749999997</v>
      </c>
      <c r="D60" s="85">
        <f t="shared" si="38"/>
        <v>1.96666666661622</v>
      </c>
      <c r="E60" s="42">
        <f t="shared" si="39"/>
        <v>45852.278449035337</v>
      </c>
      <c r="F60" s="43">
        <f t="shared" si="40"/>
        <v>22.033389110583812</v>
      </c>
      <c r="G60" s="43">
        <f t="shared" si="23"/>
        <v>-22.033389110583812</v>
      </c>
      <c r="H60" s="105">
        <f t="shared" si="24"/>
        <v>45852.428168065293</v>
      </c>
      <c r="I60" s="43">
        <f t="shared" si="25"/>
        <v>193.56201402610168</v>
      </c>
      <c r="J60" s="43">
        <f t="shared" si="26"/>
        <v>193.56201402610168</v>
      </c>
      <c r="K60" s="87">
        <f t="shared" si="41"/>
        <v>45852.286403300917</v>
      </c>
      <c r="L60" s="88">
        <f t="shared" si="42"/>
        <v>10.579246674897149</v>
      </c>
      <c r="M60" s="88">
        <f t="shared" si="28"/>
        <v>-10.579246674897149</v>
      </c>
      <c r="N60" s="105">
        <f t="shared" si="29"/>
        <v>45852.320144237216</v>
      </c>
      <c r="O60" s="88">
        <f t="shared" si="30"/>
        <v>38.007701594615355</v>
      </c>
      <c r="P60" s="88">
        <f t="shared" si="31"/>
        <v>38.007701594615355</v>
      </c>
      <c r="Q60" s="102">
        <v>-5.5731000000000002</v>
      </c>
      <c r="R60" s="102">
        <v>-1.2405999999999999</v>
      </c>
      <c r="S60" s="102">
        <v>-1.1771</v>
      </c>
      <c r="T60" s="102">
        <v>525.17100000000005</v>
      </c>
      <c r="U60" s="89">
        <f t="shared" si="43"/>
        <v>-6.1817878410000002</v>
      </c>
      <c r="V60" s="85">
        <f t="shared" si="44"/>
        <v>-6.1817878410000002</v>
      </c>
      <c r="W60" s="85" t="e">
        <f t="shared" si="5"/>
        <v>#N/A</v>
      </c>
      <c r="X60" s="85">
        <f t="shared" si="45"/>
        <v>1911.5730677775418</v>
      </c>
      <c r="Y60" s="85">
        <f t="shared" si="46"/>
        <v>19386.283278248251</v>
      </c>
      <c r="Z60" s="85">
        <f t="shared" si="47"/>
        <v>4237.0896043118491</v>
      </c>
      <c r="AA60" s="85">
        <f t="shared" si="48"/>
        <v>5.8295880111719738</v>
      </c>
      <c r="AB60" s="85">
        <f t="shared" si="32"/>
        <v>3.2391066092161802</v>
      </c>
      <c r="AC60" s="85">
        <f t="shared" si="49"/>
        <v>-0.75913956860888898</v>
      </c>
      <c r="AD60" s="85">
        <f t="shared" si="33"/>
        <v>43.495493342671331</v>
      </c>
      <c r="AE60" s="85">
        <f t="shared" si="50"/>
        <v>-0.37956978430444449</v>
      </c>
      <c r="AF60" s="85">
        <f t="shared" si="51"/>
        <v>7.0821848107667007E-2</v>
      </c>
      <c r="AG60" s="85">
        <f t="shared" si="52"/>
        <v>0.71824218118984362</v>
      </c>
      <c r="AH60" s="85">
        <f t="shared" si="53"/>
        <v>971.98630567452983</v>
      </c>
      <c r="AI60" s="85">
        <f t="shared" si="34"/>
        <v>9857.4321756333175</v>
      </c>
      <c r="AJ60" s="85">
        <f t="shared" si="54"/>
        <v>1554.6371929921597</v>
      </c>
      <c r="AK60" s="85">
        <f t="shared" si="55"/>
        <v>17648.213169274517</v>
      </c>
      <c r="AL60" s="85">
        <f t="shared" si="56"/>
        <v>95.966610882235869</v>
      </c>
      <c r="AM60" s="85">
        <f t="shared" si="57"/>
        <v>107.42075332498442</v>
      </c>
      <c r="AN60" s="85">
        <f t="shared" si="35"/>
        <v>311.56201402680176</v>
      </c>
      <c r="AO60" s="85">
        <f t="shared" si="36"/>
        <v>156.00770159181189</v>
      </c>
      <c r="AP60" s="31" t="s">
        <v>15</v>
      </c>
      <c r="AQ60" s="92" t="s">
        <v>18</v>
      </c>
      <c r="AR60" s="31" t="s">
        <v>86</v>
      </c>
      <c r="AT60" s="93">
        <f t="shared" si="58"/>
        <v>-6.1817878410000002</v>
      </c>
      <c r="AU60" s="93">
        <f t="shared" si="59"/>
        <v>38.214500911135445</v>
      </c>
      <c r="AV60" s="93">
        <f t="shared" si="60"/>
        <v>-236.23393708234053</v>
      </c>
    </row>
    <row r="61" spans="1:48" s="32" customFormat="1" x14ac:dyDescent="0.3">
      <c r="A61" s="83" t="s">
        <v>23</v>
      </c>
      <c r="B61" s="84">
        <v>41349.138194444444</v>
      </c>
      <c r="C61" s="84">
        <v>41349.300000000003</v>
      </c>
      <c r="D61" s="85">
        <f t="shared" si="38"/>
        <v>3.8833333334187046</v>
      </c>
      <c r="E61" s="42">
        <f t="shared" si="39"/>
        <v>41349.424273051955</v>
      </c>
      <c r="F61" s="43">
        <f t="shared" si="40"/>
        <v>178.95319481031038</v>
      </c>
      <c r="G61" s="43">
        <f t="shared" si="23"/>
        <v>178.95319481031038</v>
      </c>
      <c r="H61" s="105">
        <f t="shared" si="24"/>
        <v>41350.000866238894</v>
      </c>
      <c r="I61" s="43">
        <f t="shared" si="25"/>
        <v>1009.2473840026651</v>
      </c>
      <c r="J61" s="43">
        <f t="shared" si="26"/>
        <v>1009.2473840026651</v>
      </c>
      <c r="K61" s="87">
        <f t="shared" si="41"/>
        <v>41349.272233330747</v>
      </c>
      <c r="L61" s="88">
        <f t="shared" si="42"/>
        <v>39.984003729186952</v>
      </c>
      <c r="M61" s="88">
        <f t="shared" si="28"/>
        <v>-39.984003729186952</v>
      </c>
      <c r="N61" s="105">
        <f t="shared" si="29"/>
        <v>41349.329509834679</v>
      </c>
      <c r="O61" s="88">
        <f t="shared" si="30"/>
        <v>42.494161933427677</v>
      </c>
      <c r="P61" s="88">
        <f t="shared" si="31"/>
        <v>42.494161933427677</v>
      </c>
      <c r="Q61" s="102">
        <v>-2.9468999999999999</v>
      </c>
      <c r="R61" s="102">
        <v>1.9879500000000001</v>
      </c>
      <c r="S61" s="102">
        <v>-1.1617</v>
      </c>
      <c r="T61" s="102">
        <v>467.05700000000002</v>
      </c>
      <c r="U61" s="89">
        <f t="shared" si="43"/>
        <v>-5.4258011689999996</v>
      </c>
      <c r="V61" s="85">
        <f t="shared" si="44"/>
        <v>-5.4258011689999996</v>
      </c>
      <c r="W61" s="85" t="e">
        <f t="shared" si="5"/>
        <v>#N/A</v>
      </c>
      <c r="X61" s="85">
        <f t="shared" si="45"/>
        <v>946.67569806219376</v>
      </c>
      <c r="Y61" s="85">
        <f t="shared" si="46"/>
        <v>21677.146204498258</v>
      </c>
      <c r="Z61" s="85">
        <f t="shared" si="47"/>
        <v>3623.7635080042369</v>
      </c>
      <c r="AA61" s="85">
        <f t="shared" si="48"/>
        <v>3.7397475452896551</v>
      </c>
      <c r="AB61" s="85">
        <f t="shared" si="32"/>
        <v>2.4093220605642696</v>
      </c>
      <c r="AC61" s="85">
        <f t="shared" si="49"/>
        <v>-0.52884819285183116</v>
      </c>
      <c r="AD61" s="85">
        <f t="shared" si="33"/>
        <v>30.300769453530556</v>
      </c>
      <c r="AE61" s="85">
        <f t="shared" si="50"/>
        <v>-0.26442409642591558</v>
      </c>
      <c r="AF61" s="85">
        <f t="shared" si="51"/>
        <v>2.7921699800432485E-2</v>
      </c>
      <c r="AG61" s="85">
        <f t="shared" si="52"/>
        <v>0.63935598018522377</v>
      </c>
      <c r="AH61" s="85">
        <f t="shared" si="53"/>
        <v>243.77914971022713</v>
      </c>
      <c r="AI61" s="85">
        <f t="shared" si="34"/>
        <v>5582.0977349412124</v>
      </c>
      <c r="AJ61" s="85">
        <f t="shared" si="54"/>
        <v>1673.7599925414584</v>
      </c>
      <c r="AK61" s="85">
        <f t="shared" si="55"/>
        <v>17957.235927198832</v>
      </c>
      <c r="AL61" s="85">
        <f t="shared" si="56"/>
        <v>411.95319481530868</v>
      </c>
      <c r="AM61" s="85">
        <f t="shared" si="57"/>
        <v>193.01599627819431</v>
      </c>
      <c r="AN61" s="85">
        <f t="shared" si="35"/>
        <v>1242.2473840047298</v>
      </c>
      <c r="AO61" s="85">
        <f t="shared" si="36"/>
        <v>275.49416193335844</v>
      </c>
      <c r="AP61" s="31" t="s">
        <v>15</v>
      </c>
      <c r="AQ61" s="92" t="s">
        <v>18</v>
      </c>
      <c r="AR61" s="31" t="s">
        <v>24</v>
      </c>
      <c r="AT61" s="93">
        <f t="shared" si="58"/>
        <v>-5.4258011689999996</v>
      </c>
      <c r="AU61" s="93">
        <f t="shared" si="59"/>
        <v>29.439318325521764</v>
      </c>
      <c r="AV61" s="93">
        <f t="shared" si="60"/>
        <v>-159.73188778517911</v>
      </c>
    </row>
    <row r="62" spans="1:48" s="32" customFormat="1" x14ac:dyDescent="0.3">
      <c r="A62" s="83" t="s">
        <v>22</v>
      </c>
      <c r="B62" s="84">
        <v>45336.056250000001</v>
      </c>
      <c r="C62" s="84">
        <v>45336.209722222222</v>
      </c>
      <c r="D62" s="85">
        <f t="shared" si="38"/>
        <v>3.6833333332906477</v>
      </c>
      <c r="E62" s="42">
        <f t="shared" si="39"/>
        <v>45338.83472714587</v>
      </c>
      <c r="F62" s="43">
        <f t="shared" si="40"/>
        <v>3780.0070900528226</v>
      </c>
      <c r="G62" s="43">
        <f t="shared" si="23"/>
        <v>3780.0070900528226</v>
      </c>
      <c r="H62" s="105">
        <f t="shared" si="24"/>
        <v>45343.442909872902</v>
      </c>
      <c r="I62" s="43">
        <f t="shared" si="25"/>
        <v>10415.790216978639</v>
      </c>
      <c r="J62" s="43">
        <f t="shared" si="26"/>
        <v>10415.790216978639</v>
      </c>
      <c r="K62" s="87">
        <f t="shared" si="41"/>
        <v>45336.220087802438</v>
      </c>
      <c r="L62" s="88">
        <f t="shared" si="42"/>
        <v>14.926435510860756</v>
      </c>
      <c r="M62" s="88">
        <f t="shared" si="28"/>
        <v>14.926435510860756</v>
      </c>
      <c r="N62" s="105">
        <f t="shared" si="29"/>
        <v>45336.282799973655</v>
      </c>
      <c r="O62" s="88">
        <f t="shared" si="30"/>
        <v>105.23196206311695</v>
      </c>
      <c r="P62" s="88">
        <f t="shared" si="31"/>
        <v>105.23196206311695</v>
      </c>
      <c r="Q62" s="102">
        <v>-3.9643000000000002</v>
      </c>
      <c r="R62" s="102">
        <v>4.5187999999999997</v>
      </c>
      <c r="S62" s="102">
        <v>-1.0311999999999999</v>
      </c>
      <c r="T62" s="102">
        <v>398.24900000000002</v>
      </c>
      <c r="U62" s="89">
        <f t="shared" si="43"/>
        <v>-4.1067436879999999</v>
      </c>
      <c r="V62" s="85">
        <f t="shared" si="44"/>
        <v>-4.1067436879999999</v>
      </c>
      <c r="W62" s="85" t="e">
        <f t="shared" si="5"/>
        <v>#N/A</v>
      </c>
      <c r="X62" s="85">
        <f t="shared" si="45"/>
        <v>104.86609065570767</v>
      </c>
      <c r="Y62" s="85">
        <f t="shared" si="46"/>
        <v>17362.983452728877</v>
      </c>
      <c r="Z62" s="85">
        <f t="shared" si="47"/>
        <v>2930.0357903370009</v>
      </c>
      <c r="AA62" s="85">
        <f t="shared" si="48"/>
        <v>6.0990656145019457</v>
      </c>
      <c r="AB62" s="85">
        <f t="shared" si="32"/>
        <v>3.3381732325337565</v>
      </c>
      <c r="AC62" s="85">
        <f t="shared" si="49"/>
        <v>-0.22436022291935021</v>
      </c>
      <c r="AD62" s="85">
        <f t="shared" si="33"/>
        <v>12.854893863893089</v>
      </c>
      <c r="AE62" s="85">
        <f t="shared" si="50"/>
        <v>-0.1121801114596751</v>
      </c>
      <c r="AF62" s="85">
        <f t="shared" si="51"/>
        <v>2.9107992818731897E-3</v>
      </c>
      <c r="AG62" s="85">
        <f t="shared" si="52"/>
        <v>0.48194949815866411</v>
      </c>
      <c r="AH62" s="85">
        <f t="shared" si="53"/>
        <v>28.470431852558267</v>
      </c>
      <c r="AI62" s="85">
        <f t="shared" si="34"/>
        <v>4713.9321591665412</v>
      </c>
      <c r="AJ62" s="85">
        <f t="shared" si="54"/>
        <v>1898.506661648586</v>
      </c>
      <c r="AK62" s="85">
        <f t="shared" si="55"/>
        <v>18535.686858605157</v>
      </c>
      <c r="AL62" s="85">
        <f t="shared" si="56"/>
        <v>4001.0070900515516</v>
      </c>
      <c r="AM62" s="85">
        <f t="shared" si="57"/>
        <v>235.92643550325178</v>
      </c>
      <c r="AN62" s="85">
        <f t="shared" si="35"/>
        <v>10636.790216977875</v>
      </c>
      <c r="AO62" s="85">
        <f t="shared" si="36"/>
        <v>326.23196206320216</v>
      </c>
      <c r="AP62" s="31" t="s">
        <v>15</v>
      </c>
      <c r="AQ62" s="92" t="s">
        <v>18</v>
      </c>
      <c r="AR62" s="31" t="s">
        <v>24</v>
      </c>
      <c r="AT62" s="93">
        <f t="shared" si="58"/>
        <v>-4.1067436879999999</v>
      </c>
      <c r="AU62" s="93">
        <f t="shared" si="59"/>
        <v>16.865343718927839</v>
      </c>
      <c r="AV62" s="93">
        <f t="shared" si="60"/>
        <v>-69.261643863657355</v>
      </c>
    </row>
    <row r="63" spans="1:48" s="32" customFormat="1" x14ac:dyDescent="0.3">
      <c r="A63" s="33"/>
      <c r="B63" s="34"/>
      <c r="C63" s="34"/>
      <c r="D63" s="35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36"/>
      <c r="R63" s="36"/>
      <c r="S63" s="36"/>
      <c r="T63" s="36"/>
      <c r="U63" s="36"/>
      <c r="V63" s="36"/>
      <c r="W63" s="36"/>
      <c r="X63" s="36"/>
      <c r="Y63" s="37"/>
      <c r="Z63" s="35"/>
      <c r="AA63" s="35"/>
      <c r="AB63" s="35"/>
      <c r="AC63" s="36"/>
      <c r="AD63" s="36"/>
      <c r="AE63" s="36"/>
      <c r="AF63" s="36"/>
      <c r="AG63" s="35"/>
      <c r="AH63" s="35"/>
      <c r="AI63" s="37"/>
      <c r="AJ63" s="37"/>
      <c r="AK63" s="45"/>
      <c r="AL63" s="36"/>
      <c r="AM63" s="35"/>
      <c r="AN63" s="35"/>
      <c r="AO63" s="35"/>
      <c r="AP63" s="37"/>
      <c r="AQ63" s="37"/>
      <c r="AR63" s="37"/>
    </row>
    <row r="64" spans="1:48" s="32" customFormat="1" ht="15.6" x14ac:dyDescent="0.35">
      <c r="E64" s="94"/>
      <c r="F64" s="94" t="s">
        <v>115</v>
      </c>
      <c r="H64" s="94"/>
      <c r="I64" s="94" t="s">
        <v>116</v>
      </c>
      <c r="K64" s="94"/>
      <c r="L64" s="94" t="s">
        <v>118</v>
      </c>
      <c r="M64" s="109"/>
      <c r="N64" s="112"/>
      <c r="O64" s="112" t="s">
        <v>117</v>
      </c>
      <c r="P64" s="109"/>
      <c r="R64" s="38"/>
      <c r="X64" s="80" t="s">
        <v>111</v>
      </c>
      <c r="Y64" s="80" t="s">
        <v>112</v>
      </c>
      <c r="Z64" s="94" t="s">
        <v>91</v>
      </c>
      <c r="AB64" s="94" t="s">
        <v>92</v>
      </c>
      <c r="AJ64" s="35"/>
      <c r="AP64" s="32" t="s">
        <v>88</v>
      </c>
    </row>
    <row r="65" spans="1:41" s="32" customFormat="1" x14ac:dyDescent="0.3">
      <c r="A65"/>
      <c r="B65"/>
      <c r="C65" s="38"/>
      <c r="D65" s="36"/>
      <c r="E65" s="39" t="s">
        <v>59</v>
      </c>
      <c r="F65" s="40">
        <f>AVERAGE(F3:F62)</f>
        <v>160.46889587579062</v>
      </c>
      <c r="G65" s="110"/>
      <c r="H65" s="39" t="s">
        <v>59</v>
      </c>
      <c r="I65" s="40">
        <f t="shared" ref="I65:O65" si="61">AVERAGE(I3:I62)</f>
        <v>552.814671158907</v>
      </c>
      <c r="J65" s="110"/>
      <c r="K65" s="39" t="s">
        <v>59</v>
      </c>
      <c r="L65" s="40">
        <f t="shared" si="61"/>
        <v>17.733983943646308</v>
      </c>
      <c r="M65" s="110"/>
      <c r="N65" s="39" t="s">
        <v>59</v>
      </c>
      <c r="O65" s="40">
        <f t="shared" si="61"/>
        <v>38.21720554609783</v>
      </c>
      <c r="P65" s="110"/>
      <c r="Q65"/>
      <c r="R65" s="38"/>
      <c r="X65" s="106">
        <f>AVERAGE(X3:X62)</f>
        <v>5047.2335167071178</v>
      </c>
      <c r="Y65" s="106">
        <f>AVERAGE(Y3:Y62)</f>
        <v>25630.588955295461</v>
      </c>
      <c r="Z65" s="94">
        <f>4/3</f>
        <v>1.3333333333333333</v>
      </c>
      <c r="AB65" s="95">
        <f>2/3</f>
        <v>0.66666666666666663</v>
      </c>
      <c r="AJ65" s="35"/>
      <c r="AK65" s="37"/>
      <c r="AL65" s="41"/>
      <c r="AM65" s="41"/>
      <c r="AN65" s="41"/>
      <c r="AO65" s="41"/>
    </row>
    <row r="66" spans="1:41" s="32" customFormat="1" ht="15" thickBot="1" x14ac:dyDescent="0.35">
      <c r="A66"/>
      <c r="B66"/>
      <c r="C66" s="38"/>
      <c r="D66" s="36"/>
      <c r="E66" s="39" t="s">
        <v>6</v>
      </c>
      <c r="F66" s="40">
        <f>MEDIAN(F3:F62)</f>
        <v>39.199073915951885</v>
      </c>
      <c r="G66" s="110"/>
      <c r="H66" s="39" t="s">
        <v>6</v>
      </c>
      <c r="I66" s="40">
        <f t="shared" ref="I66:O66" si="62">MEDIAN(I3:I62)</f>
        <v>57.078678418183699</v>
      </c>
      <c r="J66" s="110"/>
      <c r="K66" s="39" t="s">
        <v>6</v>
      </c>
      <c r="L66" s="40">
        <f t="shared" si="62"/>
        <v>14.105586989899166</v>
      </c>
      <c r="M66" s="110"/>
      <c r="N66" s="39" t="s">
        <v>6</v>
      </c>
      <c r="O66" s="40">
        <f t="shared" si="62"/>
        <v>34.561681479681283</v>
      </c>
      <c r="P66" s="110"/>
      <c r="R66" s="38"/>
      <c r="AB66" s="96"/>
      <c r="AJ66" s="35"/>
      <c r="AL66" s="41"/>
      <c r="AM66" s="41"/>
      <c r="AN66" s="41"/>
      <c r="AO66" s="41"/>
    </row>
    <row r="67" spans="1:41" s="32" customFormat="1" ht="15" thickTop="1" x14ac:dyDescent="0.3">
      <c r="A67"/>
      <c r="B67"/>
      <c r="C67" s="38"/>
      <c r="E67" s="39" t="s">
        <v>43</v>
      </c>
      <c r="F67" s="40">
        <f>_xlfn.STDEV.P(F3:F62)</f>
        <v>534.28918823525294</v>
      </c>
      <c r="G67" s="110"/>
      <c r="H67" s="39" t="s">
        <v>43</v>
      </c>
      <c r="I67" s="40">
        <f t="shared" ref="I67:O67" si="63">_xlfn.STDEV.P(I3:I62)</f>
        <v>1601.6748021882167</v>
      </c>
      <c r="J67" s="110"/>
      <c r="K67" s="39" t="s">
        <v>43</v>
      </c>
      <c r="L67" s="40">
        <f t="shared" si="63"/>
        <v>13.017321274390735</v>
      </c>
      <c r="M67" s="110"/>
      <c r="N67" s="39" t="s">
        <v>43</v>
      </c>
      <c r="O67" s="40">
        <f t="shared" si="63"/>
        <v>26.553532359227791</v>
      </c>
      <c r="P67" s="110"/>
      <c r="R67" s="38"/>
      <c r="Z67" s="103" t="s">
        <v>94</v>
      </c>
      <c r="AA67" s="35"/>
      <c r="AB67" s="104" t="s">
        <v>93</v>
      </c>
      <c r="AC67" s="32" t="s">
        <v>95</v>
      </c>
      <c r="AJ67" s="35"/>
    </row>
    <row r="68" spans="1:41" x14ac:dyDescent="0.3">
      <c r="C68" s="5"/>
      <c r="D68" s="3"/>
      <c r="E68" s="6" t="s">
        <v>1</v>
      </c>
      <c r="F68" s="26">
        <f>MIN(F3:F62)</f>
        <v>0.28976027620956302</v>
      </c>
      <c r="G68" s="111"/>
      <c r="H68" s="6" t="s">
        <v>1</v>
      </c>
      <c r="I68" s="26">
        <f t="shared" ref="I68:O68" si="64">MIN(I3:I62)</f>
        <v>0.62703422969207168</v>
      </c>
      <c r="J68" s="111"/>
      <c r="K68" s="6" t="s">
        <v>1</v>
      </c>
      <c r="L68" s="26">
        <f t="shared" si="64"/>
        <v>0.59860482579097152</v>
      </c>
      <c r="M68" s="111"/>
      <c r="N68" s="6" t="s">
        <v>1</v>
      </c>
      <c r="O68" s="26">
        <f t="shared" si="64"/>
        <v>0.15767654869705439</v>
      </c>
      <c r="P68" s="111"/>
      <c r="R68" s="5"/>
      <c r="Z68" s="3">
        <v>1.25</v>
      </c>
      <c r="AA68" s="3"/>
      <c r="AB68" s="9">
        <v>0.55600000000000005</v>
      </c>
      <c r="AC68" t="s">
        <v>97</v>
      </c>
      <c r="AJ68" s="9"/>
    </row>
    <row r="69" spans="1:41" x14ac:dyDescent="0.3">
      <c r="E69" s="6" t="s">
        <v>7</v>
      </c>
      <c r="F69" s="26">
        <f>MAX(F3:F62)</f>
        <v>3780.0070900528226</v>
      </c>
      <c r="G69" s="111"/>
      <c r="H69" s="6" t="s">
        <v>7</v>
      </c>
      <c r="I69" s="26">
        <f t="shared" ref="I69:O69" si="65">MAX(I3:I62)</f>
        <v>10415.790216978639</v>
      </c>
      <c r="J69" s="111"/>
      <c r="K69" s="6" t="s">
        <v>7</v>
      </c>
      <c r="L69" s="26">
        <f t="shared" si="65"/>
        <v>53.217510748654604</v>
      </c>
      <c r="M69" s="111"/>
      <c r="N69" s="6" t="s">
        <v>7</v>
      </c>
      <c r="O69" s="26">
        <f t="shared" si="65"/>
        <v>105.23196206311695</v>
      </c>
      <c r="P69" s="111"/>
      <c r="R69"/>
      <c r="AA69" s="11"/>
      <c r="AI69" s="9"/>
    </row>
    <row r="70" spans="1:41" x14ac:dyDescent="0.3">
      <c r="K70"/>
      <c r="L70"/>
      <c r="M70"/>
      <c r="N70"/>
      <c r="O70"/>
      <c r="P70"/>
      <c r="R70"/>
      <c r="AA70" s="11"/>
      <c r="AI70" s="9"/>
    </row>
    <row r="71" spans="1:41" x14ac:dyDescent="0.3">
      <c r="K71"/>
      <c r="L71"/>
      <c r="M71"/>
      <c r="N71"/>
      <c r="O71"/>
      <c r="P71"/>
      <c r="Q71"/>
      <c r="R71"/>
      <c r="AA71" s="11"/>
      <c r="AI71" s="9"/>
    </row>
    <row r="72" spans="1:41" x14ac:dyDescent="0.3">
      <c r="K72"/>
      <c r="L72"/>
      <c r="M72"/>
      <c r="N72"/>
      <c r="O72"/>
      <c r="P72"/>
      <c r="Q72"/>
      <c r="R72"/>
      <c r="Z72" s="11"/>
      <c r="AH72" s="9"/>
    </row>
    <row r="73" spans="1:41" x14ac:dyDescent="0.3">
      <c r="G73" s="5"/>
      <c r="H73" s="5"/>
      <c r="I73" s="5"/>
      <c r="J73" s="5"/>
      <c r="K73" s="5"/>
      <c r="L73" s="5"/>
      <c r="M73" s="5"/>
      <c r="N73" s="5"/>
      <c r="O73" s="5"/>
      <c r="P73" s="5"/>
      <c r="Q73"/>
      <c r="R73"/>
    </row>
    <row r="74" spans="1:41" x14ac:dyDescent="0.3">
      <c r="G74" s="2" t="s">
        <v>5</v>
      </c>
      <c r="H74" s="8">
        <f>1/3</f>
        <v>0.33333333333333331</v>
      </c>
      <c r="K74"/>
      <c r="L74"/>
      <c r="M74"/>
      <c r="N74"/>
      <c r="O74"/>
      <c r="P74"/>
      <c r="Q74"/>
      <c r="R74"/>
    </row>
    <row r="75" spans="1:41" x14ac:dyDescent="0.3">
      <c r="K75"/>
      <c r="L75"/>
      <c r="M75"/>
      <c r="N75"/>
      <c r="O75"/>
      <c r="P75"/>
      <c r="Q75"/>
      <c r="R75"/>
      <c r="U75" s="9"/>
      <c r="V75" s="9"/>
      <c r="AI75" s="9"/>
      <c r="AJ75" s="9"/>
      <c r="AK75" s="9"/>
    </row>
    <row r="76" spans="1:41" x14ac:dyDescent="0.3">
      <c r="H76" s="3"/>
      <c r="I76" s="3"/>
      <c r="J76" s="3"/>
      <c r="L76"/>
      <c r="M76"/>
      <c r="N76"/>
      <c r="O76"/>
      <c r="P76"/>
      <c r="Q76"/>
      <c r="R76"/>
    </row>
    <row r="77" spans="1:41" x14ac:dyDescent="0.3">
      <c r="G77" t="s">
        <v>30</v>
      </c>
      <c r="J77" s="3"/>
      <c r="M77"/>
      <c r="N77"/>
      <c r="O77"/>
      <c r="P77"/>
      <c r="Q77"/>
      <c r="R77"/>
    </row>
    <row r="78" spans="1:41" x14ac:dyDescent="0.3">
      <c r="H78" t="s">
        <v>29</v>
      </c>
      <c r="I78" s="2" t="s">
        <v>26</v>
      </c>
      <c r="J78" s="2" t="s">
        <v>27</v>
      </c>
      <c r="K78" s="4" t="s">
        <v>28</v>
      </c>
      <c r="L78" s="4" t="s">
        <v>4</v>
      </c>
      <c r="M78"/>
      <c r="N78"/>
      <c r="O78"/>
      <c r="P78"/>
      <c r="Q78"/>
      <c r="R78"/>
    </row>
    <row r="79" spans="1:41" ht="15.6" x14ac:dyDescent="0.35">
      <c r="G79" s="2" t="s">
        <v>74</v>
      </c>
      <c r="H79" s="97">
        <v>0</v>
      </c>
      <c r="I79" s="46">
        <f t="array" ref="I79:L79">LINEST(Y3:Y22, AT3:AV22, TRUE, FALSE)</f>
        <v>1.1683999064186735E-2</v>
      </c>
      <c r="J79" s="46">
        <v>7.0311805575567918</v>
      </c>
      <c r="K79" s="46">
        <v>1103.2510577450648</v>
      </c>
      <c r="L79" s="46">
        <v>73136.033918284462</v>
      </c>
      <c r="M79"/>
      <c r="N79"/>
      <c r="O79"/>
      <c r="P79"/>
      <c r="Q79"/>
      <c r="R79"/>
    </row>
    <row r="80" spans="1:41" x14ac:dyDescent="0.3">
      <c r="I80" s="3"/>
      <c r="J80" s="3"/>
      <c r="M80"/>
      <c r="N80"/>
      <c r="O80"/>
      <c r="P80"/>
      <c r="Q80"/>
      <c r="R80"/>
    </row>
    <row r="81" spans="1:18" x14ac:dyDescent="0.3">
      <c r="G81" t="s">
        <v>31</v>
      </c>
      <c r="K81"/>
      <c r="L81"/>
      <c r="M81"/>
      <c r="N81"/>
      <c r="O81"/>
      <c r="P81"/>
      <c r="Q81"/>
      <c r="R81"/>
    </row>
    <row r="82" spans="1:18" x14ac:dyDescent="0.3">
      <c r="H82" t="s">
        <v>29</v>
      </c>
      <c r="I82" s="2" t="s">
        <v>26</v>
      </c>
      <c r="J82" s="2" t="s">
        <v>27</v>
      </c>
      <c r="K82" s="4" t="s">
        <v>28</v>
      </c>
      <c r="L82" s="4" t="s">
        <v>4</v>
      </c>
      <c r="M82"/>
      <c r="N82"/>
      <c r="O82"/>
      <c r="P82"/>
      <c r="Q82"/>
      <c r="R82"/>
    </row>
    <row r="83" spans="1:18" ht="15.6" x14ac:dyDescent="0.35">
      <c r="G83" s="2" t="s">
        <v>74</v>
      </c>
      <c r="H83" s="97">
        <v>0</v>
      </c>
      <c r="I83" s="98">
        <v>0</v>
      </c>
      <c r="J83" s="2">
        <f t="array" ref="J83:L83">LINEST(Y23:Y62, AT23:AU62, TRUE, FALSE)</f>
        <v>14.344784042211966</v>
      </c>
      <c r="K83" s="2">
        <v>575.2758258229195</v>
      </c>
      <c r="L83" s="93">
        <v>20656.267511716724</v>
      </c>
      <c r="M83"/>
      <c r="N83"/>
      <c r="O83"/>
      <c r="P83"/>
      <c r="Q83"/>
      <c r="R83"/>
    </row>
    <row r="84" spans="1:18" x14ac:dyDescent="0.3">
      <c r="G84" t="s">
        <v>139</v>
      </c>
      <c r="R84"/>
    </row>
    <row r="85" spans="1:18" x14ac:dyDescent="0.3">
      <c r="Q85"/>
      <c r="R85"/>
    </row>
    <row r="86" spans="1:18" x14ac:dyDescent="0.3">
      <c r="Q86"/>
      <c r="R86"/>
    </row>
    <row r="87" spans="1:18" x14ac:dyDescent="0.3">
      <c r="R87"/>
    </row>
    <row r="88" spans="1:18" x14ac:dyDescent="0.3">
      <c r="R88"/>
    </row>
    <row r="89" spans="1:18" x14ac:dyDescent="0.3">
      <c r="R89"/>
    </row>
    <row r="90" spans="1:18" x14ac:dyDescent="0.3">
      <c r="R90"/>
    </row>
    <row r="91" spans="1:18" x14ac:dyDescent="0.3">
      <c r="R91"/>
    </row>
    <row r="92" spans="1:18" x14ac:dyDescent="0.3">
      <c r="A92" t="s">
        <v>35</v>
      </c>
      <c r="R92"/>
    </row>
    <row r="93" spans="1:18" x14ac:dyDescent="0.3">
      <c r="R93"/>
    </row>
    <row r="94" spans="1:18" x14ac:dyDescent="0.3">
      <c r="R94"/>
    </row>
    <row r="95" spans="1:18" x14ac:dyDescent="0.3">
      <c r="R95"/>
    </row>
    <row r="96" spans="1:18" x14ac:dyDescent="0.3">
      <c r="R96"/>
    </row>
    <row r="97" spans="7:18" x14ac:dyDescent="0.3">
      <c r="G97" t="s">
        <v>37</v>
      </c>
      <c r="L97"/>
      <c r="M97"/>
      <c r="N97"/>
      <c r="O97"/>
      <c r="P97"/>
      <c r="Q97"/>
      <c r="R97"/>
    </row>
    <row r="98" spans="7:18" x14ac:dyDescent="0.3">
      <c r="H98" t="s">
        <v>29</v>
      </c>
      <c r="I98" s="2" t="s">
        <v>26</v>
      </c>
      <c r="J98" s="2" t="s">
        <v>27</v>
      </c>
      <c r="K98" s="4" t="s">
        <v>28</v>
      </c>
      <c r="L98" s="4" t="s">
        <v>4</v>
      </c>
      <c r="M98"/>
      <c r="N98"/>
      <c r="O98"/>
      <c r="P98"/>
      <c r="Q98"/>
      <c r="R98"/>
    </row>
    <row r="99" spans="7:18" ht="15.6" x14ac:dyDescent="0.35">
      <c r="G99" s="2" t="s">
        <v>74</v>
      </c>
      <c r="H99" s="99">
        <v>0</v>
      </c>
      <c r="I99" s="46">
        <f t="array" ref="I99:L99">LINEST(X3:X22, AT3:AV22, TRUE, FALSE)</f>
        <v>4.6761226195838014E-3</v>
      </c>
      <c r="J99" s="46">
        <v>2.7442831985926976</v>
      </c>
      <c r="K99" s="46">
        <v>439.03376431505126</v>
      </c>
      <c r="L99" s="93">
        <v>25616.105645173593</v>
      </c>
      <c r="M99"/>
      <c r="N99"/>
      <c r="O99"/>
      <c r="P99"/>
      <c r="Q99"/>
      <c r="R99"/>
    </row>
    <row r="100" spans="7:18" x14ac:dyDescent="0.3">
      <c r="H100" s="47"/>
      <c r="I100" s="47"/>
      <c r="J100" s="47"/>
      <c r="K100" s="47"/>
      <c r="L100" s="47"/>
      <c r="M100"/>
      <c r="N100"/>
      <c r="O100"/>
      <c r="P100"/>
      <c r="Q100"/>
      <c r="R100"/>
    </row>
    <row r="101" spans="7:18" x14ac:dyDescent="0.3">
      <c r="G101" s="47" t="s">
        <v>38</v>
      </c>
      <c r="H101" s="3"/>
      <c r="I101" s="47"/>
      <c r="J101" s="47"/>
      <c r="K101" s="47"/>
      <c r="L101" s="47"/>
      <c r="M101"/>
      <c r="N101"/>
      <c r="O101"/>
      <c r="P101"/>
      <c r="Q101"/>
      <c r="R101"/>
    </row>
    <row r="102" spans="7:18" x14ac:dyDescent="0.3">
      <c r="H102" s="47" t="s">
        <v>29</v>
      </c>
      <c r="I102" s="46" t="s">
        <v>26</v>
      </c>
      <c r="J102" s="46" t="s">
        <v>27</v>
      </c>
      <c r="K102" s="7" t="s">
        <v>28</v>
      </c>
      <c r="L102" s="7" t="s">
        <v>4</v>
      </c>
      <c r="M102"/>
      <c r="N102"/>
      <c r="O102"/>
      <c r="P102"/>
      <c r="Q102"/>
      <c r="R102"/>
    </row>
    <row r="103" spans="7:18" ht="15.6" x14ac:dyDescent="0.35">
      <c r="G103" s="2" t="s">
        <v>74</v>
      </c>
      <c r="H103" s="99">
        <v>0</v>
      </c>
      <c r="I103" s="100">
        <v>0</v>
      </c>
      <c r="J103" s="46">
        <f t="array" ref="J103:L103">LINEST(X23:X62, AT23:AU62, TRUE, FALSE)</f>
        <v>6.1741668907294942</v>
      </c>
      <c r="K103" s="46">
        <v>229.23981036731888</v>
      </c>
      <c r="L103" s="93">
        <v>2735.8063591227128</v>
      </c>
      <c r="M103"/>
      <c r="N103"/>
      <c r="O103"/>
      <c r="P103"/>
      <c r="Q103"/>
      <c r="R103"/>
    </row>
    <row r="104" spans="7:18" x14ac:dyDescent="0.3">
      <c r="G104" t="s">
        <v>139</v>
      </c>
      <c r="Q104"/>
      <c r="R104"/>
    </row>
    <row r="105" spans="7:18" x14ac:dyDescent="0.3">
      <c r="Q105"/>
      <c r="R105"/>
    </row>
    <row r="106" spans="7:18" x14ac:dyDescent="0.3">
      <c r="Q106"/>
      <c r="R106"/>
    </row>
    <row r="107" spans="7:18" x14ac:dyDescent="0.3">
      <c r="R107"/>
    </row>
    <row r="108" spans="7:18" x14ac:dyDescent="0.3">
      <c r="R108"/>
    </row>
    <row r="109" spans="7:18" x14ac:dyDescent="0.3">
      <c r="R109"/>
    </row>
    <row r="110" spans="7:18" x14ac:dyDescent="0.3">
      <c r="R110"/>
    </row>
    <row r="111" spans="7:18" x14ac:dyDescent="0.3">
      <c r="R111"/>
    </row>
    <row r="112" spans="7:18" x14ac:dyDescent="0.3">
      <c r="R112"/>
    </row>
    <row r="113" spans="18:18" x14ac:dyDescent="0.3">
      <c r="R113"/>
    </row>
    <row r="114" spans="18:18" x14ac:dyDescent="0.3">
      <c r="R114"/>
    </row>
    <row r="115" spans="18:18" x14ac:dyDescent="0.3">
      <c r="R115"/>
    </row>
    <row r="116" spans="18:18" x14ac:dyDescent="0.3">
      <c r="R116"/>
    </row>
    <row r="117" spans="18:18" x14ac:dyDescent="0.3">
      <c r="R117"/>
    </row>
    <row r="118" spans="18:18" x14ac:dyDescent="0.3">
      <c r="R118"/>
    </row>
    <row r="119" spans="18:18" x14ac:dyDescent="0.3">
      <c r="R119"/>
    </row>
    <row r="120" spans="18:18" x14ac:dyDescent="0.3">
      <c r="R120"/>
    </row>
    <row r="121" spans="18:18" x14ac:dyDescent="0.3">
      <c r="R121"/>
    </row>
    <row r="122" spans="18:18" x14ac:dyDescent="0.3">
      <c r="R122"/>
    </row>
    <row r="123" spans="18:18" x14ac:dyDescent="0.3">
      <c r="R123"/>
    </row>
    <row r="124" spans="18:18" x14ac:dyDescent="0.3">
      <c r="R124"/>
    </row>
    <row r="125" spans="18:18" x14ac:dyDescent="0.3">
      <c r="R125"/>
    </row>
    <row r="126" spans="18:18" x14ac:dyDescent="0.3">
      <c r="R126"/>
    </row>
    <row r="127" spans="18:18" x14ac:dyDescent="0.3">
      <c r="R127"/>
    </row>
  </sheetData>
  <sortState xmlns:xlrd2="http://schemas.microsoft.com/office/spreadsheetml/2017/richdata2" ref="A3:AR62">
    <sortCondition ref="U3:U62"/>
  </sortState>
  <mergeCells count="7">
    <mergeCell ref="AT1:AV1"/>
    <mergeCell ref="Q1:T1"/>
    <mergeCell ref="A1:D1"/>
    <mergeCell ref="U1:AM1"/>
    <mergeCell ref="AP1:AR1"/>
    <mergeCell ref="K1:P1"/>
    <mergeCell ref="E1:J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1E364-2A80-4078-9EAB-9123D63B7441}">
  <sheetPr codeName="Sheet4"/>
  <dimension ref="B1:U51"/>
  <sheetViews>
    <sheetView zoomScale="90" zoomScaleNormal="90" workbookViewId="0">
      <selection activeCell="I11" sqref="I11"/>
    </sheetView>
  </sheetViews>
  <sheetFormatPr defaultColWidth="8.88671875" defaultRowHeight="15" x14ac:dyDescent="0.25"/>
  <cols>
    <col min="1" max="1" width="8.88671875" style="12"/>
    <col min="2" max="2" width="7" style="16" customWidth="1"/>
    <col min="3" max="3" width="15.33203125" style="16" bestFit="1" customWidth="1"/>
    <col min="4" max="4" width="14.33203125" style="16" customWidth="1"/>
    <col min="5" max="5" width="14.44140625" style="16" customWidth="1"/>
    <col min="6" max="6" width="14.109375" style="16" customWidth="1"/>
    <col min="7" max="7" width="10.5546875" style="16" customWidth="1"/>
    <col min="8" max="8" width="12.33203125" style="16" customWidth="1"/>
    <col min="9" max="10" width="8.88671875" style="12"/>
    <col min="11" max="11" width="5.88671875" style="12" bestFit="1" customWidth="1"/>
    <col min="12" max="12" width="15.6640625" style="12" bestFit="1" customWidth="1"/>
    <col min="13" max="13" width="11.88671875" style="12" bestFit="1" customWidth="1"/>
    <col min="14" max="14" width="7.77734375" style="12" customWidth="1"/>
    <col min="15" max="15" width="6.77734375" style="12" customWidth="1"/>
    <col min="16" max="16" width="7.77734375" style="12" customWidth="1"/>
    <col min="17" max="17" width="5.77734375" style="12" bestFit="1" customWidth="1"/>
    <col min="18" max="18" width="7" style="12" bestFit="1" customWidth="1"/>
    <col min="19" max="19" width="5.6640625" style="12" bestFit="1" customWidth="1"/>
    <col min="20" max="20" width="7.6640625" style="12" bestFit="1" customWidth="1"/>
    <col min="21" max="21" width="6.6640625" style="12" customWidth="1"/>
    <col min="22" max="16384" width="8.88671875" style="12"/>
  </cols>
  <sheetData>
    <row r="1" spans="2:21" ht="15.6" thickBot="1" x14ac:dyDescent="0.3">
      <c r="B1" s="13"/>
      <c r="C1" s="13"/>
      <c r="D1" s="13"/>
      <c r="E1" s="13"/>
      <c r="F1" s="13"/>
      <c r="G1" s="13"/>
      <c r="H1" s="13"/>
      <c r="K1" s="12" t="s">
        <v>134</v>
      </c>
    </row>
    <row r="2" spans="2:21" ht="19.5" customHeight="1" thickBot="1" x14ac:dyDescent="0.35">
      <c r="B2" s="142" t="s">
        <v>80</v>
      </c>
      <c r="C2" s="142"/>
      <c r="D2" s="142"/>
      <c r="E2" s="142"/>
      <c r="F2" s="142"/>
      <c r="G2" s="142"/>
      <c r="H2" s="142"/>
      <c r="K2" s="142" t="s">
        <v>135</v>
      </c>
      <c r="L2" s="142"/>
      <c r="M2" s="142"/>
      <c r="N2" s="142"/>
      <c r="O2" s="142"/>
      <c r="P2" s="142"/>
      <c r="Q2" s="142"/>
      <c r="R2" s="142"/>
      <c r="S2" s="142"/>
      <c r="T2" s="142"/>
      <c r="U2" s="142"/>
    </row>
    <row r="3" spans="2:21" ht="33.75" customHeight="1" thickBot="1" x14ac:dyDescent="0.35">
      <c r="B3" s="143" t="s">
        <v>49</v>
      </c>
      <c r="C3" s="143"/>
      <c r="D3" s="143"/>
      <c r="E3" s="143" t="s">
        <v>54</v>
      </c>
      <c r="F3" s="143"/>
      <c r="G3" s="143" t="s">
        <v>46</v>
      </c>
      <c r="H3" s="143"/>
      <c r="K3" s="115"/>
      <c r="L3" s="115"/>
      <c r="M3" s="115"/>
      <c r="N3" s="151" t="s">
        <v>120</v>
      </c>
      <c r="O3" s="151"/>
      <c r="P3" s="151"/>
      <c r="Q3" s="151"/>
      <c r="R3" s="151" t="s">
        <v>138</v>
      </c>
      <c r="S3" s="151"/>
      <c r="T3" s="151"/>
      <c r="U3" s="151"/>
    </row>
    <row r="4" spans="2:21" s="21" customFormat="1" ht="33" thickBot="1" x14ac:dyDescent="0.45">
      <c r="B4" s="14" t="s">
        <v>52</v>
      </c>
      <c r="C4" s="14" t="s">
        <v>44</v>
      </c>
      <c r="D4" s="14" t="s">
        <v>45</v>
      </c>
      <c r="E4" s="14" t="s">
        <v>47</v>
      </c>
      <c r="F4" s="14" t="s">
        <v>48</v>
      </c>
      <c r="G4" s="14" t="s">
        <v>47</v>
      </c>
      <c r="H4" s="14" t="s">
        <v>48</v>
      </c>
      <c r="I4" s="20"/>
      <c r="K4" s="144" t="s">
        <v>49</v>
      </c>
      <c r="L4" s="144"/>
      <c r="M4" s="144"/>
      <c r="N4" s="144" t="s">
        <v>121</v>
      </c>
      <c r="O4" s="144"/>
      <c r="P4" s="144" t="s">
        <v>46</v>
      </c>
      <c r="Q4" s="144"/>
      <c r="R4" s="149" t="s">
        <v>137</v>
      </c>
      <c r="S4" s="150"/>
      <c r="T4" s="144" t="s">
        <v>46</v>
      </c>
      <c r="U4" s="144"/>
    </row>
    <row r="5" spans="2:21" ht="32.25" customHeight="1" thickBot="1" x14ac:dyDescent="0.4">
      <c r="B5" s="15">
        <f>'Full Dataset &amp; Figure 3'!$U$3</f>
        <v>-339.50278985999995</v>
      </c>
      <c r="C5" s="49" t="str">
        <f>'Full Dataset &amp; Figure 3'!$A$3</f>
        <v>prior substorm</v>
      </c>
      <c r="D5" s="15">
        <f>('Full Dataset &amp; Figure 3'!$D$3)*60</f>
        <v>34.999999998835847</v>
      </c>
      <c r="E5" s="24">
        <f>'Full Dataset &amp; Figure 3'!$AJ$3/10000</f>
        <v>0.98896973129620458</v>
      </c>
      <c r="F5" s="22">
        <f>'Full Dataset &amp; Figure 3'!$AK$3/10000</f>
        <v>5.1792026930273805</v>
      </c>
      <c r="G5" s="50">
        <f>'Full Dataset &amp; Figure 3'!$G$3</f>
        <v>2.3727800894994289</v>
      </c>
      <c r="H5" s="50">
        <f>'Full Dataset &amp; Figure 3'!$M$3</f>
        <v>-3.4178363950923085</v>
      </c>
      <c r="I5" s="17"/>
      <c r="K5" s="113" t="s">
        <v>119</v>
      </c>
      <c r="L5" s="113" t="s">
        <v>44</v>
      </c>
      <c r="M5" s="113" t="s">
        <v>45</v>
      </c>
      <c r="N5" s="113" t="s">
        <v>122</v>
      </c>
      <c r="O5" s="113" t="s">
        <v>123</v>
      </c>
      <c r="P5" s="113" t="s">
        <v>122</v>
      </c>
      <c r="Q5" s="113" t="s">
        <v>123</v>
      </c>
      <c r="R5" s="114" t="s">
        <v>124</v>
      </c>
      <c r="S5" s="113" t="s">
        <v>125</v>
      </c>
      <c r="T5" s="114" t="s">
        <v>124</v>
      </c>
      <c r="U5" s="113" t="s">
        <v>125</v>
      </c>
    </row>
    <row r="6" spans="2:21" x14ac:dyDescent="0.25">
      <c r="B6" s="15">
        <f>'Full Dataset &amp; Figure 3'!$U$4</f>
        <v>-304.02249196000002</v>
      </c>
      <c r="C6" s="49" t="str">
        <f>'Full Dataset &amp; Figure 3'!$A$4</f>
        <v>prior substorm</v>
      </c>
      <c r="D6" s="15">
        <f>('Full Dataset &amp; Figure 3'!$D$4)*60</f>
        <v>38.000000008614734</v>
      </c>
      <c r="E6" s="24">
        <f>'Full Dataset &amp; Figure 3'!$AJ$4/10000</f>
        <v>1.4390852055671144</v>
      </c>
      <c r="F6" s="22">
        <f>'Full Dataset &amp; Figure 3'!$AK$4/10000</f>
        <v>5.9284080076657704</v>
      </c>
      <c r="G6" s="50">
        <f>'Full Dataset &amp; Figure 3'!$G$4</f>
        <v>0.28976027620956302</v>
      </c>
      <c r="H6" s="50">
        <f>'Full Dataset &amp; Figure 3'!$M$4</f>
        <v>16.046793241985142</v>
      </c>
      <c r="I6" s="17"/>
      <c r="K6" s="15">
        <f>'Full Dataset &amp; Figure 3'!$U$3</f>
        <v>-339.50278985999995</v>
      </c>
      <c r="L6" s="49" t="str">
        <f>'Full Dataset &amp; Figure 3'!$A$3</f>
        <v>prior substorm</v>
      </c>
      <c r="M6" s="15">
        <f>('Full Dataset &amp; Figure 3'!$D$3)*60</f>
        <v>34.999999998835847</v>
      </c>
      <c r="N6" s="24">
        <f>'Full Dataset &amp; Figure 3'!$AJ$3/10000</f>
        <v>0.98896973129620458</v>
      </c>
      <c r="O6" s="22">
        <f>'Full Dataset &amp; Figure 3'!$AK$3/10000</f>
        <v>5.1792026930273805</v>
      </c>
      <c r="P6" s="50">
        <f>'Full Dataset &amp; Figure 3'!$G$3</f>
        <v>2.3727800894994289</v>
      </c>
      <c r="Q6" s="50">
        <f>'Full Dataset &amp; Figure 3'!$M$3</f>
        <v>-3.4178363950923085</v>
      </c>
      <c r="R6" s="145">
        <f>'Full Dataset &amp; Figure 3'!$X$65/10000</f>
        <v>0.50472335167071181</v>
      </c>
      <c r="S6" s="147">
        <f>'Full Dataset &amp; Figure 3'!$Y$65/10000</f>
        <v>2.5630588955295464</v>
      </c>
      <c r="T6" s="50">
        <f>'Full Dataset &amp; Figure 3'!$J$3</f>
        <v>-15.926701566204429</v>
      </c>
      <c r="U6" s="50">
        <f>'Full Dataset &amp; Figure 3'!$P$3</f>
        <v>-19.370770918903872</v>
      </c>
    </row>
    <row r="7" spans="2:21" x14ac:dyDescent="0.25">
      <c r="B7" s="15">
        <f>'Full Dataset &amp; Figure 3'!$U$6</f>
        <v>-250.61111250000002</v>
      </c>
      <c r="C7" s="49" t="str">
        <f>'Full Dataset &amp; Figure 3'!$A$6</f>
        <v>prior substorm</v>
      </c>
      <c r="D7" s="15">
        <f>('Full Dataset &amp; Figure 3'!$D$6)*60</f>
        <v>69.999999997671694</v>
      </c>
      <c r="E7" s="24">
        <f>'Full Dataset &amp; Figure 3'!$AJ$6/10000</f>
        <v>1.4345089530077981</v>
      </c>
      <c r="F7" s="22">
        <f>'Full Dataset &amp; Figure 3'!$AK$6/10000</f>
        <v>5.4344335572477398</v>
      </c>
      <c r="G7" s="50">
        <f>'Full Dataset &amp; Figure 3'!$G$6</f>
        <v>-19.115162864327431</v>
      </c>
      <c r="H7" s="50">
        <f>'Full Dataset &amp; Figure 3'!$M$6</f>
        <v>-13.791144298156723</v>
      </c>
      <c r="I7" s="17"/>
      <c r="K7" s="15">
        <f>'Full Dataset &amp; Figure 3'!$U$4</f>
        <v>-304.02249196000002</v>
      </c>
      <c r="L7" s="49" t="str">
        <f>'Full Dataset &amp; Figure 3'!$A$4</f>
        <v>prior substorm</v>
      </c>
      <c r="M7" s="15">
        <f>('Full Dataset &amp; Figure 3'!$D$4)*60</f>
        <v>38.000000008614734</v>
      </c>
      <c r="N7" s="24">
        <f>'Full Dataset &amp; Figure 3'!$AJ$4/10000</f>
        <v>1.4390852055671144</v>
      </c>
      <c r="O7" s="22">
        <f>'Full Dataset &amp; Figure 3'!$AK$4/10000</f>
        <v>5.9284080076657704</v>
      </c>
      <c r="P7" s="50">
        <f>'Full Dataset &amp; Figure 3'!$G$4</f>
        <v>0.28976027620956302</v>
      </c>
      <c r="Q7" s="50">
        <f>'Full Dataset &amp; Figure 3'!$M$4</f>
        <v>16.046793241985142</v>
      </c>
      <c r="R7" s="146"/>
      <c r="S7" s="148"/>
      <c r="T7" s="50">
        <f>'Full Dataset &amp; Figure 3'!$J$4</f>
        <v>-24.570818695938215</v>
      </c>
      <c r="U7" s="50">
        <f>'Full Dataset &amp; Figure 3'!$P$4</f>
        <v>-14.633673999924213</v>
      </c>
    </row>
    <row r="8" spans="2:21" x14ac:dyDescent="0.25">
      <c r="B8" s="15">
        <f>'Full Dataset &amp; Figure 3'!$U$7</f>
        <v>-249.35007438</v>
      </c>
      <c r="C8" s="49" t="str">
        <f>'Full Dataset &amp; Figure 3'!$A$7</f>
        <v>prior substorm</v>
      </c>
      <c r="D8" s="15">
        <f>('Full Dataset &amp; Figure 3'!$D$7)*60</f>
        <v>54.000000008381903</v>
      </c>
      <c r="E8" s="24">
        <f>'Full Dataset &amp; Figure 3'!$AJ$7/10000</f>
        <v>1.4274014159957602</v>
      </c>
      <c r="F8" s="22">
        <f>'Full Dataset &amp; Figure 3'!$AK$7/10000</f>
        <v>5.4064824007141228</v>
      </c>
      <c r="G8" s="50">
        <f>'Full Dataset &amp; Figure 3'!$G$7</f>
        <v>12.529767542146146</v>
      </c>
      <c r="H8" s="50">
        <f>'Full Dataset &amp; Figure 3'!$M$7</f>
        <v>1.2589410168584436</v>
      </c>
      <c r="I8" s="17"/>
      <c r="K8" s="15">
        <f>'Full Dataset &amp; Figure 3'!$U$6</f>
        <v>-250.61111250000002</v>
      </c>
      <c r="L8" s="49" t="str">
        <f>'Full Dataset &amp; Figure 3'!$A$6</f>
        <v>prior substorm</v>
      </c>
      <c r="M8" s="15">
        <f>('Full Dataset &amp; Figure 3'!$D$6)*60</f>
        <v>69.999999997671694</v>
      </c>
      <c r="N8" s="24">
        <f>'Full Dataset &amp; Figure 3'!$AJ$6/10000</f>
        <v>1.4345089530077981</v>
      </c>
      <c r="O8" s="22">
        <f>'Full Dataset &amp; Figure 3'!$AK$6/10000</f>
        <v>5.4344335572477398</v>
      </c>
      <c r="P8" s="50">
        <f>'Full Dataset &amp; Figure 3'!$G$6</f>
        <v>-19.115162864327431</v>
      </c>
      <c r="Q8" s="50">
        <f>'Full Dataset &amp; Figure 3'!$M$6</f>
        <v>-13.791144298156723</v>
      </c>
      <c r="R8" s="146"/>
      <c r="S8" s="148"/>
      <c r="T8" s="50">
        <f>'Full Dataset &amp; Figure 3'!$J$6</f>
        <v>-52.0964759378694</v>
      </c>
      <c r="U8" s="50">
        <f>'Full Dataset &amp; Figure 3'!$P$6</f>
        <v>-43.490041581680998</v>
      </c>
    </row>
    <row r="9" spans="2:21" x14ac:dyDescent="0.25">
      <c r="B9" s="15">
        <f>'Full Dataset &amp; Figure 3'!$U$8</f>
        <v>-213.478272</v>
      </c>
      <c r="C9" s="49" t="str">
        <f>'Full Dataset &amp; Figure 3'!$A$8</f>
        <v>-Bz onest</v>
      </c>
      <c r="D9" s="15">
        <f>('Full Dataset &amp; Figure 3'!$D$8)*60</f>
        <v>29.000000000232831</v>
      </c>
      <c r="E9" s="24">
        <f>'Full Dataset &amp; Figure 3'!$AJ$8/10000</f>
        <v>1.1463833163506978</v>
      </c>
      <c r="F9" s="22">
        <f>'Full Dataset &amp; Figure 3'!$AK$8/10000</f>
        <v>4.4375952577930526</v>
      </c>
      <c r="G9" s="50">
        <f>'Full Dataset &amp; Figure 3'!$G$8</f>
        <v>59.356802460970357</v>
      </c>
      <c r="H9" s="50">
        <f>'Full Dataset &amp; Figure 3'!$M$8</f>
        <v>8.0418206937611103</v>
      </c>
      <c r="I9" s="18"/>
      <c r="K9" s="15">
        <f>'Full Dataset &amp; Figure 3'!$U$7</f>
        <v>-249.35007438</v>
      </c>
      <c r="L9" s="49" t="str">
        <f>'Full Dataset &amp; Figure 3'!$A$7</f>
        <v>prior substorm</v>
      </c>
      <c r="M9" s="15">
        <f>('Full Dataset &amp; Figure 3'!$D$7)*60</f>
        <v>54.000000008381903</v>
      </c>
      <c r="N9" s="24">
        <f>'Full Dataset &amp; Figure 3'!$AJ$7/10000</f>
        <v>1.4274014159957602</v>
      </c>
      <c r="O9" s="22">
        <f>'Full Dataset &amp; Figure 3'!$AK$7/10000</f>
        <v>5.4064824007141228</v>
      </c>
      <c r="P9" s="50">
        <f>'Full Dataset &amp; Figure 3'!$G$7</f>
        <v>12.529767542146146</v>
      </c>
      <c r="Q9" s="50">
        <f>'Full Dataset &amp; Figure 3'!$M$7</f>
        <v>1.2589410168584436</v>
      </c>
      <c r="R9" s="146"/>
      <c r="S9" s="148"/>
      <c r="T9" s="50">
        <f>'Full Dataset &amp; Figure 3'!$J$7</f>
        <v>-30.475344018777832</v>
      </c>
      <c r="U9" s="50">
        <f>'Full Dataset &amp; Figure 3'!$P$7</f>
        <v>-27.803314280463383</v>
      </c>
    </row>
    <row r="10" spans="2:21" x14ac:dyDescent="0.25">
      <c r="B10" s="15">
        <f>'Full Dataset &amp; Figure 3'!$U$12</f>
        <v>-160.708856</v>
      </c>
      <c r="C10" s="49" t="str">
        <f>'Full Dataset &amp; Figure 3'!$A$12</f>
        <v>prior substorm</v>
      </c>
      <c r="D10" s="15">
        <f>('Full Dataset &amp; Figure 3'!$D$12)*60</f>
        <v>34.999999998835847</v>
      </c>
      <c r="E10" s="24">
        <f>'Full Dataset &amp; Figure 3'!$AJ$12/10000</f>
        <v>0.65279204569976135</v>
      </c>
      <c r="F10" s="22">
        <f>'Full Dataset &amp; Figure 3'!$AK$12/10000</f>
        <v>2.8933923140803381</v>
      </c>
      <c r="G10" s="50">
        <f>'Full Dataset &amp; Figure 3'!$G$12</f>
        <v>46.103285072604194</v>
      </c>
      <c r="H10" s="50">
        <f>'Full Dataset &amp; Figure 3'!$M$12</f>
        <v>1.4897890237625688</v>
      </c>
      <c r="I10" s="17"/>
      <c r="K10" s="15">
        <f>'Full Dataset &amp; Figure 3'!$U$8</f>
        <v>-213.478272</v>
      </c>
      <c r="L10" s="49" t="str">
        <f>'Full Dataset &amp; Figure 3'!$A$8</f>
        <v>-Bz onest</v>
      </c>
      <c r="M10" s="15">
        <f>('Full Dataset &amp; Figure 3'!$D$8)*60</f>
        <v>29.000000000232831</v>
      </c>
      <c r="N10" s="24">
        <f>'Full Dataset &amp; Figure 3'!$AJ$8/10000</f>
        <v>1.1463833163506978</v>
      </c>
      <c r="O10" s="22">
        <f>'Full Dataset &amp; Figure 3'!$AK$8/10000</f>
        <v>4.4375952577930526</v>
      </c>
      <c r="P10" s="50">
        <f>'Full Dataset &amp; Figure 3'!$G$8</f>
        <v>59.356802460970357</v>
      </c>
      <c r="Q10" s="50">
        <f>'Full Dataset &amp; Figure 3'!$M$8</f>
        <v>8.0418206937611103</v>
      </c>
      <c r="R10" s="146"/>
      <c r="S10" s="148"/>
      <c r="T10" s="50">
        <f>'Full Dataset &amp; Figure 3'!$J$8</f>
        <v>9.9012478126678616</v>
      </c>
      <c r="U10" s="50">
        <f>'Full Dataset &amp; Figure 3'!$P$8</f>
        <v>-7.6054467551875859</v>
      </c>
    </row>
    <row r="11" spans="2:21" x14ac:dyDescent="0.25">
      <c r="B11" s="15">
        <f>'Full Dataset &amp; Figure 3'!$U$16</f>
        <v>-97.706210640000009</v>
      </c>
      <c r="C11" s="49" t="str">
        <f>'Full Dataset &amp; Figure 3'!$A$16</f>
        <v>prior substorm</v>
      </c>
      <c r="D11" s="15">
        <f>('Full Dataset &amp; Figure 3'!$D$16)*60</f>
        <v>21.000000005587935</v>
      </c>
      <c r="E11" s="24">
        <f>'Full Dataset &amp; Figure 3'!$AJ$16/10000</f>
        <v>0.45564236605457081</v>
      </c>
      <c r="F11" s="22">
        <f>'Full Dataset &amp; Figure 3'!$AK$16/10000</f>
        <v>2.15664625964664</v>
      </c>
      <c r="G11" s="50">
        <f>'Full Dataset &amp; Figure 3'!$G$16</f>
        <v>10.543975584441796</v>
      </c>
      <c r="H11" s="50">
        <f>'Full Dataset &amp; Figure 3'!$M$16</f>
        <v>22.692593262763694</v>
      </c>
      <c r="I11" s="17"/>
      <c r="K11" s="15">
        <f>'Full Dataset &amp; Figure 3'!$U$12</f>
        <v>-160.708856</v>
      </c>
      <c r="L11" s="49" t="str">
        <f>'Full Dataset &amp; Figure 3'!$A$12</f>
        <v>prior substorm</v>
      </c>
      <c r="M11" s="15">
        <f>('Full Dataset &amp; Figure 3'!$D$12)*60</f>
        <v>34.999999998835847</v>
      </c>
      <c r="N11" s="24">
        <f>'Full Dataset &amp; Figure 3'!$AJ$12/10000</f>
        <v>0.65279204569976135</v>
      </c>
      <c r="O11" s="22">
        <f>'Full Dataset &amp; Figure 3'!$AK$12/10000</f>
        <v>2.8933923140803381</v>
      </c>
      <c r="P11" s="50">
        <f>'Full Dataset &amp; Figure 3'!$G$12</f>
        <v>46.103285072604194</v>
      </c>
      <c r="Q11" s="50">
        <f>'Full Dataset &amp; Figure 3'!$M$12</f>
        <v>1.4897890237625688</v>
      </c>
      <c r="R11" s="146"/>
      <c r="S11" s="148"/>
      <c r="T11" s="50">
        <f>'Full Dataset &amp; Figure 3'!$J$12</f>
        <v>27.707139506237581</v>
      </c>
      <c r="U11" s="50">
        <f>'Full Dataset &amp; Figure 3'!$P$12</f>
        <v>-2.6761848363094032</v>
      </c>
    </row>
    <row r="12" spans="2:21" x14ac:dyDescent="0.25">
      <c r="B12" s="15">
        <f>'Full Dataset &amp; Figure 3'!$U$18</f>
        <v>-85.5</v>
      </c>
      <c r="C12" s="49" t="str">
        <f>'Full Dataset &amp; Figure 3'!$A$18</f>
        <v>-Bz onset</v>
      </c>
      <c r="D12" s="15">
        <f>('Full Dataset &amp; Figure 3'!$D$18)*60</f>
        <v>46.000000003259629</v>
      </c>
      <c r="E12" s="24">
        <f>'Full Dataset &amp; Figure 3'!$AJ$18/10000</f>
        <v>0.52174150787750118</v>
      </c>
      <c r="F12" s="22">
        <f>'Full Dataset &amp; Figure 3'!$AK$18/10000</f>
        <v>2.2904948571368919</v>
      </c>
      <c r="G12" s="50">
        <f>'Full Dataset &amp; Figure 3'!$G$18</f>
        <v>-8.8710982294287533</v>
      </c>
      <c r="H12" s="50">
        <f>'Full Dataset &amp; Figure 3'!$M$18</f>
        <v>7.9758918390143663</v>
      </c>
      <c r="I12" s="17"/>
      <c r="K12" s="15">
        <f>'Full Dataset &amp; Figure 3'!$U$16</f>
        <v>-97.706210640000009</v>
      </c>
      <c r="L12" s="49" t="str">
        <f>'Full Dataset &amp; Figure 3'!$A$16</f>
        <v>prior substorm</v>
      </c>
      <c r="M12" s="15">
        <f>('Full Dataset &amp; Figure 3'!$D$16)*60</f>
        <v>21.000000005587935</v>
      </c>
      <c r="N12" s="24">
        <f>'Full Dataset &amp; Figure 3'!$AJ$16/10000</f>
        <v>0.45564236605457081</v>
      </c>
      <c r="O12" s="22">
        <f>'Full Dataset &amp; Figure 3'!$AK$16/10000</f>
        <v>2.15664625964664</v>
      </c>
      <c r="P12" s="50">
        <f>'Full Dataset &amp; Figure 3'!$G$16</f>
        <v>10.543975584441796</v>
      </c>
      <c r="Q12" s="50">
        <f>'Full Dataset &amp; Figure 3'!$M$16</f>
        <v>22.692593262763694</v>
      </c>
      <c r="R12" s="146"/>
      <c r="S12" s="148"/>
      <c r="T12" s="50">
        <f>'Full Dataset &amp; Figure 3'!$J$16</f>
        <v>13.94183655269444</v>
      </c>
      <c r="U12" s="50">
        <f>'Full Dataset &amp; Figure 3'!$P$16</f>
        <v>30.926313522504643</v>
      </c>
    </row>
    <row r="13" spans="2:21" x14ac:dyDescent="0.25">
      <c r="B13" s="15">
        <f>'Full Dataset &amp; Figure 3'!$U$19</f>
        <v>-82.80241765000001</v>
      </c>
      <c r="C13" s="49" t="str">
        <f>'Full Dataset &amp; Figure 3'!$A$19</f>
        <v>-Bz onest</v>
      </c>
      <c r="D13" s="15">
        <f>('Full Dataset &amp; Figure 3'!$D$19)*60</f>
        <v>76.999999999534339</v>
      </c>
      <c r="E13" s="24">
        <f>'Full Dataset &amp; Figure 3'!$AJ$19/10000</f>
        <v>0.54238168760926131</v>
      </c>
      <c r="F13" s="22">
        <f>'Full Dataset &amp; Figure 3'!$AK$19/10000</f>
        <v>2.3358481625392642</v>
      </c>
      <c r="G13" s="50">
        <f>'Full Dataset &amp; Figure 3'!$G$19</f>
        <v>42.856935648014769</v>
      </c>
      <c r="H13" s="50">
        <f>'Full Dataset &amp; Figure 3'!$M$19</f>
        <v>-23.818977812770754</v>
      </c>
      <c r="I13" s="17"/>
      <c r="K13" s="15">
        <f>'Full Dataset &amp; Figure 3'!$U$18</f>
        <v>-85.5</v>
      </c>
      <c r="L13" s="49" t="str">
        <f>'Full Dataset &amp; Figure 3'!$A$18</f>
        <v>-Bz onset</v>
      </c>
      <c r="M13" s="15">
        <f>('Full Dataset &amp; Figure 3'!$D$18)*60</f>
        <v>46.000000003259629</v>
      </c>
      <c r="N13" s="24">
        <f>'Full Dataset &amp; Figure 3'!$AJ$18/10000</f>
        <v>0.52174150787750118</v>
      </c>
      <c r="O13" s="22">
        <f>'Full Dataset &amp; Figure 3'!$AK$18/10000</f>
        <v>2.2904948571368919</v>
      </c>
      <c r="P13" s="50">
        <f>'Full Dataset &amp; Figure 3'!$G$18</f>
        <v>-8.8710982294287533</v>
      </c>
      <c r="Q13" s="50">
        <f>'Full Dataset &amp; Figure 3'!$M$18</f>
        <v>7.9758918390143663</v>
      </c>
      <c r="R13" s="146"/>
      <c r="S13" s="148"/>
      <c r="T13" s="50">
        <f>'Full Dataset &amp; Figure 3'!$J$18</f>
        <v>-10.082168154185638</v>
      </c>
      <c r="U13" s="50">
        <f>'Full Dataset &amp; Figure 3'!$P$18</f>
        <v>14.398908689618111</v>
      </c>
    </row>
    <row r="14" spans="2:21" x14ac:dyDescent="0.25">
      <c r="B14" s="19">
        <f>'Full Dataset &amp; Figure 3'!$U$21</f>
        <v>-79.967710749999995</v>
      </c>
      <c r="C14" s="51" t="str">
        <f>'Full Dataset &amp; Figure 3'!$A$21</f>
        <v>prior substorm</v>
      </c>
      <c r="D14" s="19">
        <f>('Full Dataset &amp; Figure 3'!$D$21)*60</f>
        <v>69.000000004889444</v>
      </c>
      <c r="E14" s="25">
        <f>'Full Dataset &amp; Figure 3'!$AJ$21/10000</f>
        <v>0.566554119562103</v>
      </c>
      <c r="F14" s="23">
        <f>'Full Dataset &amp; Figure 3'!$AK$21/10000</f>
        <v>2.3899843392653666</v>
      </c>
      <c r="G14" s="52">
        <f>'Full Dataset &amp; Figure 3'!$G$21</f>
        <v>-9.0970509115140885</v>
      </c>
      <c r="H14" s="52">
        <f>'Full Dataset &amp; Figure 3'!$M$21</f>
        <v>-1.0183383291587234</v>
      </c>
      <c r="I14" s="17"/>
      <c r="K14" s="15">
        <f>'Full Dataset &amp; Figure 3'!$U$19</f>
        <v>-82.80241765000001</v>
      </c>
      <c r="L14" s="49" t="str">
        <f>'Full Dataset &amp; Figure 3'!$A$19</f>
        <v>-Bz onest</v>
      </c>
      <c r="M14" s="15">
        <f>('Full Dataset &amp; Figure 3'!$D$19)*60</f>
        <v>76.999999999534339</v>
      </c>
      <c r="N14" s="24">
        <f>'Full Dataset &amp; Figure 3'!$AJ$19/10000</f>
        <v>0.54238168760926131</v>
      </c>
      <c r="O14" s="22">
        <f>'Full Dataset &amp; Figure 3'!$AK$19/10000</f>
        <v>2.3358481625392642</v>
      </c>
      <c r="P14" s="50">
        <f>'Full Dataset &amp; Figure 3'!$G$19</f>
        <v>42.856935648014769</v>
      </c>
      <c r="Q14" s="50">
        <f>'Full Dataset &amp; Figure 3'!$M$19</f>
        <v>-23.818977812770754</v>
      </c>
      <c r="R14" s="146"/>
      <c r="S14" s="148"/>
      <c r="T14" s="50">
        <f>'Full Dataset &amp; Figure 3'!$J$19</f>
        <v>34.535097257466987</v>
      </c>
      <c r="U14" s="50">
        <f>'Full Dataset &amp; Figure 3'!$P$19</f>
        <v>-18.645996447885409</v>
      </c>
    </row>
    <row r="15" spans="2:21" x14ac:dyDescent="0.25">
      <c r="B15" s="15">
        <f>'Full Dataset &amp; Figure 3'!$U$24</f>
        <v>-65.250964819999993</v>
      </c>
      <c r="C15" s="49" t="str">
        <f>'Full Dataset &amp; Figure 3'!$A$24</f>
        <v>prior substorm</v>
      </c>
      <c r="D15" s="15">
        <f>('Full Dataset &amp; Figure 3'!$D$24)*60</f>
        <v>136.00000000325963</v>
      </c>
      <c r="E15" s="24">
        <f>'Full Dataset &amp; Figure 3'!$AJ$24/10000</f>
        <v>1.4065366369200987</v>
      </c>
      <c r="F15" s="22">
        <f>'Full Dataset &amp; Figure 3'!$AK$24/10000</f>
        <v>4.4194585598779694</v>
      </c>
      <c r="G15" s="50">
        <f>'Full Dataset &amp; Figure 3'!$G$24</f>
        <v>-23.694312729639933</v>
      </c>
      <c r="H15" s="50">
        <f>'Full Dataset &amp; Figure 3'!$M$24</f>
        <v>12.976280566072091</v>
      </c>
      <c r="I15" s="17"/>
      <c r="K15" s="19">
        <f>'Full Dataset &amp; Figure 3'!$U$21</f>
        <v>-79.967710749999995</v>
      </c>
      <c r="L15" s="51" t="str">
        <f>'Full Dataset &amp; Figure 3'!$A$21</f>
        <v>prior substorm</v>
      </c>
      <c r="M15" s="19">
        <f>('Full Dataset &amp; Figure 3'!$D$21)*60</f>
        <v>69.000000004889444</v>
      </c>
      <c r="N15" s="25">
        <f>'Full Dataset &amp; Figure 3'!$AJ$21/10000</f>
        <v>0.566554119562103</v>
      </c>
      <c r="O15" s="23">
        <f>'Full Dataset &amp; Figure 3'!$AK$21/10000</f>
        <v>2.3899843392653666</v>
      </c>
      <c r="P15" s="52">
        <f>'Full Dataset &amp; Figure 3'!$G$21</f>
        <v>-9.0970509115140885</v>
      </c>
      <c r="Q15" s="52">
        <f>'Full Dataset &amp; Figure 3'!$M$21</f>
        <v>-1.0183383291587234</v>
      </c>
      <c r="R15" s="146"/>
      <c r="S15" s="148"/>
      <c r="T15" s="52">
        <f>'Full Dataset &amp; Figure 3'!$J$21</f>
        <v>-15.634546999353915</v>
      </c>
      <c r="U15" s="52">
        <f>'Full Dataset &amp; Figure 3'!$P$21</f>
        <v>3.9046629366930574</v>
      </c>
    </row>
    <row r="16" spans="2:21" x14ac:dyDescent="0.25">
      <c r="B16" s="15">
        <f>'Full Dataset &amp; Figure 3'!$U$27</f>
        <v>-56.500067000000001</v>
      </c>
      <c r="C16" s="49" t="str">
        <f>'Full Dataset &amp; Figure 3'!$A$27</f>
        <v>prior substorm</v>
      </c>
      <c r="D16" s="15">
        <f>('Full Dataset &amp; Figure 3'!$D$27)*60</f>
        <v>75.99999999627471</v>
      </c>
      <c r="E16" s="24">
        <f>'Full Dataset &amp; Figure 3'!$AJ$27/10000</f>
        <v>0.94932727158783781</v>
      </c>
      <c r="F16" s="22">
        <f>'Full Dataset &amp; Figure 3'!$AK$27/10000</f>
        <v>3.3945390272416973</v>
      </c>
      <c r="G16" s="50">
        <f>'Full Dataset &amp; Figure 3'!$G$27</f>
        <v>50.149175146361813</v>
      </c>
      <c r="H16" s="50">
        <f>'Full Dataset &amp; Figure 3'!$M$27</f>
        <v>-5.0604524288792163</v>
      </c>
      <c r="I16" s="17"/>
      <c r="K16" s="15">
        <f>'Full Dataset &amp; Figure 3'!$U$24</f>
        <v>-65.250964819999993</v>
      </c>
      <c r="L16" s="49" t="str">
        <f>'Full Dataset &amp; Figure 3'!$A$24</f>
        <v>prior substorm</v>
      </c>
      <c r="M16" s="15">
        <f>('Full Dataset &amp; Figure 3'!$D$24)*60</f>
        <v>136.00000000325963</v>
      </c>
      <c r="N16" s="24">
        <f>'Full Dataset &amp; Figure 3'!$AJ$24/10000</f>
        <v>1.4065366369200987</v>
      </c>
      <c r="O16" s="22">
        <f>'Full Dataset &amp; Figure 3'!$AK$24/10000</f>
        <v>4.4194585598779694</v>
      </c>
      <c r="P16" s="50">
        <f>'Full Dataset &amp; Figure 3'!$G$24</f>
        <v>-23.694312729639933</v>
      </c>
      <c r="Q16" s="50">
        <f>'Full Dataset &amp; Figure 3'!$M$24</f>
        <v>12.976280566072091</v>
      </c>
      <c r="R16" s="146"/>
      <c r="S16" s="148"/>
      <c r="T16" s="50">
        <f>'Full Dataset &amp; Figure 3'!$J$24</f>
        <v>-95.700087854638696</v>
      </c>
      <c r="U16" s="50">
        <f>'Full Dataset &amp; Figure 3'!$P$24</f>
        <v>-49.60141159244813</v>
      </c>
    </row>
    <row r="17" spans="2:21" x14ac:dyDescent="0.25">
      <c r="B17" s="15">
        <f>'Full Dataset &amp; Figure 3'!$U$30</f>
        <v>-44.853995359999999</v>
      </c>
      <c r="C17" s="49" t="str">
        <f>'Full Dataset &amp; Figure 3'!$A$30</f>
        <v>prior substorm</v>
      </c>
      <c r="D17" s="15">
        <f>('Full Dataset &amp; Figure 3'!$D$30)*60</f>
        <v>84.000000001396984</v>
      </c>
      <c r="E17" s="24">
        <f>'Full Dataset &amp; Figure 3'!$AJ$30/10000</f>
        <v>0.48751734079374909</v>
      </c>
      <c r="F17" s="22">
        <f>'Full Dataset &amp; Figure 3'!$AK$30/10000</f>
        <v>2.3712845315170488</v>
      </c>
      <c r="G17" s="50">
        <f>'Full Dataset &amp; Figure 3'!$G$30</f>
        <v>34.623116460861638</v>
      </c>
      <c r="H17" s="50">
        <f>'Full Dataset &amp; Figure 3'!$M$30</f>
        <v>12.493962189182639</v>
      </c>
      <c r="I17" s="17"/>
      <c r="K17" s="15">
        <f>'Full Dataset &amp; Figure 3'!$U$27</f>
        <v>-56.500067000000001</v>
      </c>
      <c r="L17" s="49" t="str">
        <f>'Full Dataset &amp; Figure 3'!$A$27</f>
        <v>prior substorm</v>
      </c>
      <c r="M17" s="15">
        <f>('Full Dataset &amp; Figure 3'!$D$27)*60</f>
        <v>75.99999999627471</v>
      </c>
      <c r="N17" s="24">
        <f>'Full Dataset &amp; Figure 3'!$AJ$27/10000</f>
        <v>0.94932727158783781</v>
      </c>
      <c r="O17" s="22">
        <f>'Full Dataset &amp; Figure 3'!$AK$27/10000</f>
        <v>3.3945390272416973</v>
      </c>
      <c r="P17" s="50">
        <f>'Full Dataset &amp; Figure 3'!$G$27</f>
        <v>50.149175146361813</v>
      </c>
      <c r="Q17" s="50">
        <f>'Full Dataset &amp; Figure 3'!$M$27</f>
        <v>-5.0604524288792163</v>
      </c>
      <c r="R17" s="146"/>
      <c r="S17" s="148"/>
      <c r="T17" s="50">
        <f>'Full Dataset &amp; Figure 3'!$J$27</f>
        <v>-8.9309960848186165</v>
      </c>
      <c r="U17" s="50">
        <f>'Full Dataset &amp; Figure 3'!$P$27</f>
        <v>-22.436839583097026</v>
      </c>
    </row>
    <row r="18" spans="2:21" x14ac:dyDescent="0.25">
      <c r="B18" s="15">
        <f>'Full Dataset &amp; Figure 3'!$U$34</f>
        <v>-40.174978400000001</v>
      </c>
      <c r="C18" s="49" t="str">
        <f>'Full Dataset &amp; Figure 3'!$A$34</f>
        <v>prior substorm</v>
      </c>
      <c r="D18" s="15">
        <f>('Full Dataset &amp; Figure 3'!$D$34)*60</f>
        <v>98.999999997904524</v>
      </c>
      <c r="E18" s="24">
        <f>'Full Dataset &amp; Figure 3'!$AJ$34/10000</f>
        <v>0.34913856590598041</v>
      </c>
      <c r="F18" s="22">
        <f>'Full Dataset &amp; Figure 3'!$AK$34/10000</f>
        <v>2.0697469492153475</v>
      </c>
      <c r="G18" s="50">
        <f>'Full Dataset &amp; Figure 3'!$G$34</f>
        <v>-2.7370093006175011</v>
      </c>
      <c r="H18" s="50">
        <f>'Full Dataset &amp; Figure 3'!$M$34</f>
        <v>-7.846003855811432</v>
      </c>
      <c r="I18" s="17"/>
      <c r="K18" s="15">
        <f>'Full Dataset &amp; Figure 3'!$U$30</f>
        <v>-44.853995359999999</v>
      </c>
      <c r="L18" s="49" t="str">
        <f>'Full Dataset &amp; Figure 3'!$A$30</f>
        <v>prior substorm</v>
      </c>
      <c r="M18" s="15">
        <f>('Full Dataset &amp; Figure 3'!$D$30)*60</f>
        <v>84.000000001396984</v>
      </c>
      <c r="N18" s="24">
        <f>'Full Dataset &amp; Figure 3'!$AJ$30/10000</f>
        <v>0.48751734079374909</v>
      </c>
      <c r="O18" s="22">
        <f>'Full Dataset &amp; Figure 3'!$AK$30/10000</f>
        <v>2.3712845315170488</v>
      </c>
      <c r="P18" s="50">
        <f>'Full Dataset &amp; Figure 3'!$G$30</f>
        <v>34.623116460861638</v>
      </c>
      <c r="Q18" s="50">
        <f>'Full Dataset &amp; Figure 3'!$M$30</f>
        <v>12.493962189182639</v>
      </c>
      <c r="R18" s="146"/>
      <c r="S18" s="148"/>
      <c r="T18" s="50">
        <f>'Full Dataset &amp; Figure 3'!$J$30</f>
        <v>38.809697041288018</v>
      </c>
      <c r="U18" s="50">
        <f>'Full Dataset &amp; Figure 3'!$P$30</f>
        <v>20.297778208041564</v>
      </c>
    </row>
    <row r="19" spans="2:21" x14ac:dyDescent="0.25">
      <c r="B19" s="15">
        <f>'Full Dataset &amp; Figure 3'!$U$39</f>
        <v>-30.75952113</v>
      </c>
      <c r="C19" s="49" t="str">
        <f>'Full Dataset &amp; Figure 3'!$A$39</f>
        <v>prior substorm</v>
      </c>
      <c r="D19" s="15">
        <f>('Full Dataset &amp; Figure 3'!$D$39)*60</f>
        <v>116.00000000093132</v>
      </c>
      <c r="E19" s="24">
        <f>'Full Dataset &amp; Figure 3'!$AJ$39/10000</f>
        <v>0.15261760889123552</v>
      </c>
      <c r="F19" s="22">
        <f>'Full Dataset &amp; Figure 3'!$AK$39/10000</f>
        <v>1.6533349334086451</v>
      </c>
      <c r="G19" s="50">
        <f>'Full Dataset &amp; Figure 3'!$G$39</f>
        <v>-52.271622814005241</v>
      </c>
      <c r="H19" s="50">
        <f>'Full Dataset &amp; Figure 3'!$M$39</f>
        <v>-39.415715021314099</v>
      </c>
      <c r="I19" s="17"/>
      <c r="K19" s="15">
        <f>'Full Dataset &amp; Figure 3'!$U$34</f>
        <v>-40.174978400000001</v>
      </c>
      <c r="L19" s="49" t="str">
        <f>'Full Dataset &amp; Figure 3'!$A$34</f>
        <v>prior substorm</v>
      </c>
      <c r="M19" s="15">
        <f>('Full Dataset &amp; Figure 3'!$D$34)*60</f>
        <v>98.999999997904524</v>
      </c>
      <c r="N19" s="24">
        <f>'Full Dataset &amp; Figure 3'!$AJ$34/10000</f>
        <v>0.34913856590598041</v>
      </c>
      <c r="O19" s="22">
        <f>'Full Dataset &amp; Figure 3'!$AK$34/10000</f>
        <v>2.0697469492153475</v>
      </c>
      <c r="P19" s="50">
        <f>'Full Dataset &amp; Figure 3'!$G$34</f>
        <v>-2.7370093006175011</v>
      </c>
      <c r="Q19" s="50">
        <f>'Full Dataset &amp; Figure 3'!$M$34</f>
        <v>-7.846003855811432</v>
      </c>
      <c r="R19" s="146"/>
      <c r="S19" s="148"/>
      <c r="T19" s="50">
        <f>'Full Dataset &amp; Figure 3'!$J$34</f>
        <v>40.160161766689271</v>
      </c>
      <c r="U19" s="50">
        <f>'Full Dataset &amp; Figure 3'!$P$34</f>
        <v>13.88001209590584</v>
      </c>
    </row>
    <row r="20" spans="2:21" x14ac:dyDescent="0.25">
      <c r="B20" s="15">
        <f>'Full Dataset &amp; Figure 3'!$U$42</f>
        <v>-28.37739281</v>
      </c>
      <c r="C20" s="49" t="str">
        <f>'Full Dataset &amp; Figure 3'!$A$42</f>
        <v>-Bz onset</v>
      </c>
      <c r="D20" s="15">
        <f>('Full Dataset &amp; Figure 3'!$D$42)*60</f>
        <v>63.000000006286427</v>
      </c>
      <c r="E20" s="24">
        <f>'Full Dataset &amp; Figure 3'!$AJ$42/10000</f>
        <v>0.12024892395158486</v>
      </c>
      <c r="F20" s="22">
        <f>'Full Dataset &amp; Figure 3'!$AK$42/10000</f>
        <v>1.5882955806059249</v>
      </c>
      <c r="G20" s="50">
        <f>'Full Dataset &amp; Figure 3'!$G$42</f>
        <v>-50.678914067102596</v>
      </c>
      <c r="H20" s="50">
        <f>'Full Dataset &amp; Figure 3'!$M$42</f>
        <v>-13.453135995659977</v>
      </c>
      <c r="I20" s="17"/>
      <c r="K20" s="15">
        <f>'Full Dataset &amp; Figure 3'!$U$39</f>
        <v>-30.75952113</v>
      </c>
      <c r="L20" s="49" t="str">
        <f>'Full Dataset &amp; Figure 3'!$A$39</f>
        <v>prior substorm</v>
      </c>
      <c r="M20" s="15">
        <f>('Full Dataset &amp; Figure 3'!$D$39)*60</f>
        <v>116.00000000093132</v>
      </c>
      <c r="N20" s="24">
        <f>'Full Dataset &amp; Figure 3'!$AJ$39/10000</f>
        <v>0.15261760889123552</v>
      </c>
      <c r="O20" s="22">
        <f>'Full Dataset &amp; Figure 3'!$AK$39/10000</f>
        <v>1.6533349334086451</v>
      </c>
      <c r="P20" s="50">
        <f>'Full Dataset &amp; Figure 3'!$G$39</f>
        <v>-52.271622814005241</v>
      </c>
      <c r="Q20" s="50">
        <f>'Full Dataset &amp; Figure 3'!$M$39</f>
        <v>-39.415715021314099</v>
      </c>
      <c r="R20" s="146"/>
      <c r="S20" s="148"/>
      <c r="T20" s="50">
        <f>'Full Dataset &amp; Figure 3'!$J$39</f>
        <v>94.756808232050389</v>
      </c>
      <c r="U20" s="50">
        <f>'Full Dataset &amp; Figure 3'!$P$39</f>
        <v>2.7236953075043857</v>
      </c>
    </row>
    <row r="21" spans="2:21" x14ac:dyDescent="0.25">
      <c r="B21" s="15">
        <f>'Full Dataset &amp; Figure 3'!$U$46</f>
        <v>-20.60352</v>
      </c>
      <c r="C21" s="49" t="str">
        <f>'Full Dataset &amp; Figure 3'!$A$46</f>
        <v>prior substorm</v>
      </c>
      <c r="D21" s="15">
        <f>('Full Dataset &amp; Figure 3'!$D$46)*60</f>
        <v>90</v>
      </c>
      <c r="E21" s="24">
        <f>'Full Dataset &amp; Figure 3'!$AJ$46/10000</f>
        <v>6.3362428205297777E-2</v>
      </c>
      <c r="F21" s="22">
        <f>'Full Dataset &amp; Figure 3'!$AK$46/10000</f>
        <v>1.4892993600709306</v>
      </c>
      <c r="G21" s="50">
        <f>'Full Dataset &amp; Figure 3'!$G$46</f>
        <v>-29.018705704947934</v>
      </c>
      <c r="H21" s="50">
        <f>'Full Dataset &amp; Figure 3'!$M$46</f>
        <v>-17.413721450138837</v>
      </c>
      <c r="I21" s="17"/>
      <c r="K21" s="15">
        <f>'Full Dataset &amp; Figure 3'!$U$42</f>
        <v>-28.37739281</v>
      </c>
      <c r="L21" s="49" t="str">
        <f>'Full Dataset &amp; Figure 3'!$A$42</f>
        <v>-Bz onset</v>
      </c>
      <c r="M21" s="15">
        <f>('Full Dataset &amp; Figure 3'!$D$42)*60</f>
        <v>63.000000006286427</v>
      </c>
      <c r="N21" s="24">
        <f>'Full Dataset &amp; Figure 3'!$AJ$42/10000</f>
        <v>0.12024892395158486</v>
      </c>
      <c r="O21" s="22">
        <f>'Full Dataset &amp; Figure 3'!$AK$42/10000</f>
        <v>1.5882955806059249</v>
      </c>
      <c r="P21" s="50">
        <f>'Full Dataset &amp; Figure 3'!$G$42</f>
        <v>-50.678914067102596</v>
      </c>
      <c r="Q21" s="50">
        <f>'Full Dataset &amp; Figure 3'!$M$42</f>
        <v>-13.453135995659977</v>
      </c>
      <c r="R21" s="146"/>
      <c r="S21" s="148"/>
      <c r="T21" s="50">
        <f>'Full Dataset &amp; Figure 3'!$J$42</f>
        <v>-11.284445410128683</v>
      </c>
      <c r="U21" s="50">
        <f>'Full Dataset &amp; Figure 3'!$P$42</f>
        <v>16.954595411662012</v>
      </c>
    </row>
    <row r="22" spans="2:21" x14ac:dyDescent="0.25">
      <c r="B22" s="15">
        <f>'Full Dataset &amp; Figure 3'!$U$55</f>
        <v>-12.723442426999998</v>
      </c>
      <c r="C22" s="49" t="str">
        <f>'Full Dataset &amp; Figure 3'!$A$55</f>
        <v>-Bz onset</v>
      </c>
      <c r="D22" s="15">
        <f>('Full Dataset &amp; Figure 3'!$D$55)*60</f>
        <v>103.99999999324791</v>
      </c>
      <c r="E22" s="24">
        <f>'Full Dataset &amp; Figure 3'!$AJ$55/10000</f>
        <v>8.1859793213894652E-2</v>
      </c>
      <c r="F22" s="22">
        <f>'Full Dataset &amp; Figure 3'!$AK$55/10000</f>
        <v>1.5658998187960438</v>
      </c>
      <c r="G22" s="50">
        <f>'Full Dataset &amp; Figure 3'!$G$55</f>
        <v>319.1808250208851</v>
      </c>
      <c r="H22" s="50">
        <f>'Full Dataset &amp; Figure 3'!$M$55</f>
        <v>-6.3295389746781439</v>
      </c>
      <c r="I22" s="17"/>
      <c r="K22" s="15">
        <f>'Full Dataset &amp; Figure 3'!$U$46</f>
        <v>-20.60352</v>
      </c>
      <c r="L22" s="49" t="str">
        <f>'Full Dataset &amp; Figure 3'!$A$46</f>
        <v>prior substorm</v>
      </c>
      <c r="M22" s="15">
        <f>('Full Dataset &amp; Figure 3'!$D$46)*60</f>
        <v>90</v>
      </c>
      <c r="N22" s="24">
        <f>'Full Dataset &amp; Figure 3'!$AJ$46/10000</f>
        <v>6.3362428205297777E-2</v>
      </c>
      <c r="O22" s="22">
        <f>'Full Dataset &amp; Figure 3'!$AK$46/10000</f>
        <v>1.4892993600709306</v>
      </c>
      <c r="P22" s="50">
        <f>'Full Dataset &amp; Figure 3'!$G$46</f>
        <v>-29.018705704947934</v>
      </c>
      <c r="Q22" s="50">
        <f>'Full Dataset &amp; Figure 3'!$M$46</f>
        <v>-17.413721450138837</v>
      </c>
      <c r="R22" s="146"/>
      <c r="S22" s="148"/>
      <c r="T22" s="50">
        <f>'Full Dataset &amp; Figure 3'!$J$46</f>
        <v>395.75605631922372</v>
      </c>
      <c r="U22" s="50">
        <f>'Full Dataset &amp; Figure 3'!$P$46</f>
        <v>34.919752150308341</v>
      </c>
    </row>
    <row r="23" spans="2:21" x14ac:dyDescent="0.25">
      <c r="B23" s="15">
        <f>'Full Dataset &amp; Figure 3'!$U$59</f>
        <v>-6.2478936760000003</v>
      </c>
      <c r="C23" s="49" t="str">
        <f>'Full Dataset &amp; Figure 3'!$A$59</f>
        <v>prior substorm</v>
      </c>
      <c r="D23" s="15">
        <f>('Full Dataset &amp; Figure 3'!$D$59)*60</f>
        <v>114.00000000488944</v>
      </c>
      <c r="E23" s="24">
        <f>'Full Dataset &amp; Figure 3'!$AJ$59/10000</f>
        <v>0.15445562592539622</v>
      </c>
      <c r="F23" s="22">
        <f>'Full Dataset &amp; Figure 3'!$AK$59/10000</f>
        <v>1.7621970823356725</v>
      </c>
      <c r="G23" s="50">
        <f>'Full Dataset &amp; Figure 3'!$G$59</f>
        <v>1839.7484435525257</v>
      </c>
      <c r="H23" s="50">
        <f>'Full Dataset &amp; Figure 3'!$M$59</f>
        <v>-2.7410557481925935</v>
      </c>
      <c r="I23" s="17"/>
      <c r="K23" s="15">
        <f>'Full Dataset &amp; Figure 3'!$U$55</f>
        <v>-12.723442426999998</v>
      </c>
      <c r="L23" s="49" t="str">
        <f>'Full Dataset &amp; Figure 3'!$A$55</f>
        <v>-Bz onset</v>
      </c>
      <c r="M23" s="15">
        <f>('Full Dataset &amp; Figure 3'!$D$55)*60</f>
        <v>103.99999999324791</v>
      </c>
      <c r="N23" s="24">
        <f>'Full Dataset &amp; Figure 3'!$AJ$55/10000</f>
        <v>8.1859793213894652E-2</v>
      </c>
      <c r="O23" s="22">
        <f>'Full Dataset &amp; Figure 3'!$AK$55/10000</f>
        <v>1.5658998187960438</v>
      </c>
      <c r="P23" s="50">
        <f>'Full Dataset &amp; Figure 3'!$G$55</f>
        <v>319.1808250208851</v>
      </c>
      <c r="Q23" s="50">
        <f>'Full Dataset &amp; Figure 3'!$M$55</f>
        <v>-6.3295389746781439</v>
      </c>
      <c r="R23" s="146"/>
      <c r="S23" s="148"/>
      <c r="T23" s="50">
        <f>'Full Dataset &amp; Figure 3'!$J$55</f>
        <v>2505.2082080498803</v>
      </c>
      <c r="U23" s="50">
        <f>'Full Dataset &amp; Figure 3'!$P$55</f>
        <v>55.866640855092555</v>
      </c>
    </row>
    <row r="24" spans="2:21" x14ac:dyDescent="0.25">
      <c r="B24" s="19">
        <f>'Full Dataset &amp; Figure 3'!$U$62</f>
        <v>-4.1067436879999999</v>
      </c>
      <c r="C24" s="49" t="str">
        <f>'Full Dataset &amp; Figure 3'!$A$62</f>
        <v>-Bz onset</v>
      </c>
      <c r="D24" s="15">
        <f>('Full Dataset &amp; Figure 3'!$D$62)*60</f>
        <v>220.99999999743886</v>
      </c>
      <c r="E24" s="24">
        <f>'Full Dataset &amp; Figure 3'!$AJ$62/10000</f>
        <v>0.1898506661648586</v>
      </c>
      <c r="F24" s="22">
        <f>'Full Dataset &amp; Figure 3'!$AK$62/10000</f>
        <v>1.8535686858605156</v>
      </c>
      <c r="G24" s="50">
        <f>'Full Dataset &amp; Figure 3'!$G$62</f>
        <v>3780.0070900528226</v>
      </c>
      <c r="H24" s="50">
        <f>'Full Dataset &amp; Figure 3'!$M$62</f>
        <v>14.926435510860756</v>
      </c>
      <c r="I24" s="17"/>
      <c r="K24" s="15">
        <f>'Full Dataset &amp; Figure 3'!$U$59</f>
        <v>-6.2478936760000003</v>
      </c>
      <c r="L24" s="49" t="str">
        <f>'Full Dataset &amp; Figure 3'!$A$59</f>
        <v>prior substorm</v>
      </c>
      <c r="M24" s="15">
        <f>('Full Dataset &amp; Figure 3'!$D$59)*60</f>
        <v>114.00000000488944</v>
      </c>
      <c r="N24" s="24">
        <f>'Full Dataset &amp; Figure 3'!$AJ$59/10000</f>
        <v>0.15445562592539622</v>
      </c>
      <c r="O24" s="22">
        <f>'Full Dataset &amp; Figure 3'!$AK$59/10000</f>
        <v>1.7621970823356725</v>
      </c>
      <c r="P24" s="50">
        <f>'Full Dataset &amp; Figure 3'!$G$59</f>
        <v>1839.7484435525257</v>
      </c>
      <c r="Q24" s="50">
        <f>'Full Dataset &amp; Figure 3'!$M$59</f>
        <v>-2.7410557481925935</v>
      </c>
      <c r="R24" s="146"/>
      <c r="S24" s="148"/>
      <c r="T24" s="50">
        <f>'Full Dataset &amp; Figure 3'!$J$59</f>
        <v>6270.3738733730279</v>
      </c>
      <c r="U24" s="50">
        <f>'Full Dataset &amp; Figure 3'!$P$59</f>
        <v>47.822550750570372</v>
      </c>
    </row>
    <row r="25" spans="2:21" x14ac:dyDescent="0.25">
      <c r="B25" s="48"/>
      <c r="C25" s="48"/>
      <c r="D25" s="48"/>
      <c r="E25" s="48"/>
      <c r="F25" s="48"/>
      <c r="G25" s="48"/>
      <c r="H25" s="48"/>
      <c r="K25" s="19">
        <f>'Full Dataset &amp; Figure 3'!$U$62</f>
        <v>-4.1067436879999999</v>
      </c>
      <c r="L25" s="49" t="str">
        <f>'Full Dataset &amp; Figure 3'!$A$62</f>
        <v>-Bz onset</v>
      </c>
      <c r="M25" s="15">
        <f>('Full Dataset &amp; Figure 3'!$D$62)*60</f>
        <v>220.99999999743886</v>
      </c>
      <c r="N25" s="24">
        <f>'Full Dataset &amp; Figure 3'!$AJ$62/10000</f>
        <v>0.1898506661648586</v>
      </c>
      <c r="O25" s="22">
        <f>'Full Dataset &amp; Figure 3'!$AK$62/10000</f>
        <v>1.8535686858605156</v>
      </c>
      <c r="P25" s="50">
        <f>'Full Dataset &amp; Figure 3'!$G$62</f>
        <v>3780.0070900528226</v>
      </c>
      <c r="Q25" s="50">
        <f>'Full Dataset &amp; Figure 3'!$M$62</f>
        <v>14.926435510860756</v>
      </c>
      <c r="R25" s="146"/>
      <c r="S25" s="148"/>
      <c r="T25" s="50">
        <f>'Full Dataset &amp; Figure 3'!$J$62</f>
        <v>10415.790216978639</v>
      </c>
      <c r="U25" s="50">
        <f>'Full Dataset &amp; Figure 3'!$P$62</f>
        <v>105.23196206311695</v>
      </c>
    </row>
    <row r="26" spans="2:21" ht="16.2" customHeight="1" x14ac:dyDescent="0.25"/>
    <row r="27" spans="2:21" x14ac:dyDescent="0.25">
      <c r="L27" s="29"/>
      <c r="M27" s="29"/>
      <c r="N27" s="29"/>
      <c r="O27" s="29"/>
      <c r="P27" s="29"/>
      <c r="Q27" s="29"/>
    </row>
    <row r="28" spans="2:21" x14ac:dyDescent="0.25">
      <c r="L28" s="21"/>
      <c r="M28" s="21"/>
    </row>
    <row r="29" spans="2:21" x14ac:dyDescent="0.25">
      <c r="L29" s="29"/>
      <c r="M29" s="29"/>
    </row>
    <row r="30" spans="2:21" x14ac:dyDescent="0.25">
      <c r="L30" s="29"/>
      <c r="M30" s="29"/>
    </row>
    <row r="31" spans="2:21" x14ac:dyDescent="0.25">
      <c r="L31" s="29"/>
      <c r="M31" s="29"/>
    </row>
    <row r="32" spans="2:21" x14ac:dyDescent="0.25">
      <c r="K32" s="29"/>
      <c r="L32" s="29"/>
      <c r="M32" s="29"/>
      <c r="N32" s="29"/>
      <c r="O32" s="29"/>
      <c r="P32" s="29"/>
      <c r="Q32" s="29"/>
      <c r="R32" s="29"/>
      <c r="S32" s="29"/>
      <c r="T32" s="29"/>
    </row>
    <row r="33" spans="11:20" x14ac:dyDescent="0.25">
      <c r="K33" s="29"/>
      <c r="L33" s="29"/>
      <c r="M33" s="29"/>
      <c r="N33" s="29"/>
      <c r="O33" s="29"/>
      <c r="P33" s="29"/>
      <c r="Q33" s="29"/>
      <c r="R33" s="29"/>
      <c r="S33" s="29"/>
      <c r="T33" s="29"/>
    </row>
    <row r="34" spans="11:20" x14ac:dyDescent="0.25">
      <c r="K34" s="29"/>
      <c r="L34" s="29"/>
      <c r="M34" s="29"/>
      <c r="N34" s="29"/>
      <c r="O34" s="29"/>
      <c r="P34" s="29"/>
      <c r="Q34" s="29"/>
      <c r="R34" s="29"/>
      <c r="S34" s="29"/>
      <c r="T34" s="29"/>
    </row>
    <row r="35" spans="11:20" x14ac:dyDescent="0.25">
      <c r="K35" s="29"/>
      <c r="L35" s="29"/>
      <c r="M35" s="29"/>
      <c r="N35" s="29"/>
      <c r="O35" s="29"/>
      <c r="P35" s="29"/>
      <c r="Q35" s="29"/>
      <c r="R35" s="29"/>
      <c r="S35" s="29"/>
      <c r="T35" s="29"/>
    </row>
    <row r="36" spans="11:20" x14ac:dyDescent="0.25">
      <c r="K36" s="29"/>
      <c r="L36" s="29"/>
      <c r="M36" s="29"/>
      <c r="N36" s="29"/>
      <c r="O36" s="29"/>
      <c r="P36" s="29"/>
      <c r="Q36" s="29"/>
      <c r="R36" s="29"/>
      <c r="S36" s="29"/>
      <c r="T36" s="29"/>
    </row>
    <row r="37" spans="11:20" x14ac:dyDescent="0.25">
      <c r="K37" s="29"/>
      <c r="L37" s="29"/>
      <c r="M37" s="29"/>
      <c r="N37" s="29"/>
      <c r="O37" s="29"/>
      <c r="P37" s="29"/>
      <c r="Q37" s="29"/>
      <c r="R37" s="29"/>
      <c r="S37" s="29"/>
      <c r="T37" s="29"/>
    </row>
    <row r="38" spans="11:20" x14ac:dyDescent="0.25">
      <c r="K38" s="29"/>
      <c r="L38" s="29"/>
      <c r="M38" s="29"/>
      <c r="N38" s="29"/>
      <c r="O38" s="29"/>
      <c r="P38" s="29"/>
      <c r="Q38" s="29"/>
      <c r="R38" s="29"/>
      <c r="S38" s="29"/>
      <c r="T38" s="29"/>
    </row>
    <row r="39" spans="11:20" x14ac:dyDescent="0.25">
      <c r="K39" s="29"/>
      <c r="L39" s="29"/>
      <c r="M39" s="29"/>
      <c r="N39" s="29"/>
      <c r="O39" s="29"/>
      <c r="P39" s="29"/>
      <c r="Q39" s="29"/>
      <c r="R39" s="29"/>
      <c r="S39" s="29"/>
      <c r="T39" s="29"/>
    </row>
    <row r="40" spans="11:20" x14ac:dyDescent="0.25">
      <c r="K40" s="29"/>
      <c r="L40" s="29"/>
      <c r="M40" s="29"/>
      <c r="N40" s="29"/>
      <c r="O40" s="29"/>
      <c r="P40" s="29"/>
      <c r="Q40" s="29"/>
      <c r="R40" s="29"/>
      <c r="S40" s="29"/>
      <c r="T40" s="29"/>
    </row>
    <row r="41" spans="11:20" x14ac:dyDescent="0.25">
      <c r="K41" s="29"/>
      <c r="L41" s="29"/>
      <c r="M41" s="29"/>
      <c r="N41" s="29"/>
      <c r="O41" s="29"/>
      <c r="P41" s="29"/>
      <c r="Q41" s="29"/>
      <c r="R41" s="29"/>
      <c r="S41" s="29"/>
      <c r="T41" s="29"/>
    </row>
    <row r="42" spans="11:20" x14ac:dyDescent="0.25">
      <c r="K42" s="29"/>
      <c r="L42" s="29"/>
      <c r="M42" s="29"/>
      <c r="N42" s="29"/>
      <c r="O42" s="29"/>
      <c r="P42" s="29"/>
      <c r="Q42" s="29"/>
      <c r="R42" s="29"/>
      <c r="S42" s="29"/>
      <c r="T42" s="29"/>
    </row>
    <row r="43" spans="11:20" x14ac:dyDescent="0.25">
      <c r="K43" s="29"/>
      <c r="L43" s="29"/>
      <c r="M43" s="29"/>
      <c r="N43" s="29"/>
      <c r="O43" s="29"/>
      <c r="P43" s="29"/>
      <c r="Q43" s="29"/>
      <c r="R43" s="29"/>
      <c r="S43" s="29"/>
      <c r="T43" s="29"/>
    </row>
    <row r="44" spans="11:20" x14ac:dyDescent="0.25">
      <c r="K44" s="29"/>
      <c r="L44" s="29"/>
      <c r="M44" s="29"/>
      <c r="N44" s="29"/>
      <c r="O44" s="29"/>
      <c r="P44" s="29"/>
      <c r="Q44" s="29"/>
      <c r="R44" s="29"/>
      <c r="S44" s="29"/>
      <c r="T44" s="29"/>
    </row>
    <row r="45" spans="11:20" x14ac:dyDescent="0.25">
      <c r="K45" s="29"/>
      <c r="L45" s="29"/>
      <c r="M45" s="29"/>
      <c r="N45" s="29"/>
      <c r="O45" s="29"/>
      <c r="P45" s="29"/>
      <c r="Q45" s="29"/>
      <c r="R45" s="29"/>
      <c r="S45" s="29"/>
      <c r="T45" s="29"/>
    </row>
    <row r="46" spans="11:20" x14ac:dyDescent="0.25">
      <c r="K46" s="29"/>
      <c r="L46" s="29"/>
      <c r="M46" s="29"/>
      <c r="N46" s="29"/>
      <c r="O46" s="29"/>
      <c r="P46" s="29"/>
      <c r="Q46" s="29"/>
      <c r="R46" s="29"/>
      <c r="S46" s="29"/>
      <c r="T46" s="29"/>
    </row>
    <row r="47" spans="11:20" x14ac:dyDescent="0.25">
      <c r="K47" s="29"/>
      <c r="L47" s="29"/>
      <c r="M47" s="29"/>
      <c r="N47" s="29"/>
      <c r="O47" s="29"/>
      <c r="P47" s="29"/>
      <c r="Q47" s="29"/>
      <c r="R47" s="29"/>
      <c r="S47" s="29"/>
      <c r="T47" s="29"/>
    </row>
    <row r="48" spans="11:20" x14ac:dyDescent="0.25">
      <c r="K48" s="29"/>
      <c r="L48" s="29"/>
      <c r="M48" s="29"/>
      <c r="N48" s="29"/>
      <c r="O48" s="29"/>
      <c r="P48" s="29"/>
      <c r="Q48" s="29"/>
      <c r="R48" s="29"/>
      <c r="S48" s="29"/>
      <c r="T48" s="29"/>
    </row>
    <row r="49" spans="11:20" x14ac:dyDescent="0.25">
      <c r="K49" s="29"/>
      <c r="L49" s="29"/>
      <c r="M49" s="29"/>
      <c r="N49" s="29"/>
      <c r="O49" s="29"/>
      <c r="P49" s="29"/>
      <c r="Q49" s="29"/>
      <c r="R49" s="29"/>
      <c r="S49" s="29"/>
      <c r="T49" s="29"/>
    </row>
    <row r="50" spans="11:20" x14ac:dyDescent="0.25">
      <c r="K50" s="29"/>
      <c r="L50" s="29"/>
      <c r="M50" s="29"/>
      <c r="N50" s="29"/>
      <c r="O50" s="29"/>
      <c r="P50" s="29"/>
      <c r="Q50" s="29"/>
      <c r="R50" s="29"/>
      <c r="S50" s="29"/>
      <c r="T50" s="29"/>
    </row>
    <row r="51" spans="11:20" x14ac:dyDescent="0.25">
      <c r="K51" s="29"/>
      <c r="L51" s="29"/>
      <c r="M51" s="29"/>
      <c r="N51" s="29"/>
      <c r="O51" s="29"/>
      <c r="P51" s="29"/>
      <c r="Q51" s="29"/>
      <c r="R51" s="29"/>
      <c r="S51" s="29"/>
      <c r="T51" s="29"/>
    </row>
  </sheetData>
  <mergeCells count="14">
    <mergeCell ref="R6:R25"/>
    <mergeCell ref="S6:S25"/>
    <mergeCell ref="R4:S4"/>
    <mergeCell ref="T4:U4"/>
    <mergeCell ref="K2:U2"/>
    <mergeCell ref="N3:Q3"/>
    <mergeCell ref="R3:U3"/>
    <mergeCell ref="N4:O4"/>
    <mergeCell ref="P4:Q4"/>
    <mergeCell ref="B2:H2"/>
    <mergeCell ref="G3:H3"/>
    <mergeCell ref="E3:F3"/>
    <mergeCell ref="B3:D3"/>
    <mergeCell ref="K4:M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4D96C-DC44-42DE-90C4-1DD10D0BB9B6}">
  <sheetPr codeName="Sheet5"/>
  <dimension ref="A1:AD61"/>
  <sheetViews>
    <sheetView tabSelected="1" topLeftCell="O1" zoomScale="90" zoomScaleNormal="90" workbookViewId="0">
      <selection activeCell="S5" sqref="S5:AD8"/>
    </sheetView>
  </sheetViews>
  <sheetFormatPr defaultRowHeight="14.4" x14ac:dyDescent="0.3"/>
  <cols>
    <col min="1" max="1" width="13.88671875" bestFit="1" customWidth="1"/>
    <col min="2" max="2" width="7.44140625" bestFit="1" customWidth="1"/>
    <col min="3" max="3" width="8.109375" bestFit="1" customWidth="1"/>
    <col min="4" max="4" width="8.109375" customWidth="1"/>
    <col min="5" max="5" width="13.33203125" bestFit="1" customWidth="1"/>
    <col min="6" max="6" width="13.33203125" customWidth="1"/>
    <col min="7" max="8" width="13.33203125" bestFit="1" customWidth="1"/>
    <col min="9" max="11" width="13.33203125" customWidth="1"/>
    <col min="12" max="12" width="13.33203125" bestFit="1" customWidth="1"/>
    <col min="13" max="13" width="13.33203125" customWidth="1"/>
    <col min="14" max="15" width="13.33203125" bestFit="1" customWidth="1"/>
    <col min="19" max="19" width="27" bestFit="1" customWidth="1"/>
    <col min="20" max="20" width="6.6640625" bestFit="1" customWidth="1"/>
    <col min="21" max="21" width="8.5546875" bestFit="1" customWidth="1"/>
    <col min="22" max="22" width="10.33203125" bestFit="1" customWidth="1"/>
    <col min="23" max="23" width="6.109375" bestFit="1" customWidth="1"/>
    <col min="24" max="24" width="6.44140625" customWidth="1"/>
    <col min="25" max="25" width="6.6640625" bestFit="1" customWidth="1"/>
    <col min="26" max="26" width="8.5546875" bestFit="1" customWidth="1"/>
    <col min="27" max="27" width="10.33203125" bestFit="1" customWidth="1"/>
    <col min="28" max="29" width="6.109375" bestFit="1" customWidth="1"/>
    <col min="30" max="30" width="3.88671875" bestFit="1" customWidth="1"/>
  </cols>
  <sheetData>
    <row r="1" spans="1:30" s="10" customFormat="1" ht="44.4" thickBot="1" x14ac:dyDescent="0.35">
      <c r="A1" s="74" t="s">
        <v>66</v>
      </c>
      <c r="B1" s="75" t="s">
        <v>58</v>
      </c>
      <c r="C1" s="76" t="s">
        <v>65</v>
      </c>
      <c r="D1" s="27" t="s">
        <v>129</v>
      </c>
      <c r="E1" s="27" t="s">
        <v>68</v>
      </c>
      <c r="F1" s="27" t="s">
        <v>130</v>
      </c>
      <c r="G1" s="27" t="s">
        <v>69</v>
      </c>
      <c r="H1" s="27" t="s">
        <v>70</v>
      </c>
      <c r="I1" s="27" t="s">
        <v>127</v>
      </c>
      <c r="J1" s="27" t="s">
        <v>126</v>
      </c>
      <c r="K1" s="28" t="s">
        <v>129</v>
      </c>
      <c r="L1" s="28" t="s">
        <v>68</v>
      </c>
      <c r="M1" s="28" t="s">
        <v>130</v>
      </c>
      <c r="N1" s="28" t="s">
        <v>69</v>
      </c>
      <c r="O1" s="28" t="s">
        <v>70</v>
      </c>
      <c r="P1" s="28" t="s">
        <v>127</v>
      </c>
      <c r="Q1" s="28" t="s">
        <v>126</v>
      </c>
      <c r="S1" s="123" t="s">
        <v>132</v>
      </c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</row>
    <row r="2" spans="1:30" ht="16.2" thickBot="1" x14ac:dyDescent="0.35">
      <c r="A2" s="1">
        <v>-339.50278985999995</v>
      </c>
      <c r="B2" s="43">
        <f>'Full Dataset &amp; Figure 3'!F3</f>
        <v>2.3727800894994289</v>
      </c>
      <c r="C2" s="43">
        <f>'Full Dataset &amp; Figure 3'!L3</f>
        <v>3.4178363950923085</v>
      </c>
      <c r="D2" s="43">
        <f>IF(A2&lt;-200,B2,"")</f>
        <v>2.3727800894994289</v>
      </c>
      <c r="E2" s="2">
        <f>IF(A2&lt;-150,B2,"")</f>
        <v>2.3727800894994289</v>
      </c>
      <c r="F2" s="2" t="str">
        <f>IF(AND(A2&gt;-200,A2&lt;-75),B2,"")</f>
        <v/>
      </c>
      <c r="G2" s="2" t="str">
        <f t="shared" ref="G2:G12" si="0">IF(AND(A2&gt;-150,A2&lt;-75),B2,"")</f>
        <v/>
      </c>
      <c r="H2" s="2" t="str">
        <f>IF(A2&gt;-75,B2,"")</f>
        <v/>
      </c>
      <c r="I2" s="2" t="str">
        <f>IF(AND(A2&gt;-75,A2&lt;-20),B2,"")</f>
        <v/>
      </c>
      <c r="J2" s="2" t="str">
        <f>IF(A2&gt;-20,B2,"")</f>
        <v/>
      </c>
      <c r="K2" s="2">
        <f>IF(A2&lt;-200,C2,"")</f>
        <v>3.4178363950923085</v>
      </c>
      <c r="L2" s="2">
        <f>IF(A2&lt;-150,C2,"")</f>
        <v>3.4178363950923085</v>
      </c>
      <c r="M2" s="2" t="str">
        <f>IF(AND(A2&gt;-200,A2&lt;-75),C2,"")</f>
        <v/>
      </c>
      <c r="N2" s="2" t="str">
        <f>IF(AND(A2&gt;-150,A2&lt;-75),C2,"")</f>
        <v/>
      </c>
      <c r="O2" s="2" t="str">
        <f>IF(A2&gt;-75,C2,"")</f>
        <v/>
      </c>
      <c r="P2" s="2" t="str">
        <f>IF(AND(A2&gt;-75,A2&lt;-20),C2,"")</f>
        <v/>
      </c>
      <c r="Q2" s="2" t="str">
        <f>IF(A2&gt;-20,C2,"")</f>
        <v/>
      </c>
      <c r="S2" s="152" t="s">
        <v>136</v>
      </c>
      <c r="T2" s="152"/>
      <c r="U2" s="152"/>
      <c r="V2" s="152"/>
      <c r="W2" s="152"/>
      <c r="X2" s="152"/>
      <c r="Y2" s="152"/>
      <c r="Z2" s="152"/>
      <c r="AA2" s="152"/>
      <c r="AB2" s="152"/>
      <c r="AC2" s="152"/>
      <c r="AD2" s="152"/>
    </row>
    <row r="3" spans="1:30" ht="24" thickBot="1" x14ac:dyDescent="0.5">
      <c r="A3" s="1">
        <v>-304.02249196000002</v>
      </c>
      <c r="B3" s="43">
        <f>'Full Dataset &amp; Figure 3'!F4</f>
        <v>0.28976027620956302</v>
      </c>
      <c r="C3" s="43">
        <f>'Full Dataset &amp; Figure 3'!L4</f>
        <v>16.046793241985142</v>
      </c>
      <c r="D3" s="43">
        <f t="shared" ref="D3:D61" si="1">IF(A3&lt;-200,B3,"")</f>
        <v>0.28976027620956302</v>
      </c>
      <c r="E3" s="2">
        <f t="shared" ref="E3:E61" si="2">IF(A3&lt;-150,B3,"")</f>
        <v>0.28976027620956302</v>
      </c>
      <c r="F3" s="2" t="str">
        <f t="shared" ref="F3:F61" si="3">IF(AND(A3&gt;-200,A3&lt;-75),B3,"")</f>
        <v/>
      </c>
      <c r="G3" s="2" t="str">
        <f t="shared" si="0"/>
        <v/>
      </c>
      <c r="H3" s="2" t="str">
        <f t="shared" ref="H3:H61" si="4">IF(A3&gt;-75,B3,"")</f>
        <v/>
      </c>
      <c r="I3" s="2" t="str">
        <f t="shared" ref="I3:I61" si="5">IF(AND(A3&gt;-75,A3&lt;-20),B3,"")</f>
        <v/>
      </c>
      <c r="J3" s="2" t="str">
        <f t="shared" ref="J3:J61" si="6">IF(A3&gt;-20,B3,"")</f>
        <v/>
      </c>
      <c r="K3" s="2">
        <f t="shared" ref="K3:K61" si="7">IF(A3&lt;-200,C3,"")</f>
        <v>16.046793241985142</v>
      </c>
      <c r="L3" s="2">
        <f t="shared" ref="L3:L61" si="8">IF(A3&lt;-150,C3,"")</f>
        <v>16.046793241985142</v>
      </c>
      <c r="M3" s="2" t="str">
        <f t="shared" ref="M3:M61" si="9">IF(AND(A3&gt;-200,A3&lt;-75),C3,"")</f>
        <v/>
      </c>
      <c r="N3" s="2" t="str">
        <f t="shared" ref="N3:N61" si="10">IF(AND(A3&gt;-150,A3&lt;-75),C3,"")</f>
        <v/>
      </c>
      <c r="O3" s="2" t="str">
        <f t="shared" ref="O3:O61" si="11">IF(A3&gt;-75,C3,"")</f>
        <v/>
      </c>
      <c r="P3" s="2" t="str">
        <f t="shared" ref="P3:P61" si="12">IF(AND(A3&gt;-75,A3&lt;-20),C3,"")</f>
        <v/>
      </c>
      <c r="Q3" s="2" t="str">
        <f t="shared" ref="Q3:Q61" si="13">IF(A3&gt;-20,C3,"")</f>
        <v/>
      </c>
      <c r="S3" s="53"/>
      <c r="T3" s="153" t="s">
        <v>47</v>
      </c>
      <c r="U3" s="153"/>
      <c r="V3" s="153"/>
      <c r="W3" s="153"/>
      <c r="X3" s="154"/>
      <c r="Y3" s="155" t="s">
        <v>50</v>
      </c>
      <c r="Z3" s="153"/>
      <c r="AA3" s="153"/>
      <c r="AB3" s="153"/>
      <c r="AC3" s="153"/>
      <c r="AD3" s="54"/>
    </row>
    <row r="4" spans="1:30" ht="42" thickBot="1" x14ac:dyDescent="0.35">
      <c r="A4" s="1">
        <v>-288.49212119999999</v>
      </c>
      <c r="B4" s="43">
        <f>'Full Dataset &amp; Figure 3'!F5</f>
        <v>3.4929278853815049</v>
      </c>
      <c r="C4" s="43">
        <f>'Full Dataset &amp; Figure 3'!L5</f>
        <v>4.7210976574569941</v>
      </c>
      <c r="D4" s="43">
        <f t="shared" si="1"/>
        <v>3.4929278853815049</v>
      </c>
      <c r="E4" s="2">
        <f t="shared" si="2"/>
        <v>3.4929278853815049</v>
      </c>
      <c r="F4" s="2" t="str">
        <f t="shared" si="3"/>
        <v/>
      </c>
      <c r="G4" s="2" t="str">
        <f t="shared" si="0"/>
        <v/>
      </c>
      <c r="H4" s="2" t="str">
        <f t="shared" si="4"/>
        <v/>
      </c>
      <c r="I4" s="2" t="str">
        <f t="shared" si="5"/>
        <v/>
      </c>
      <c r="J4" s="2" t="str">
        <f t="shared" si="6"/>
        <v/>
      </c>
      <c r="K4" s="2">
        <f t="shared" si="7"/>
        <v>4.7210976574569941</v>
      </c>
      <c r="L4" s="2">
        <f t="shared" si="8"/>
        <v>4.7210976574569941</v>
      </c>
      <c r="M4" s="2" t="str">
        <f t="shared" si="9"/>
        <v/>
      </c>
      <c r="N4" s="2" t="str">
        <f t="shared" si="10"/>
        <v/>
      </c>
      <c r="O4" s="2" t="str">
        <f t="shared" si="11"/>
        <v/>
      </c>
      <c r="P4" s="2" t="str">
        <f t="shared" si="12"/>
        <v/>
      </c>
      <c r="Q4" s="2" t="str">
        <f t="shared" si="13"/>
        <v/>
      </c>
      <c r="S4" s="55" t="s">
        <v>72</v>
      </c>
      <c r="T4" s="56" t="s">
        <v>51</v>
      </c>
      <c r="U4" s="56" t="s">
        <v>55</v>
      </c>
      <c r="V4" s="56" t="s">
        <v>53</v>
      </c>
      <c r="W4" s="56" t="s">
        <v>56</v>
      </c>
      <c r="X4" s="57" t="s">
        <v>57</v>
      </c>
      <c r="Y4" s="56" t="s">
        <v>51</v>
      </c>
      <c r="Z4" s="56" t="s">
        <v>55</v>
      </c>
      <c r="AA4" s="56" t="s">
        <v>53</v>
      </c>
      <c r="AB4" s="56" t="s">
        <v>56</v>
      </c>
      <c r="AC4" s="56" t="s">
        <v>57</v>
      </c>
      <c r="AD4" s="58" t="s">
        <v>67</v>
      </c>
    </row>
    <row r="5" spans="1:30" ht="15.6" x14ac:dyDescent="0.3">
      <c r="A5" s="1">
        <v>-250.61111250000002</v>
      </c>
      <c r="B5" s="43">
        <f>'Full Dataset &amp; Figure 3'!F6</f>
        <v>19.115162864327431</v>
      </c>
      <c r="C5" s="43">
        <f>'Full Dataset &amp; Figure 3'!L6</f>
        <v>13.791144298156723</v>
      </c>
      <c r="D5" s="43">
        <f t="shared" si="1"/>
        <v>19.115162864327431</v>
      </c>
      <c r="E5" s="2">
        <f t="shared" si="2"/>
        <v>19.115162864327431</v>
      </c>
      <c r="F5" s="2" t="str">
        <f t="shared" si="3"/>
        <v/>
      </c>
      <c r="G5" s="2" t="str">
        <f t="shared" si="0"/>
        <v/>
      </c>
      <c r="H5" s="2" t="str">
        <f t="shared" si="4"/>
        <v/>
      </c>
      <c r="I5" s="2" t="str">
        <f t="shared" si="5"/>
        <v/>
      </c>
      <c r="J5" s="2" t="str">
        <f t="shared" si="6"/>
        <v/>
      </c>
      <c r="K5" s="2">
        <f t="shared" si="7"/>
        <v>13.791144298156723</v>
      </c>
      <c r="L5" s="2">
        <f t="shared" si="8"/>
        <v>13.791144298156723</v>
      </c>
      <c r="M5" s="2" t="str">
        <f t="shared" si="9"/>
        <v/>
      </c>
      <c r="N5" s="2" t="str">
        <f t="shared" si="10"/>
        <v/>
      </c>
      <c r="O5" s="2" t="str">
        <f t="shared" si="11"/>
        <v/>
      </c>
      <c r="P5" s="2" t="str">
        <f t="shared" si="12"/>
        <v/>
      </c>
      <c r="Q5" s="2" t="str">
        <f t="shared" si="13"/>
        <v/>
      </c>
      <c r="S5" s="59" t="s">
        <v>68</v>
      </c>
      <c r="T5" s="60">
        <f>AVERAGE(E2:E61)</f>
        <v>18.775230206781998</v>
      </c>
      <c r="U5" s="60">
        <f>MEDIAN(E2:E61)</f>
        <v>14.349441232625395</v>
      </c>
      <c r="V5" s="60">
        <f>_xlfn.STDEV.P(E2:E61)</f>
        <v>19.00221499449766</v>
      </c>
      <c r="W5" s="15">
        <f>MIN(E2:E61)</f>
        <v>0.28976027620956302</v>
      </c>
      <c r="X5" s="61">
        <f>MAX(E2:E61)</f>
        <v>59.356802460970357</v>
      </c>
      <c r="Y5" s="60">
        <f>AVERAGE(L2:L61)</f>
        <v>10.45729421346914</v>
      </c>
      <c r="Z5" s="60">
        <f>MEDIAN(L2:L61)</f>
        <v>10.014304232317954</v>
      </c>
      <c r="AA5" s="60">
        <f>_xlfn.STDEV.P(L2:L61)</f>
        <v>7.9982245062836634</v>
      </c>
      <c r="AB5" s="15">
        <f>MIN(L2:L61)</f>
        <v>1.2589410168584436</v>
      </c>
      <c r="AC5" s="15">
        <f>MAX(L2:L61)</f>
        <v>28.210213916609064</v>
      </c>
      <c r="AD5" s="62">
        <v>10</v>
      </c>
    </row>
    <row r="6" spans="1:30" ht="15.6" x14ac:dyDescent="0.3">
      <c r="A6" s="1">
        <v>-249.35007438</v>
      </c>
      <c r="B6" s="43">
        <f>'Full Dataset &amp; Figure 3'!F7</f>
        <v>12.529767542146146</v>
      </c>
      <c r="C6" s="43">
        <f>'Full Dataset &amp; Figure 3'!L7</f>
        <v>1.2589410168584436</v>
      </c>
      <c r="D6" s="43">
        <f t="shared" si="1"/>
        <v>12.529767542146146</v>
      </c>
      <c r="E6" s="2">
        <f t="shared" si="2"/>
        <v>12.529767542146146</v>
      </c>
      <c r="F6" s="2" t="str">
        <f t="shared" si="3"/>
        <v/>
      </c>
      <c r="G6" s="2" t="str">
        <f t="shared" si="0"/>
        <v/>
      </c>
      <c r="H6" s="2" t="str">
        <f t="shared" si="4"/>
        <v/>
      </c>
      <c r="I6" s="2" t="str">
        <f t="shared" si="5"/>
        <v/>
      </c>
      <c r="J6" s="2" t="str">
        <f t="shared" si="6"/>
        <v/>
      </c>
      <c r="K6" s="2">
        <f t="shared" si="7"/>
        <v>1.2589410168584436</v>
      </c>
      <c r="L6" s="2">
        <f t="shared" si="8"/>
        <v>1.2589410168584436</v>
      </c>
      <c r="M6" s="2" t="str">
        <f t="shared" si="9"/>
        <v/>
      </c>
      <c r="N6" s="2" t="str">
        <f t="shared" si="10"/>
        <v/>
      </c>
      <c r="O6" s="2" t="str">
        <f t="shared" si="11"/>
        <v/>
      </c>
      <c r="P6" s="2" t="str">
        <f t="shared" si="12"/>
        <v/>
      </c>
      <c r="Q6" s="2" t="str">
        <f t="shared" si="13"/>
        <v/>
      </c>
      <c r="S6" s="59" t="s">
        <v>69</v>
      </c>
      <c r="T6" s="60">
        <f>AVERAGE(G2:G61)</f>
        <v>15.942850717110559</v>
      </c>
      <c r="U6" s="60">
        <f>MEDIAN(G2:G61)</f>
        <v>10.881313821882941</v>
      </c>
      <c r="V6" s="60">
        <f>_xlfn.STDEV.P(G2:G61)</f>
        <v>10.639631158324534</v>
      </c>
      <c r="W6" s="15">
        <f>MIN(G2:G61)</f>
        <v>5.506945577217266</v>
      </c>
      <c r="X6" s="61">
        <f>MAX(G2:G61)</f>
        <v>42.856935648014769</v>
      </c>
      <c r="Y6" s="60">
        <f>AVERAGE(N2:N61)</f>
        <v>14.38472430605907</v>
      </c>
      <c r="Z6" s="60">
        <f>MEDIAN(N2:N61)</f>
        <v>13.339028689661063</v>
      </c>
      <c r="AA6" s="60">
        <f>_xlfn.STDEV.P(N2:N61)</f>
        <v>9.0099828644440194</v>
      </c>
      <c r="AB6" s="15">
        <f>MIN(N2:N61)</f>
        <v>1.0183383291587234</v>
      </c>
      <c r="AC6" s="15">
        <f>MAX(N2:N61)</f>
        <v>29.89979007630609</v>
      </c>
      <c r="AD6" s="62">
        <v>10</v>
      </c>
    </row>
    <row r="7" spans="1:30" ht="16.2" thickBot="1" x14ac:dyDescent="0.35">
      <c r="A7" s="1">
        <v>-213.478272</v>
      </c>
      <c r="B7" s="43">
        <f>'Full Dataset &amp; Figure 3'!F8</f>
        <v>59.356802460970357</v>
      </c>
      <c r="C7" s="43">
        <f>'Full Dataset &amp; Figure 3'!L8</f>
        <v>8.0418206937611103</v>
      </c>
      <c r="D7" s="43">
        <f t="shared" si="1"/>
        <v>59.356802460970357</v>
      </c>
      <c r="E7" s="2">
        <f t="shared" si="2"/>
        <v>59.356802460970357</v>
      </c>
      <c r="F7" s="2" t="str">
        <f t="shared" si="3"/>
        <v/>
      </c>
      <c r="G7" s="2" t="str">
        <f t="shared" si="0"/>
        <v/>
      </c>
      <c r="H7" s="2" t="str">
        <f t="shared" si="4"/>
        <v/>
      </c>
      <c r="I7" s="2" t="str">
        <f t="shared" si="5"/>
        <v/>
      </c>
      <c r="J7" s="2" t="str">
        <f t="shared" si="6"/>
        <v/>
      </c>
      <c r="K7" s="2">
        <f t="shared" si="7"/>
        <v>8.0418206937611103</v>
      </c>
      <c r="L7" s="2">
        <f t="shared" si="8"/>
        <v>8.0418206937611103</v>
      </c>
      <c r="M7" s="2" t="str">
        <f t="shared" si="9"/>
        <v/>
      </c>
      <c r="N7" s="2" t="str">
        <f t="shared" si="10"/>
        <v/>
      </c>
      <c r="O7" s="2" t="str">
        <f t="shared" si="11"/>
        <v/>
      </c>
      <c r="P7" s="2" t="str">
        <f t="shared" si="12"/>
        <v/>
      </c>
      <c r="Q7" s="2" t="str">
        <f t="shared" si="13"/>
        <v/>
      </c>
      <c r="S7" s="63" t="s">
        <v>70</v>
      </c>
      <c r="T7" s="64">
        <f>AVERAGE(H2:H61)</f>
        <v>232.02382358271279</v>
      </c>
      <c r="U7" s="64">
        <f>MEDIAN(H2:H61)</f>
        <v>51.475268440553918</v>
      </c>
      <c r="V7" s="64">
        <f>_xlfn.STDEV.P(H2:H61)</f>
        <v>642.43093611845336</v>
      </c>
      <c r="W7" s="65">
        <f>MIN(H2:H61)</f>
        <v>2.7370093006175011</v>
      </c>
      <c r="X7" s="66">
        <f>MAX(H2:H61)</f>
        <v>3780.0070900528226</v>
      </c>
      <c r="Y7" s="64">
        <f>AVERAGE(O2:O61)</f>
        <v>20.39047128558741</v>
      </c>
      <c r="Z7" s="64">
        <f>MEDIAN(O2:O61)</f>
        <v>16.774419157882221</v>
      </c>
      <c r="AA7" s="64">
        <f>_xlfn.STDEV.P(O2:O61)</f>
        <v>13.95669265041805</v>
      </c>
      <c r="AB7" s="65">
        <f>MIN(O2:O61)</f>
        <v>0.59860482579097152</v>
      </c>
      <c r="AC7" s="65">
        <f>MAX(O2:O61)</f>
        <v>53.217510748654604</v>
      </c>
      <c r="AD7" s="67">
        <v>40</v>
      </c>
    </row>
    <row r="8" spans="1:30" ht="16.2" thickBot="1" x14ac:dyDescent="0.35">
      <c r="A8" s="1">
        <v>-204.44579150999999</v>
      </c>
      <c r="B8" s="43">
        <f>'Full Dataset &amp; Figure 3'!F9</f>
        <v>2.2373314888682216</v>
      </c>
      <c r="C8" s="43">
        <f>'Full Dataset &amp; Figure 3'!L9</f>
        <v>15.608518120134249</v>
      </c>
      <c r="D8" s="43">
        <f t="shared" si="1"/>
        <v>2.2373314888682216</v>
      </c>
      <c r="E8" s="2">
        <f t="shared" si="2"/>
        <v>2.2373314888682216</v>
      </c>
      <c r="F8" s="2" t="str">
        <f t="shared" si="3"/>
        <v/>
      </c>
      <c r="G8" s="2" t="str">
        <f t="shared" si="0"/>
        <v/>
      </c>
      <c r="H8" s="2" t="str">
        <f t="shared" si="4"/>
        <v/>
      </c>
      <c r="I8" s="2" t="str">
        <f t="shared" si="5"/>
        <v/>
      </c>
      <c r="J8" s="2" t="str">
        <f t="shared" si="6"/>
        <v/>
      </c>
      <c r="K8" s="2">
        <f t="shared" si="7"/>
        <v>15.608518120134249</v>
      </c>
      <c r="L8" s="2">
        <f t="shared" si="8"/>
        <v>15.608518120134249</v>
      </c>
      <c r="M8" s="2" t="str">
        <f t="shared" si="9"/>
        <v/>
      </c>
      <c r="N8" s="2" t="str">
        <f t="shared" si="10"/>
        <v/>
      </c>
      <c r="O8" s="2" t="str">
        <f t="shared" si="11"/>
        <v/>
      </c>
      <c r="P8" s="2" t="str">
        <f t="shared" si="12"/>
        <v/>
      </c>
      <c r="Q8" s="2" t="str">
        <f t="shared" si="13"/>
        <v/>
      </c>
      <c r="S8" s="68" t="s">
        <v>71</v>
      </c>
      <c r="T8" s="69">
        <f>AVERAGE(B2:B61)</f>
        <v>160.46889587579062</v>
      </c>
      <c r="U8" s="69">
        <f>MEDIAN(B2:B61)</f>
        <v>39.199073915951885</v>
      </c>
      <c r="V8" s="69">
        <f>_xlfn.STDEV.P(B2:B61)</f>
        <v>534.28918823525294</v>
      </c>
      <c r="W8" s="70">
        <f>MIN(B2:B61)</f>
        <v>0.28976027620956302</v>
      </c>
      <c r="X8" s="71">
        <f>MAX(B2:B61)</f>
        <v>3780.0070900528226</v>
      </c>
      <c r="Y8" s="69">
        <f>AVERAGE(C2:C61)</f>
        <v>17.733983943646308</v>
      </c>
      <c r="Z8" s="69">
        <f>MEDIAN(C2:C61)</f>
        <v>14.105586989899166</v>
      </c>
      <c r="AA8" s="69">
        <f>_xlfn.STDEV.P(C2:C61)</f>
        <v>13.017321274390735</v>
      </c>
      <c r="AB8" s="70">
        <f>MIN(C2:C61)</f>
        <v>0.59860482579097152</v>
      </c>
      <c r="AC8" s="70">
        <f>MAX(C2:C61)</f>
        <v>53.217510748654604</v>
      </c>
      <c r="AD8" s="72">
        <v>60</v>
      </c>
    </row>
    <row r="9" spans="1:30" x14ac:dyDescent="0.3">
      <c r="A9" s="1">
        <v>-200.40550469999999</v>
      </c>
      <c r="B9" s="43">
        <f>'Full Dataset &amp; Figure 3'!F10</f>
        <v>26.085369464708492</v>
      </c>
      <c r="C9" s="43">
        <f>'Full Dataset &amp; Figure 3'!L10</f>
        <v>11.986787770874798</v>
      </c>
      <c r="D9" s="43">
        <f t="shared" si="1"/>
        <v>26.085369464708492</v>
      </c>
      <c r="E9" s="2">
        <f t="shared" si="2"/>
        <v>26.085369464708492</v>
      </c>
      <c r="F9" s="2" t="str">
        <f t="shared" si="3"/>
        <v/>
      </c>
      <c r="G9" s="2" t="str">
        <f t="shared" si="0"/>
        <v/>
      </c>
      <c r="H9" s="2" t="str">
        <f t="shared" si="4"/>
        <v/>
      </c>
      <c r="I9" s="2" t="str">
        <f t="shared" si="5"/>
        <v/>
      </c>
      <c r="J9" s="2" t="str">
        <f t="shared" si="6"/>
        <v/>
      </c>
      <c r="K9" s="2">
        <f t="shared" si="7"/>
        <v>11.986787770874798</v>
      </c>
      <c r="L9" s="2">
        <f t="shared" si="8"/>
        <v>11.986787770874798</v>
      </c>
      <c r="M9" s="2" t="str">
        <f t="shared" si="9"/>
        <v/>
      </c>
      <c r="N9" s="2" t="str">
        <f t="shared" si="10"/>
        <v/>
      </c>
      <c r="O9" s="2" t="str">
        <f t="shared" si="11"/>
        <v/>
      </c>
      <c r="P9" s="2" t="str">
        <f t="shared" si="12"/>
        <v/>
      </c>
      <c r="Q9" s="2" t="str">
        <f t="shared" si="13"/>
        <v/>
      </c>
      <c r="T9" s="73"/>
      <c r="U9" s="73"/>
      <c r="V9" s="73"/>
    </row>
    <row r="10" spans="1:30" ht="16.5" customHeight="1" x14ac:dyDescent="0.3">
      <c r="A10" s="1">
        <v>-181.36573461999996</v>
      </c>
      <c r="B10" s="43">
        <f>'Full Dataset &amp; Figure 3'!F11</f>
        <v>16.169114923104644</v>
      </c>
      <c r="C10" s="43">
        <f>'Full Dataset &amp; Figure 3'!L11</f>
        <v>28.210213916609064</v>
      </c>
      <c r="D10" s="43" t="str">
        <f t="shared" si="1"/>
        <v/>
      </c>
      <c r="E10" s="2">
        <f t="shared" si="2"/>
        <v>16.169114923104644</v>
      </c>
      <c r="F10" s="2">
        <f t="shared" si="3"/>
        <v>16.169114923104644</v>
      </c>
      <c r="G10" s="2" t="str">
        <f t="shared" si="0"/>
        <v/>
      </c>
      <c r="H10" s="2" t="str">
        <f t="shared" si="4"/>
        <v/>
      </c>
      <c r="I10" s="2" t="str">
        <f t="shared" si="5"/>
        <v/>
      </c>
      <c r="J10" s="2" t="str">
        <f t="shared" si="6"/>
        <v/>
      </c>
      <c r="K10" s="2" t="str">
        <f t="shared" si="7"/>
        <v/>
      </c>
      <c r="L10" s="2">
        <f t="shared" si="8"/>
        <v>28.210213916609064</v>
      </c>
      <c r="M10" s="2">
        <f t="shared" si="9"/>
        <v>28.210213916609064</v>
      </c>
      <c r="N10" s="2" t="str">
        <f t="shared" si="10"/>
        <v/>
      </c>
      <c r="O10" s="2" t="str">
        <f t="shared" si="11"/>
        <v/>
      </c>
      <c r="P10" s="2" t="str">
        <f t="shared" si="12"/>
        <v/>
      </c>
      <c r="Q10" s="2" t="str">
        <f t="shared" si="13"/>
        <v/>
      </c>
    </row>
    <row r="11" spans="1:30" ht="15" thickBot="1" x14ac:dyDescent="0.35">
      <c r="A11" s="1">
        <v>-160.708856</v>
      </c>
      <c r="B11" s="43">
        <f>'Full Dataset &amp; Figure 3'!F12</f>
        <v>46.103285072604194</v>
      </c>
      <c r="C11" s="43">
        <f>'Full Dataset &amp; Figure 3'!L12</f>
        <v>1.4897890237625688</v>
      </c>
      <c r="D11" s="43" t="str">
        <f t="shared" si="1"/>
        <v/>
      </c>
      <c r="E11" s="2">
        <f t="shared" si="2"/>
        <v>46.103285072604194</v>
      </c>
      <c r="F11" s="2">
        <f t="shared" si="3"/>
        <v>46.103285072604194</v>
      </c>
      <c r="G11" s="2" t="str">
        <f t="shared" si="0"/>
        <v/>
      </c>
      <c r="H11" s="2" t="str">
        <f t="shared" si="4"/>
        <v/>
      </c>
      <c r="I11" s="2" t="str">
        <f t="shared" si="5"/>
        <v/>
      </c>
      <c r="J11" s="2" t="str">
        <f t="shared" si="6"/>
        <v/>
      </c>
      <c r="K11" s="2" t="str">
        <f t="shared" si="7"/>
        <v/>
      </c>
      <c r="L11" s="2">
        <f t="shared" si="8"/>
        <v>1.4897890237625688</v>
      </c>
      <c r="M11" s="2">
        <f t="shared" si="9"/>
        <v>1.4897890237625688</v>
      </c>
      <c r="N11" s="2" t="str">
        <f t="shared" si="10"/>
        <v/>
      </c>
      <c r="O11" s="2" t="str">
        <f t="shared" si="11"/>
        <v/>
      </c>
      <c r="P11" s="2" t="str">
        <f t="shared" si="12"/>
        <v/>
      </c>
      <c r="Q11" s="2" t="str">
        <f t="shared" si="13"/>
        <v/>
      </c>
      <c r="S11" s="122" t="s">
        <v>133</v>
      </c>
    </row>
    <row r="12" spans="1:30" ht="16.2" thickBot="1" x14ac:dyDescent="0.35">
      <c r="A12" s="1">
        <v>-142.57208578000001</v>
      </c>
      <c r="B12" s="43">
        <f>'Full Dataset &amp; Figure 3'!F13</f>
        <v>11.218652059324086</v>
      </c>
      <c r="C12" s="43">
        <f>'Full Dataset &amp; Figure 3'!L13</f>
        <v>3.829751112498343</v>
      </c>
      <c r="D12" s="43" t="str">
        <f t="shared" si="1"/>
        <v/>
      </c>
      <c r="E12" s="2" t="str">
        <f t="shared" si="2"/>
        <v/>
      </c>
      <c r="F12" s="2">
        <f t="shared" si="3"/>
        <v>11.218652059324086</v>
      </c>
      <c r="G12" s="2">
        <f t="shared" si="0"/>
        <v>11.218652059324086</v>
      </c>
      <c r="H12" s="2" t="str">
        <f t="shared" si="4"/>
        <v/>
      </c>
      <c r="I12" s="2" t="str">
        <f t="shared" si="5"/>
        <v/>
      </c>
      <c r="J12" s="2" t="str">
        <f t="shared" si="6"/>
        <v/>
      </c>
      <c r="K12" s="2" t="str">
        <f t="shared" si="7"/>
        <v/>
      </c>
      <c r="L12" s="2" t="str">
        <f t="shared" si="8"/>
        <v/>
      </c>
      <c r="M12" s="2">
        <f t="shared" si="9"/>
        <v>3.829751112498343</v>
      </c>
      <c r="N12" s="2">
        <f t="shared" si="10"/>
        <v>3.829751112498343</v>
      </c>
      <c r="O12" s="2" t="str">
        <f t="shared" si="11"/>
        <v/>
      </c>
      <c r="P12" s="2" t="str">
        <f t="shared" si="12"/>
        <v/>
      </c>
      <c r="Q12" s="2" t="str">
        <f t="shared" si="13"/>
        <v/>
      </c>
      <c r="S12" s="152" t="s">
        <v>73</v>
      </c>
      <c r="T12" s="152"/>
      <c r="U12" s="152"/>
      <c r="V12" s="152"/>
      <c r="W12" s="152"/>
      <c r="X12" s="152"/>
      <c r="Y12" s="152"/>
      <c r="Z12" s="152"/>
      <c r="AA12" s="152"/>
      <c r="AB12" s="152"/>
      <c r="AC12" s="152"/>
      <c r="AD12" s="152"/>
    </row>
    <row r="13" spans="1:30" ht="24" thickBot="1" x14ac:dyDescent="0.5">
      <c r="A13" s="1">
        <v>-119.44024080000001</v>
      </c>
      <c r="B13" s="43">
        <f>'Full Dataset &amp; Figure 3'!F14</f>
        <v>21.424790855962783</v>
      </c>
      <c r="C13" s="43">
        <f>'Full Dataset &amp; Figure 3'!L14</f>
        <v>12.360898260958493</v>
      </c>
      <c r="D13" s="43" t="str">
        <f t="shared" si="1"/>
        <v/>
      </c>
      <c r="E13" s="2" t="str">
        <f t="shared" si="2"/>
        <v/>
      </c>
      <c r="F13" s="2">
        <f t="shared" si="3"/>
        <v>21.424790855962783</v>
      </c>
      <c r="G13" s="2">
        <f t="shared" ref="G13:G61" si="14">IF(AND(A13&gt;-150,A13&lt;-75),B13,"")</f>
        <v>21.424790855962783</v>
      </c>
      <c r="H13" s="2" t="str">
        <f t="shared" si="4"/>
        <v/>
      </c>
      <c r="I13" s="2" t="str">
        <f t="shared" si="5"/>
        <v/>
      </c>
      <c r="J13" s="2" t="str">
        <f t="shared" si="6"/>
        <v/>
      </c>
      <c r="K13" s="2" t="str">
        <f t="shared" si="7"/>
        <v/>
      </c>
      <c r="L13" s="2" t="str">
        <f t="shared" si="8"/>
        <v/>
      </c>
      <c r="M13" s="2">
        <f t="shared" si="9"/>
        <v>12.360898260958493</v>
      </c>
      <c r="N13" s="2">
        <f t="shared" si="10"/>
        <v>12.360898260958493</v>
      </c>
      <c r="O13" s="2" t="str">
        <f t="shared" si="11"/>
        <v/>
      </c>
      <c r="P13" s="2" t="str">
        <f t="shared" si="12"/>
        <v/>
      </c>
      <c r="Q13" s="2" t="str">
        <f t="shared" si="13"/>
        <v/>
      </c>
      <c r="S13" s="53"/>
      <c r="T13" s="153" t="s">
        <v>47</v>
      </c>
      <c r="U13" s="153"/>
      <c r="V13" s="153"/>
      <c r="W13" s="153"/>
      <c r="X13" s="154"/>
      <c r="Y13" s="155" t="s">
        <v>50</v>
      </c>
      <c r="Z13" s="153"/>
      <c r="AA13" s="153"/>
      <c r="AB13" s="153"/>
      <c r="AC13" s="153"/>
      <c r="AD13" s="54"/>
    </row>
    <row r="14" spans="1:30" ht="40.200000000000003" thickBot="1" x14ac:dyDescent="0.35">
      <c r="A14" s="1">
        <v>-104.5218072</v>
      </c>
      <c r="B14" s="43">
        <f>'Full Dataset &amp; Figure 3'!F15</f>
        <v>5.506945577217266</v>
      </c>
      <c r="C14" s="43">
        <f>'Full Dataset &amp; Figure 3'!L15</f>
        <v>7.7434017753694206</v>
      </c>
      <c r="D14" s="43" t="str">
        <f t="shared" si="1"/>
        <v/>
      </c>
      <c r="E14" s="2" t="str">
        <f t="shared" si="2"/>
        <v/>
      </c>
      <c r="F14" s="2">
        <f t="shared" si="3"/>
        <v>5.506945577217266</v>
      </c>
      <c r="G14" s="2">
        <f t="shared" si="14"/>
        <v>5.506945577217266</v>
      </c>
      <c r="H14" s="2" t="str">
        <f t="shared" si="4"/>
        <v/>
      </c>
      <c r="I14" s="2" t="str">
        <f t="shared" si="5"/>
        <v/>
      </c>
      <c r="J14" s="2" t="str">
        <f t="shared" si="6"/>
        <v/>
      </c>
      <c r="K14" s="2" t="str">
        <f t="shared" si="7"/>
        <v/>
      </c>
      <c r="L14" s="2" t="str">
        <f t="shared" si="8"/>
        <v/>
      </c>
      <c r="M14" s="2">
        <f t="shared" si="9"/>
        <v>7.7434017753694206</v>
      </c>
      <c r="N14" s="2">
        <f t="shared" si="10"/>
        <v>7.7434017753694206</v>
      </c>
      <c r="O14" s="2" t="str">
        <f t="shared" si="11"/>
        <v/>
      </c>
      <c r="P14" s="2" t="str">
        <f t="shared" si="12"/>
        <v/>
      </c>
      <c r="Q14" s="2" t="str">
        <f t="shared" si="13"/>
        <v/>
      </c>
      <c r="S14" s="117" t="s">
        <v>72</v>
      </c>
      <c r="T14" s="118" t="s">
        <v>51</v>
      </c>
      <c r="U14" s="118" t="s">
        <v>55</v>
      </c>
      <c r="V14" s="118" t="s">
        <v>53</v>
      </c>
      <c r="W14" s="118" t="s">
        <v>56</v>
      </c>
      <c r="X14" s="119" t="s">
        <v>57</v>
      </c>
      <c r="Y14" s="118" t="s">
        <v>51</v>
      </c>
      <c r="Z14" s="118" t="s">
        <v>55</v>
      </c>
      <c r="AA14" s="118" t="s">
        <v>53</v>
      </c>
      <c r="AB14" s="118" t="s">
        <v>56</v>
      </c>
      <c r="AC14" s="118" t="s">
        <v>57</v>
      </c>
      <c r="AD14" s="120" t="s">
        <v>67</v>
      </c>
    </row>
    <row r="15" spans="1:30" ht="15.6" x14ac:dyDescent="0.3">
      <c r="A15" s="1">
        <v>-97.706210640000009</v>
      </c>
      <c r="B15" s="43">
        <f>'Full Dataset &amp; Figure 3'!F16</f>
        <v>10.543975584441796</v>
      </c>
      <c r="C15" s="43">
        <f>'Full Dataset &amp; Figure 3'!L16</f>
        <v>22.692593262763694</v>
      </c>
      <c r="D15" s="43" t="str">
        <f t="shared" si="1"/>
        <v/>
      </c>
      <c r="E15" s="2" t="str">
        <f t="shared" si="2"/>
        <v/>
      </c>
      <c r="F15" s="2">
        <f t="shared" si="3"/>
        <v>10.543975584441796</v>
      </c>
      <c r="G15" s="2">
        <f t="shared" si="14"/>
        <v>10.543975584441796</v>
      </c>
      <c r="H15" s="2" t="str">
        <f t="shared" si="4"/>
        <v/>
      </c>
      <c r="I15" s="2" t="str">
        <f t="shared" si="5"/>
        <v/>
      </c>
      <c r="J15" s="2" t="str">
        <f t="shared" si="6"/>
        <v/>
      </c>
      <c r="K15" s="2" t="str">
        <f t="shared" si="7"/>
        <v/>
      </c>
      <c r="L15" s="2" t="str">
        <f t="shared" si="8"/>
        <v/>
      </c>
      <c r="M15" s="2">
        <f t="shared" si="9"/>
        <v>22.692593262763694</v>
      </c>
      <c r="N15" s="2">
        <f t="shared" si="10"/>
        <v>22.692593262763694</v>
      </c>
      <c r="O15" s="2" t="str">
        <f t="shared" si="11"/>
        <v/>
      </c>
      <c r="P15" s="2" t="str">
        <f t="shared" si="12"/>
        <v/>
      </c>
      <c r="Q15" s="2" t="str">
        <f t="shared" si="13"/>
        <v/>
      </c>
      <c r="S15" s="59" t="s">
        <v>129</v>
      </c>
      <c r="T15" s="60">
        <f>AVERAGE(E2:E61)</f>
        <v>18.775230206781998</v>
      </c>
      <c r="U15" s="60">
        <f>MEDIAN(E2:E61)</f>
        <v>14.349441232625395</v>
      </c>
      <c r="V15" s="60">
        <f>_xlfn.STDEV.P(E2:E61)</f>
        <v>19.00221499449766</v>
      </c>
      <c r="W15" s="15">
        <f>MIN(E2:E61)</f>
        <v>0.28976027620956302</v>
      </c>
      <c r="X15" s="61">
        <f>MAX(E2:E61)</f>
        <v>59.356802460970357</v>
      </c>
      <c r="Y15" s="60">
        <f>AVERAGE(L2:L61)</f>
        <v>10.45729421346914</v>
      </c>
      <c r="Z15" s="60">
        <f>MEDIAN(L2:L61)</f>
        <v>10.014304232317954</v>
      </c>
      <c r="AA15" s="60">
        <f>_xlfn.STDEV.P(L2:L61)</f>
        <v>7.9982245062836634</v>
      </c>
      <c r="AB15" s="15">
        <f>MIN(L2:L61)</f>
        <v>1.2589410168584436</v>
      </c>
      <c r="AC15" s="15">
        <f>MAX(L2:L61)</f>
        <v>28.210213916609064</v>
      </c>
      <c r="AD15" s="62">
        <f>COUNT(E2:E61)</f>
        <v>10</v>
      </c>
    </row>
    <row r="16" spans="1:30" ht="15.6" x14ac:dyDescent="0.3">
      <c r="A16" s="1">
        <v>-87.487503360000005</v>
      </c>
      <c r="B16" s="43">
        <f>'Full Dataset &amp; Figure 3'!F17</f>
        <v>22.247377977473661</v>
      </c>
      <c r="C16" s="43">
        <f>'Full Dataset &amp; Figure 3'!L17</f>
        <v>29.89979007630609</v>
      </c>
      <c r="D16" s="43" t="str">
        <f t="shared" si="1"/>
        <v/>
      </c>
      <c r="E16" s="2" t="str">
        <f t="shared" si="2"/>
        <v/>
      </c>
      <c r="F16" s="2">
        <f t="shared" si="3"/>
        <v>22.247377977473661</v>
      </c>
      <c r="G16" s="2">
        <f t="shared" si="14"/>
        <v>22.247377977473661</v>
      </c>
      <c r="H16" s="2" t="str">
        <f t="shared" si="4"/>
        <v/>
      </c>
      <c r="I16" s="2" t="str">
        <f t="shared" si="5"/>
        <v/>
      </c>
      <c r="J16" s="2" t="str">
        <f t="shared" si="6"/>
        <v/>
      </c>
      <c r="K16" s="2" t="str">
        <f t="shared" si="7"/>
        <v/>
      </c>
      <c r="L16" s="2" t="str">
        <f t="shared" si="8"/>
        <v/>
      </c>
      <c r="M16" s="2">
        <f t="shared" si="9"/>
        <v>29.89979007630609</v>
      </c>
      <c r="N16" s="2">
        <f t="shared" si="10"/>
        <v>29.89979007630609</v>
      </c>
      <c r="O16" s="2" t="str">
        <f t="shared" si="11"/>
        <v/>
      </c>
      <c r="P16" s="2" t="str">
        <f t="shared" si="12"/>
        <v/>
      </c>
      <c r="Q16" s="2" t="str">
        <f t="shared" si="13"/>
        <v/>
      </c>
      <c r="S16" s="59" t="s">
        <v>131</v>
      </c>
      <c r="T16" s="60">
        <f>AVERAGE(F2:F61)</f>
        <v>18.475075597234536</v>
      </c>
      <c r="U16" s="60">
        <f>MEDIAN(F2:F61)</f>
        <v>13.693883491214365</v>
      </c>
      <c r="V16" s="60">
        <f>_xlfn.STDEV.P(F2:F61)</f>
        <v>12.795749794797201</v>
      </c>
      <c r="W16" s="15">
        <f>MIN(F2:F61)</f>
        <v>5.506945577217266</v>
      </c>
      <c r="X16" s="61">
        <f>MAX(F2:F61)</f>
        <v>46.103285072604194</v>
      </c>
      <c r="Y16" s="60">
        <f>AVERAGE(M2:M61)</f>
        <v>14.462270500080194</v>
      </c>
      <c r="Z16" s="60">
        <f>MEDIAN(M2:M61)</f>
        <v>13.339028689661063</v>
      </c>
      <c r="AA16" s="60">
        <f>_xlfn.STDEV.P(M2:M61)</f>
        <v>9.8706183111600776</v>
      </c>
      <c r="AB16" s="15">
        <f>MIN(M2:M61)</f>
        <v>1.0183383291587234</v>
      </c>
      <c r="AC16" s="15">
        <f>MAX(M2:M61)</f>
        <v>29.89979007630609</v>
      </c>
      <c r="AD16" s="62">
        <f>COUNT(F2:F61)</f>
        <v>12</v>
      </c>
    </row>
    <row r="17" spans="1:30" ht="16.2" thickBot="1" x14ac:dyDescent="0.35">
      <c r="A17" s="1">
        <v>-85.5</v>
      </c>
      <c r="B17" s="43">
        <f>'Full Dataset &amp; Figure 3'!F18</f>
        <v>8.8710982294287533</v>
      </c>
      <c r="C17" s="43">
        <f>'Full Dataset &amp; Figure 3'!L18</f>
        <v>7.9758918390143663</v>
      </c>
      <c r="D17" s="43" t="str">
        <f t="shared" si="1"/>
        <v/>
      </c>
      <c r="E17" s="2" t="str">
        <f t="shared" si="2"/>
        <v/>
      </c>
      <c r="F17" s="2">
        <f t="shared" si="3"/>
        <v>8.8710982294287533</v>
      </c>
      <c r="G17" s="2">
        <f t="shared" si="14"/>
        <v>8.8710982294287533</v>
      </c>
      <c r="H17" s="2" t="str">
        <f t="shared" si="4"/>
        <v/>
      </c>
      <c r="I17" s="2" t="str">
        <f t="shared" si="5"/>
        <v/>
      </c>
      <c r="J17" s="2" t="str">
        <f t="shared" si="6"/>
        <v/>
      </c>
      <c r="K17" s="2" t="str">
        <f t="shared" si="7"/>
        <v/>
      </c>
      <c r="L17" s="2" t="str">
        <f t="shared" si="8"/>
        <v/>
      </c>
      <c r="M17" s="2">
        <f t="shared" si="9"/>
        <v>7.9758918390143663</v>
      </c>
      <c r="N17" s="2">
        <f t="shared" si="10"/>
        <v>7.9758918390143663</v>
      </c>
      <c r="O17" s="2" t="str">
        <f t="shared" si="11"/>
        <v/>
      </c>
      <c r="P17" s="2" t="str">
        <f t="shared" si="12"/>
        <v/>
      </c>
      <c r="Q17" s="2" t="str">
        <f t="shared" si="13"/>
        <v/>
      </c>
      <c r="S17" s="116" t="s">
        <v>128</v>
      </c>
      <c r="T17" s="121">
        <f>AVERAGE(J2:J61)</f>
        <v>474.13937947123486</v>
      </c>
      <c r="U17" s="60">
        <f>MEDIAN(J2:J61)</f>
        <v>82.726690783747472</v>
      </c>
      <c r="V17" s="60">
        <f>_xlfn.STDEV.P(J2:J61)</f>
        <v>961.51679958626301</v>
      </c>
      <c r="W17" s="15">
        <f>MIN(J2:J61)</f>
        <v>5.9377845155540854</v>
      </c>
      <c r="X17" s="61">
        <f>MAX(J2:J61)</f>
        <v>3780.0070900528226</v>
      </c>
      <c r="Y17" s="60">
        <f>AVERAGE(Q2:Q61)</f>
        <v>18.114425114763435</v>
      </c>
      <c r="Z17" s="60">
        <f>MEDIAN(Q2:Q61)</f>
        <v>15.928556937142275</v>
      </c>
      <c r="AA17" s="60">
        <f>_xlfn.STDEV.P(Q2:Q61)</f>
        <v>11.982745846409498</v>
      </c>
      <c r="AB17" s="15">
        <f>MIN(Q2:Q61)</f>
        <v>0.59860482579097152</v>
      </c>
      <c r="AC17" s="15">
        <f>MAX(Q2:Q61)</f>
        <v>39.984003729186952</v>
      </c>
      <c r="AD17" s="62">
        <f>COUNT(J2:J61)</f>
        <v>16</v>
      </c>
    </row>
    <row r="18" spans="1:30" ht="16.2" thickBot="1" x14ac:dyDescent="0.35">
      <c r="A18" s="1">
        <v>-82.80241765000001</v>
      </c>
      <c r="B18" s="43">
        <f>'Full Dataset &amp; Figure 3'!F19</f>
        <v>42.856935648014769</v>
      </c>
      <c r="C18" s="43">
        <f>'Full Dataset &amp; Figure 3'!L19</f>
        <v>23.818977812770754</v>
      </c>
      <c r="D18" s="43" t="str">
        <f t="shared" si="1"/>
        <v/>
      </c>
      <c r="E18" s="2" t="str">
        <f t="shared" si="2"/>
        <v/>
      </c>
      <c r="F18" s="2">
        <f t="shared" si="3"/>
        <v>42.856935648014769</v>
      </c>
      <c r="G18" s="2">
        <f t="shared" si="14"/>
        <v>42.856935648014769</v>
      </c>
      <c r="H18" s="2" t="str">
        <f t="shared" si="4"/>
        <v/>
      </c>
      <c r="I18" s="2" t="str">
        <f t="shared" si="5"/>
        <v/>
      </c>
      <c r="J18" s="2" t="str">
        <f t="shared" si="6"/>
        <v/>
      </c>
      <c r="K18" s="2" t="str">
        <f t="shared" si="7"/>
        <v/>
      </c>
      <c r="L18" s="2" t="str">
        <f t="shared" si="8"/>
        <v/>
      </c>
      <c r="M18" s="2">
        <f t="shared" si="9"/>
        <v>23.818977812770754</v>
      </c>
      <c r="N18" s="2">
        <f t="shared" si="10"/>
        <v>23.818977812770754</v>
      </c>
      <c r="O18" s="2" t="str">
        <f t="shared" si="11"/>
        <v/>
      </c>
      <c r="P18" s="2" t="str">
        <f t="shared" si="12"/>
        <v/>
      </c>
      <c r="Q18" s="2" t="str">
        <f t="shared" si="13"/>
        <v/>
      </c>
      <c r="S18" s="68" t="s">
        <v>71</v>
      </c>
      <c r="T18" s="69">
        <f>AVERAGE(B2:B61)</f>
        <v>160.46889587579062</v>
      </c>
      <c r="U18" s="69">
        <f>MEDIAN(B2:B61)</f>
        <v>39.199073915951885</v>
      </c>
      <c r="V18" s="69">
        <f>_xlfn.STDEV.P(B2:B61)</f>
        <v>534.28918823525294</v>
      </c>
      <c r="W18" s="70">
        <f>MIN(B2:B61)</f>
        <v>0.28976027620956302</v>
      </c>
      <c r="X18" s="71">
        <f>MAX(B2:B61)</f>
        <v>3780.0070900528226</v>
      </c>
      <c r="Y18" s="69">
        <f>AVERAGE(C2:C61)</f>
        <v>17.733983943646308</v>
      </c>
      <c r="Z18" s="69">
        <f>MEDIAN(C2:C61)</f>
        <v>14.105586989899166</v>
      </c>
      <c r="AA18" s="69">
        <f>_xlfn.STDEV.P(C2:C61)</f>
        <v>13.017321274390735</v>
      </c>
      <c r="AB18" s="70">
        <f>MIN(C2:C61)</f>
        <v>0.59860482579097152</v>
      </c>
      <c r="AC18" s="70">
        <f>MAX(C2:C61)</f>
        <v>53.217510748654604</v>
      </c>
      <c r="AD18" s="72">
        <v>60</v>
      </c>
    </row>
    <row r="19" spans="1:30" x14ac:dyDescent="0.3">
      <c r="A19" s="1">
        <v>-82.403999999999996</v>
      </c>
      <c r="B19" s="43">
        <f>'Full Dataset &amp; Figure 3'!F20</f>
        <v>19.817531879525632</v>
      </c>
      <c r="C19" s="43">
        <f>'Full Dataset &amp; Figure 3'!L20</f>
        <v>14.317159118363634</v>
      </c>
      <c r="D19" s="43" t="str">
        <f t="shared" si="1"/>
        <v/>
      </c>
      <c r="E19" s="2" t="str">
        <f t="shared" si="2"/>
        <v/>
      </c>
      <c r="F19" s="2">
        <f t="shared" si="3"/>
        <v>19.817531879525632</v>
      </c>
      <c r="G19" s="2">
        <f t="shared" si="14"/>
        <v>19.817531879525632</v>
      </c>
      <c r="H19" s="2" t="str">
        <f t="shared" si="4"/>
        <v/>
      </c>
      <c r="I19" s="2" t="str">
        <f t="shared" si="5"/>
        <v/>
      </c>
      <c r="J19" s="2" t="str">
        <f t="shared" si="6"/>
        <v/>
      </c>
      <c r="K19" s="2" t="str">
        <f t="shared" si="7"/>
        <v/>
      </c>
      <c r="L19" s="2" t="str">
        <f t="shared" si="8"/>
        <v/>
      </c>
      <c r="M19" s="2">
        <f t="shared" si="9"/>
        <v>14.317159118363634</v>
      </c>
      <c r="N19" s="2">
        <f t="shared" si="10"/>
        <v>14.317159118363634</v>
      </c>
      <c r="O19" s="2" t="str">
        <f t="shared" si="11"/>
        <v/>
      </c>
      <c r="P19" s="2" t="str">
        <f t="shared" si="12"/>
        <v/>
      </c>
      <c r="Q19" s="2" t="str">
        <f t="shared" si="13"/>
        <v/>
      </c>
    </row>
    <row r="20" spans="1:30" x14ac:dyDescent="0.3">
      <c r="A20" s="1">
        <v>-79.967710749999995</v>
      </c>
      <c r="B20" s="43">
        <f>'Full Dataset &amp; Figure 3'!F21</f>
        <v>9.0970509115140885</v>
      </c>
      <c r="C20" s="43">
        <f>'Full Dataset &amp; Figure 3'!L21</f>
        <v>1.0183383291587234</v>
      </c>
      <c r="D20" s="43" t="str">
        <f t="shared" si="1"/>
        <v/>
      </c>
      <c r="E20" s="2" t="str">
        <f t="shared" si="2"/>
        <v/>
      </c>
      <c r="F20" s="2">
        <f t="shared" si="3"/>
        <v>9.0970509115140885</v>
      </c>
      <c r="G20" s="2">
        <f t="shared" si="14"/>
        <v>9.0970509115140885</v>
      </c>
      <c r="H20" s="2" t="str">
        <f t="shared" si="4"/>
        <v/>
      </c>
      <c r="I20" s="2" t="str">
        <f t="shared" si="5"/>
        <v/>
      </c>
      <c r="J20" s="2" t="str">
        <f t="shared" si="6"/>
        <v/>
      </c>
      <c r="K20" s="2" t="str">
        <f t="shared" si="7"/>
        <v/>
      </c>
      <c r="L20" s="2" t="str">
        <f t="shared" si="8"/>
        <v/>
      </c>
      <c r="M20" s="2">
        <f t="shared" si="9"/>
        <v>1.0183383291587234</v>
      </c>
      <c r="N20" s="2">
        <f t="shared" si="10"/>
        <v>1.0183383291587234</v>
      </c>
      <c r="O20" s="2" t="str">
        <f t="shared" si="11"/>
        <v/>
      </c>
      <c r="P20" s="2" t="str">
        <f t="shared" si="12"/>
        <v/>
      </c>
      <c r="Q20" s="2" t="str">
        <f t="shared" si="13"/>
        <v/>
      </c>
    </row>
    <row r="21" spans="1:30" x14ac:dyDescent="0.3">
      <c r="A21" s="1">
        <v>-75.770754719999999</v>
      </c>
      <c r="B21" s="43">
        <f>'Full Dataset &amp; Figure 3'!F22</f>
        <v>7.844148448202759</v>
      </c>
      <c r="C21" s="43">
        <f>'Full Dataset &amp; Figure 3'!L22</f>
        <v>20.190441473387182</v>
      </c>
      <c r="D21" s="43" t="str">
        <f t="shared" si="1"/>
        <v/>
      </c>
      <c r="E21" s="2" t="str">
        <f t="shared" si="2"/>
        <v/>
      </c>
      <c r="F21" s="2">
        <f t="shared" si="3"/>
        <v>7.844148448202759</v>
      </c>
      <c r="G21" s="2">
        <f t="shared" si="14"/>
        <v>7.844148448202759</v>
      </c>
      <c r="H21" s="2" t="str">
        <f t="shared" si="4"/>
        <v/>
      </c>
      <c r="I21" s="2" t="str">
        <f t="shared" si="5"/>
        <v/>
      </c>
      <c r="J21" s="2" t="str">
        <f t="shared" si="6"/>
        <v/>
      </c>
      <c r="K21" s="2" t="str">
        <f t="shared" si="7"/>
        <v/>
      </c>
      <c r="L21" s="2" t="str">
        <f t="shared" si="8"/>
        <v/>
      </c>
      <c r="M21" s="2">
        <f t="shared" si="9"/>
        <v>20.190441473387182</v>
      </c>
      <c r="N21" s="2">
        <f t="shared" si="10"/>
        <v>20.190441473387182</v>
      </c>
      <c r="O21" s="2" t="str">
        <f t="shared" si="11"/>
        <v/>
      </c>
      <c r="P21" s="2" t="str">
        <f t="shared" si="12"/>
        <v/>
      </c>
      <c r="Q21" s="2" t="str">
        <f t="shared" si="13"/>
        <v/>
      </c>
    </row>
    <row r="22" spans="1:30" x14ac:dyDescent="0.3">
      <c r="A22" s="1">
        <v>-70.3590102</v>
      </c>
      <c r="B22" s="43">
        <f>'Full Dataset &amp; Figure 3'!F23</f>
        <v>21.350378677016124</v>
      </c>
      <c r="C22" s="43">
        <f>'Full Dataset &amp; Figure 3'!L23</f>
        <v>12.744484534487128</v>
      </c>
      <c r="D22" s="43" t="str">
        <f t="shared" si="1"/>
        <v/>
      </c>
      <c r="E22" s="2" t="str">
        <f t="shared" si="2"/>
        <v/>
      </c>
      <c r="F22" s="2" t="str">
        <f t="shared" si="3"/>
        <v/>
      </c>
      <c r="G22" s="2" t="str">
        <f t="shared" si="14"/>
        <v/>
      </c>
      <c r="H22" s="2">
        <f>IF(A22&gt;-75,B22,"")</f>
        <v>21.350378677016124</v>
      </c>
      <c r="I22" s="2">
        <f t="shared" si="5"/>
        <v>21.350378677016124</v>
      </c>
      <c r="J22" s="2" t="str">
        <f t="shared" si="6"/>
        <v/>
      </c>
      <c r="K22" s="2" t="str">
        <f t="shared" si="7"/>
        <v/>
      </c>
      <c r="L22" s="2" t="str">
        <f t="shared" si="8"/>
        <v/>
      </c>
      <c r="M22" s="2" t="str">
        <f t="shared" si="9"/>
        <v/>
      </c>
      <c r="N22" s="2" t="str">
        <f t="shared" si="10"/>
        <v/>
      </c>
      <c r="O22" s="2">
        <f t="shared" si="11"/>
        <v>12.744484534487128</v>
      </c>
      <c r="P22" s="2">
        <f t="shared" si="12"/>
        <v>12.744484534487128</v>
      </c>
      <c r="Q22" s="2" t="str">
        <f t="shared" si="13"/>
        <v/>
      </c>
    </row>
    <row r="23" spans="1:30" x14ac:dyDescent="0.3">
      <c r="A23" s="1">
        <v>-65.250964819999993</v>
      </c>
      <c r="B23" s="43">
        <f>'Full Dataset &amp; Figure 3'!F24</f>
        <v>23.694312729639933</v>
      </c>
      <c r="C23" s="43">
        <f>'Full Dataset &amp; Figure 3'!L24</f>
        <v>12.976280566072091</v>
      </c>
      <c r="D23" s="43" t="str">
        <f t="shared" si="1"/>
        <v/>
      </c>
      <c r="E23" s="2" t="str">
        <f t="shared" si="2"/>
        <v/>
      </c>
      <c r="F23" s="2" t="str">
        <f t="shared" si="3"/>
        <v/>
      </c>
      <c r="G23" s="2" t="str">
        <f t="shared" si="14"/>
        <v/>
      </c>
      <c r="H23" s="2">
        <f t="shared" si="4"/>
        <v>23.694312729639933</v>
      </c>
      <c r="I23" s="2">
        <f t="shared" si="5"/>
        <v>23.694312729639933</v>
      </c>
      <c r="J23" s="2" t="str">
        <f t="shared" si="6"/>
        <v/>
      </c>
      <c r="K23" s="2" t="str">
        <f t="shared" si="7"/>
        <v/>
      </c>
      <c r="L23" s="2" t="str">
        <f t="shared" si="8"/>
        <v/>
      </c>
      <c r="M23" s="2" t="str">
        <f t="shared" si="9"/>
        <v/>
      </c>
      <c r="N23" s="2" t="str">
        <f t="shared" si="10"/>
        <v/>
      </c>
      <c r="O23" s="2">
        <f t="shared" si="11"/>
        <v>12.976280566072091</v>
      </c>
      <c r="P23" s="2">
        <f t="shared" si="12"/>
        <v>12.976280566072091</v>
      </c>
      <c r="Q23" s="2" t="str">
        <f t="shared" si="13"/>
        <v/>
      </c>
    </row>
    <row r="24" spans="1:30" x14ac:dyDescent="0.3">
      <c r="A24" s="1">
        <v>-63.109757579999993</v>
      </c>
      <c r="B24" s="43">
        <f>'Full Dataset &amp; Figure 3'!F25</f>
        <v>73.986397837288678</v>
      </c>
      <c r="C24" s="43">
        <f>'Full Dataset &amp; Figure 3'!L25</f>
        <v>39.107546681771055</v>
      </c>
      <c r="D24" s="43" t="str">
        <f t="shared" si="1"/>
        <v/>
      </c>
      <c r="E24" s="2" t="str">
        <f t="shared" si="2"/>
        <v/>
      </c>
      <c r="F24" s="2" t="str">
        <f t="shared" si="3"/>
        <v/>
      </c>
      <c r="G24" s="2" t="str">
        <f t="shared" si="14"/>
        <v/>
      </c>
      <c r="H24" s="2">
        <f t="shared" si="4"/>
        <v>73.986397837288678</v>
      </c>
      <c r="I24" s="2">
        <f t="shared" si="5"/>
        <v>73.986397837288678</v>
      </c>
      <c r="J24" s="2" t="str">
        <f t="shared" si="6"/>
        <v/>
      </c>
      <c r="K24" s="2" t="str">
        <f t="shared" si="7"/>
        <v/>
      </c>
      <c r="L24" s="2" t="str">
        <f t="shared" si="8"/>
        <v/>
      </c>
      <c r="M24" s="2" t="str">
        <f t="shared" si="9"/>
        <v/>
      </c>
      <c r="N24" s="2" t="str">
        <f t="shared" si="10"/>
        <v/>
      </c>
      <c r="O24" s="2">
        <f t="shared" si="11"/>
        <v>39.107546681771055</v>
      </c>
      <c r="P24" s="2">
        <f t="shared" si="12"/>
        <v>39.107546681771055</v>
      </c>
      <c r="Q24" s="2" t="str">
        <f t="shared" si="13"/>
        <v/>
      </c>
    </row>
    <row r="25" spans="1:30" x14ac:dyDescent="0.3">
      <c r="A25" s="1">
        <v>-60.261200000000002</v>
      </c>
      <c r="B25" s="43">
        <f>'Full Dataset &amp; Figure 3'!F26</f>
        <v>30.36091699032113</v>
      </c>
      <c r="C25" s="43">
        <f>'Full Dataset &amp; Figure 3'!L26</f>
        <v>39.524275932926685</v>
      </c>
      <c r="D25" s="43" t="str">
        <f t="shared" si="1"/>
        <v/>
      </c>
      <c r="E25" s="2" t="str">
        <f t="shared" si="2"/>
        <v/>
      </c>
      <c r="F25" s="2" t="str">
        <f t="shared" si="3"/>
        <v/>
      </c>
      <c r="G25" s="2" t="str">
        <f t="shared" si="14"/>
        <v/>
      </c>
      <c r="H25" s="2">
        <f t="shared" si="4"/>
        <v>30.36091699032113</v>
      </c>
      <c r="I25" s="2">
        <f t="shared" si="5"/>
        <v>30.36091699032113</v>
      </c>
      <c r="J25" s="2" t="str">
        <f t="shared" si="6"/>
        <v/>
      </c>
      <c r="K25" s="2" t="str">
        <f t="shared" si="7"/>
        <v/>
      </c>
      <c r="L25" s="2" t="str">
        <f t="shared" si="8"/>
        <v/>
      </c>
      <c r="M25" s="2" t="str">
        <f t="shared" si="9"/>
        <v/>
      </c>
      <c r="N25" s="2" t="str">
        <f t="shared" si="10"/>
        <v/>
      </c>
      <c r="O25" s="2">
        <f t="shared" si="11"/>
        <v>39.524275932926685</v>
      </c>
      <c r="P25" s="2">
        <f t="shared" si="12"/>
        <v>39.524275932926685</v>
      </c>
      <c r="Q25" s="2" t="str">
        <f t="shared" si="13"/>
        <v/>
      </c>
    </row>
    <row r="26" spans="1:30" x14ac:dyDescent="0.3">
      <c r="A26" s="1">
        <v>-56.500067000000001</v>
      </c>
      <c r="B26" s="43">
        <f>'Full Dataset &amp; Figure 3'!F27</f>
        <v>50.149175146361813</v>
      </c>
      <c r="C26" s="43">
        <f>'Full Dataset &amp; Figure 3'!L27</f>
        <v>5.0604524288792163</v>
      </c>
      <c r="D26" s="43" t="str">
        <f t="shared" si="1"/>
        <v/>
      </c>
      <c r="E26" s="2" t="str">
        <f t="shared" si="2"/>
        <v/>
      </c>
      <c r="F26" s="2" t="str">
        <f t="shared" si="3"/>
        <v/>
      </c>
      <c r="G26" s="2" t="str">
        <f t="shared" si="14"/>
        <v/>
      </c>
      <c r="H26" s="2">
        <f t="shared" si="4"/>
        <v>50.149175146361813</v>
      </c>
      <c r="I26" s="2">
        <f t="shared" si="5"/>
        <v>50.149175146361813</v>
      </c>
      <c r="J26" s="2" t="str">
        <f t="shared" si="6"/>
        <v/>
      </c>
      <c r="K26" s="2" t="str">
        <f t="shared" si="7"/>
        <v/>
      </c>
      <c r="L26" s="2" t="str">
        <f t="shared" si="8"/>
        <v/>
      </c>
      <c r="M26" s="2" t="str">
        <f t="shared" si="9"/>
        <v/>
      </c>
      <c r="N26" s="2" t="str">
        <f t="shared" si="10"/>
        <v/>
      </c>
      <c r="O26" s="2">
        <f t="shared" si="11"/>
        <v>5.0604524288792163</v>
      </c>
      <c r="P26" s="2">
        <f t="shared" si="12"/>
        <v>5.0604524288792163</v>
      </c>
      <c r="Q26" s="2" t="str">
        <f t="shared" si="13"/>
        <v/>
      </c>
    </row>
    <row r="27" spans="1:30" x14ac:dyDescent="0.3">
      <c r="A27" s="1">
        <v>-53.126919360000002</v>
      </c>
      <c r="B27" s="43">
        <f>'Full Dataset &amp; Figure 3'!F28</f>
        <v>122.84412728156894</v>
      </c>
      <c r="C27" s="43">
        <f>'Full Dataset &amp; Figure 3'!L28</f>
        <v>48.002535441191867</v>
      </c>
      <c r="D27" s="43" t="str">
        <f t="shared" si="1"/>
        <v/>
      </c>
      <c r="E27" s="2" t="str">
        <f t="shared" si="2"/>
        <v/>
      </c>
      <c r="F27" s="2" t="str">
        <f t="shared" si="3"/>
        <v/>
      </c>
      <c r="G27" s="2" t="str">
        <f t="shared" si="14"/>
        <v/>
      </c>
      <c r="H27" s="2">
        <f t="shared" si="4"/>
        <v>122.84412728156894</v>
      </c>
      <c r="I27" s="2">
        <f t="shared" si="5"/>
        <v>122.84412728156894</v>
      </c>
      <c r="J27" s="2" t="str">
        <f t="shared" si="6"/>
        <v/>
      </c>
      <c r="K27" s="2" t="str">
        <f t="shared" si="7"/>
        <v/>
      </c>
      <c r="L27" s="2" t="str">
        <f t="shared" si="8"/>
        <v/>
      </c>
      <c r="M27" s="2" t="str">
        <f t="shared" si="9"/>
        <v/>
      </c>
      <c r="N27" s="2" t="str">
        <f t="shared" si="10"/>
        <v/>
      </c>
      <c r="O27" s="2">
        <f t="shared" si="11"/>
        <v>48.002535441191867</v>
      </c>
      <c r="P27" s="2">
        <f t="shared" si="12"/>
        <v>48.002535441191867</v>
      </c>
      <c r="Q27" s="2" t="str">
        <f t="shared" si="13"/>
        <v/>
      </c>
    </row>
    <row r="28" spans="1:30" ht="15.45" customHeight="1" x14ac:dyDescent="0.3">
      <c r="A28" s="1">
        <v>-35.485065616</v>
      </c>
      <c r="B28" s="43">
        <f>'Full Dataset &amp; Figure 3'!F29</f>
        <v>382.2932109888643</v>
      </c>
      <c r="C28" s="43">
        <f>'Full Dataset &amp; Figure 3'!L29</f>
        <v>2.937308979453519</v>
      </c>
      <c r="D28" s="43" t="str">
        <f t="shared" si="1"/>
        <v/>
      </c>
      <c r="E28" s="2" t="str">
        <f t="shared" si="2"/>
        <v/>
      </c>
      <c r="F28" s="2" t="str">
        <f t="shared" si="3"/>
        <v/>
      </c>
      <c r="G28" s="2" t="str">
        <f t="shared" si="14"/>
        <v/>
      </c>
      <c r="H28" s="2">
        <f t="shared" si="4"/>
        <v>382.2932109888643</v>
      </c>
      <c r="I28" s="2">
        <f t="shared" si="5"/>
        <v>382.2932109888643</v>
      </c>
      <c r="J28" s="2" t="str">
        <f t="shared" si="6"/>
        <v/>
      </c>
      <c r="K28" s="2" t="str">
        <f t="shared" si="7"/>
        <v/>
      </c>
      <c r="L28" s="2" t="str">
        <f t="shared" si="8"/>
        <v/>
      </c>
      <c r="M28" s="2" t="str">
        <f t="shared" si="9"/>
        <v/>
      </c>
      <c r="N28" s="2" t="str">
        <f t="shared" si="10"/>
        <v/>
      </c>
      <c r="O28" s="2">
        <f t="shared" si="11"/>
        <v>2.937308979453519</v>
      </c>
      <c r="P28" s="2">
        <f t="shared" si="12"/>
        <v>2.937308979453519</v>
      </c>
      <c r="Q28" s="2" t="str">
        <f t="shared" si="13"/>
        <v/>
      </c>
    </row>
    <row r="29" spans="1:30" x14ac:dyDescent="0.3">
      <c r="A29" s="1">
        <v>-47.279749391999992</v>
      </c>
      <c r="B29" s="43">
        <f>'Full Dataset &amp; Figure 3'!F30</f>
        <v>34.623116460861638</v>
      </c>
      <c r="C29" s="43">
        <f>'Full Dataset &amp; Figure 3'!L30</f>
        <v>12.493962189182639</v>
      </c>
      <c r="D29" s="43" t="str">
        <f t="shared" si="1"/>
        <v/>
      </c>
      <c r="E29" s="2" t="str">
        <f t="shared" si="2"/>
        <v/>
      </c>
      <c r="F29" s="2" t="str">
        <f t="shared" si="3"/>
        <v/>
      </c>
      <c r="G29" s="2" t="str">
        <f t="shared" si="14"/>
        <v/>
      </c>
      <c r="H29" s="2">
        <f t="shared" si="4"/>
        <v>34.623116460861638</v>
      </c>
      <c r="I29" s="2">
        <f t="shared" si="5"/>
        <v>34.623116460861638</v>
      </c>
      <c r="J29" s="2" t="str">
        <f t="shared" si="6"/>
        <v/>
      </c>
      <c r="K29" s="2" t="str">
        <f t="shared" si="7"/>
        <v/>
      </c>
      <c r="L29" s="2" t="str">
        <f t="shared" si="8"/>
        <v/>
      </c>
      <c r="M29" s="2" t="str">
        <f t="shared" si="9"/>
        <v/>
      </c>
      <c r="N29" s="2" t="str">
        <f t="shared" si="10"/>
        <v/>
      </c>
      <c r="O29" s="2">
        <f t="shared" si="11"/>
        <v>12.493962189182639</v>
      </c>
      <c r="P29" s="2">
        <f t="shared" si="12"/>
        <v>12.493962189182639</v>
      </c>
      <c r="Q29" s="2" t="str">
        <f t="shared" si="13"/>
        <v/>
      </c>
    </row>
    <row r="30" spans="1:30" x14ac:dyDescent="0.3">
      <c r="A30" s="1">
        <v>-44.853995359999999</v>
      </c>
      <c r="B30" s="43">
        <f>'Full Dataset &amp; Figure 3'!F31</f>
        <v>13.350133239291608</v>
      </c>
      <c r="C30" s="43">
        <f>'Full Dataset &amp; Figure 3'!L31</f>
        <v>11.366270994767547</v>
      </c>
      <c r="D30" s="43" t="str">
        <f t="shared" si="1"/>
        <v/>
      </c>
      <c r="E30" s="2" t="str">
        <f t="shared" si="2"/>
        <v/>
      </c>
      <c r="F30" s="2" t="str">
        <f t="shared" si="3"/>
        <v/>
      </c>
      <c r="G30" s="2" t="str">
        <f t="shared" si="14"/>
        <v/>
      </c>
      <c r="H30" s="2">
        <f t="shared" si="4"/>
        <v>13.350133239291608</v>
      </c>
      <c r="I30" s="2">
        <f t="shared" si="5"/>
        <v>13.350133239291608</v>
      </c>
      <c r="J30" s="2" t="str">
        <f t="shared" si="6"/>
        <v/>
      </c>
      <c r="K30" s="2" t="str">
        <f t="shared" si="7"/>
        <v/>
      </c>
      <c r="L30" s="2" t="str">
        <f t="shared" si="8"/>
        <v/>
      </c>
      <c r="M30" s="2" t="str">
        <f t="shared" si="9"/>
        <v/>
      </c>
      <c r="N30" s="2" t="str">
        <f t="shared" si="10"/>
        <v/>
      </c>
      <c r="O30" s="2">
        <f t="shared" si="11"/>
        <v>11.366270994767547</v>
      </c>
      <c r="P30" s="2">
        <f t="shared" si="12"/>
        <v>11.366270994767547</v>
      </c>
      <c r="Q30" s="2" t="str">
        <f t="shared" si="13"/>
        <v/>
      </c>
    </row>
    <row r="31" spans="1:30" x14ac:dyDescent="0.3">
      <c r="A31" s="1">
        <v>-44.02282499999999</v>
      </c>
      <c r="B31" s="43">
        <f>'Full Dataset &amp; Figure 3'!F32</f>
        <v>211.89682321390137</v>
      </c>
      <c r="C31" s="43">
        <f>'Full Dataset &amp; Figure 3'!L32</f>
        <v>46.750618553487584</v>
      </c>
      <c r="D31" s="43" t="str">
        <f t="shared" si="1"/>
        <v/>
      </c>
      <c r="E31" s="2" t="str">
        <f t="shared" si="2"/>
        <v/>
      </c>
      <c r="F31" s="2" t="str">
        <f t="shared" si="3"/>
        <v/>
      </c>
      <c r="G31" s="2" t="str">
        <f t="shared" si="14"/>
        <v/>
      </c>
      <c r="H31" s="2">
        <f t="shared" si="4"/>
        <v>211.89682321390137</v>
      </c>
      <c r="I31" s="2">
        <f t="shared" si="5"/>
        <v>211.89682321390137</v>
      </c>
      <c r="J31" s="2" t="str">
        <f t="shared" si="6"/>
        <v/>
      </c>
      <c r="K31" s="2" t="str">
        <f t="shared" si="7"/>
        <v/>
      </c>
      <c r="L31" s="2" t="str">
        <f t="shared" si="8"/>
        <v/>
      </c>
      <c r="M31" s="2" t="str">
        <f t="shared" si="9"/>
        <v/>
      </c>
      <c r="N31" s="2" t="str">
        <f t="shared" si="10"/>
        <v/>
      </c>
      <c r="O31" s="2">
        <f t="shared" si="11"/>
        <v>46.750618553487584</v>
      </c>
      <c r="P31" s="2">
        <f t="shared" si="12"/>
        <v>46.750618553487584</v>
      </c>
      <c r="Q31" s="2" t="str">
        <f t="shared" si="13"/>
        <v/>
      </c>
    </row>
    <row r="32" spans="1:30" x14ac:dyDescent="0.3">
      <c r="A32" s="1">
        <v>-42.80259564</v>
      </c>
      <c r="B32" s="43">
        <f>'Full Dataset &amp; Figure 3'!F33</f>
        <v>54.136736383661628</v>
      </c>
      <c r="C32" s="43">
        <f>'Full Dataset &amp; Figure 3'!L33</f>
        <v>53.217510748654604</v>
      </c>
      <c r="D32" s="43" t="str">
        <f t="shared" si="1"/>
        <v/>
      </c>
      <c r="E32" s="2" t="str">
        <f t="shared" si="2"/>
        <v/>
      </c>
      <c r="F32" s="2" t="str">
        <f t="shared" si="3"/>
        <v/>
      </c>
      <c r="G32" s="2" t="str">
        <f t="shared" si="14"/>
        <v/>
      </c>
      <c r="H32" s="2">
        <f t="shared" si="4"/>
        <v>54.136736383661628</v>
      </c>
      <c r="I32" s="2">
        <f t="shared" si="5"/>
        <v>54.136736383661628</v>
      </c>
      <c r="J32" s="2" t="str">
        <f t="shared" si="6"/>
        <v/>
      </c>
      <c r="K32" s="2" t="str">
        <f t="shared" si="7"/>
        <v/>
      </c>
      <c r="L32" s="2" t="str">
        <f t="shared" si="8"/>
        <v/>
      </c>
      <c r="M32" s="2" t="str">
        <f t="shared" si="9"/>
        <v/>
      </c>
      <c r="N32" s="2" t="str">
        <f t="shared" si="10"/>
        <v/>
      </c>
      <c r="O32" s="2">
        <f t="shared" si="11"/>
        <v>53.217510748654604</v>
      </c>
      <c r="P32" s="2">
        <f t="shared" si="12"/>
        <v>53.217510748654604</v>
      </c>
      <c r="Q32" s="2" t="str">
        <f t="shared" si="13"/>
        <v/>
      </c>
    </row>
    <row r="33" spans="1:17" x14ac:dyDescent="0.3">
      <c r="A33" s="1">
        <v>-42.298070289000009</v>
      </c>
      <c r="B33" s="43">
        <f>'Full Dataset &amp; Figure 3'!F34</f>
        <v>2.7370093006175011</v>
      </c>
      <c r="C33" s="43">
        <f>'Full Dataset &amp; Figure 3'!L34</f>
        <v>7.846003855811432</v>
      </c>
      <c r="D33" s="43" t="str">
        <f t="shared" si="1"/>
        <v/>
      </c>
      <c r="E33" s="2" t="str">
        <f t="shared" si="2"/>
        <v/>
      </c>
      <c r="F33" s="2" t="str">
        <f t="shared" si="3"/>
        <v/>
      </c>
      <c r="G33" s="2" t="str">
        <f t="shared" si="14"/>
        <v/>
      </c>
      <c r="H33" s="2">
        <f t="shared" si="4"/>
        <v>2.7370093006175011</v>
      </c>
      <c r="I33" s="2">
        <f t="shared" si="5"/>
        <v>2.7370093006175011</v>
      </c>
      <c r="J33" s="2" t="str">
        <f t="shared" si="6"/>
        <v/>
      </c>
      <c r="K33" s="2" t="str">
        <f t="shared" si="7"/>
        <v/>
      </c>
      <c r="L33" s="2" t="str">
        <f t="shared" si="8"/>
        <v/>
      </c>
      <c r="M33" s="2" t="str">
        <f t="shared" si="9"/>
        <v/>
      </c>
      <c r="N33" s="2" t="str">
        <f t="shared" si="10"/>
        <v/>
      </c>
      <c r="O33" s="2">
        <f t="shared" si="11"/>
        <v>7.846003855811432</v>
      </c>
      <c r="P33" s="2">
        <f t="shared" si="12"/>
        <v>7.846003855811432</v>
      </c>
      <c r="Q33" s="2" t="str">
        <f t="shared" si="13"/>
        <v/>
      </c>
    </row>
    <row r="34" spans="1:17" x14ac:dyDescent="0.3">
      <c r="A34" s="1">
        <v>-40.174978400000001</v>
      </c>
      <c r="B34" s="43">
        <f>'Full Dataset &amp; Figure 3'!F35</f>
        <v>22.519845695933327</v>
      </c>
      <c r="C34" s="43">
        <f>'Full Dataset &amp; Figure 3'!L35</f>
        <v>19.833444629330188</v>
      </c>
      <c r="D34" s="43" t="str">
        <f t="shared" si="1"/>
        <v/>
      </c>
      <c r="E34" s="2" t="str">
        <f t="shared" si="2"/>
        <v/>
      </c>
      <c r="F34" s="2" t="str">
        <f t="shared" si="3"/>
        <v/>
      </c>
      <c r="G34" s="2" t="str">
        <f t="shared" si="14"/>
        <v/>
      </c>
      <c r="H34" s="2">
        <f t="shared" si="4"/>
        <v>22.519845695933327</v>
      </c>
      <c r="I34" s="2">
        <f t="shared" si="5"/>
        <v>22.519845695933327</v>
      </c>
      <c r="J34" s="2" t="str">
        <f t="shared" si="6"/>
        <v/>
      </c>
      <c r="K34" s="2" t="str">
        <f t="shared" si="7"/>
        <v/>
      </c>
      <c r="L34" s="2" t="str">
        <f t="shared" si="8"/>
        <v/>
      </c>
      <c r="M34" s="2" t="str">
        <f t="shared" si="9"/>
        <v/>
      </c>
      <c r="N34" s="2" t="str">
        <f t="shared" si="10"/>
        <v/>
      </c>
      <c r="O34" s="2">
        <f t="shared" si="11"/>
        <v>19.833444629330188</v>
      </c>
      <c r="P34" s="2">
        <f t="shared" si="12"/>
        <v>19.833444629330188</v>
      </c>
      <c r="Q34" s="2" t="str">
        <f t="shared" si="13"/>
        <v/>
      </c>
    </row>
    <row r="35" spans="1:17" x14ac:dyDescent="0.3">
      <c r="A35" s="1">
        <v>-38.741413140000006</v>
      </c>
      <c r="B35" s="43">
        <f>'Full Dataset &amp; Figure 3'!F36</f>
        <v>46.22852893662639</v>
      </c>
      <c r="C35" s="43">
        <f>'Full Dataset &amp; Figure 3'!L36</f>
        <v>1.0457544552627951</v>
      </c>
      <c r="D35" s="43" t="str">
        <f t="shared" si="1"/>
        <v/>
      </c>
      <c r="E35" s="2" t="str">
        <f t="shared" si="2"/>
        <v/>
      </c>
      <c r="F35" s="2" t="str">
        <f t="shared" si="3"/>
        <v/>
      </c>
      <c r="G35" s="2" t="str">
        <f t="shared" si="14"/>
        <v/>
      </c>
      <c r="H35" s="2">
        <f t="shared" si="4"/>
        <v>46.22852893662639</v>
      </c>
      <c r="I35" s="2">
        <f t="shared" si="5"/>
        <v>46.22852893662639</v>
      </c>
      <c r="J35" s="2" t="str">
        <f t="shared" si="6"/>
        <v/>
      </c>
      <c r="K35" s="2" t="str">
        <f t="shared" si="7"/>
        <v/>
      </c>
      <c r="L35" s="2" t="str">
        <f t="shared" si="8"/>
        <v/>
      </c>
      <c r="M35" s="2" t="str">
        <f t="shared" si="9"/>
        <v/>
      </c>
      <c r="N35" s="2" t="str">
        <f t="shared" si="10"/>
        <v/>
      </c>
      <c r="O35" s="2">
        <f t="shared" si="11"/>
        <v>1.0457544552627951</v>
      </c>
      <c r="P35" s="2">
        <f t="shared" si="12"/>
        <v>1.0457544552627951</v>
      </c>
      <c r="Q35" s="2" t="str">
        <f t="shared" si="13"/>
        <v/>
      </c>
    </row>
    <row r="36" spans="1:17" x14ac:dyDescent="0.3">
      <c r="A36" s="1">
        <v>-38.537550926000002</v>
      </c>
      <c r="B36" s="43">
        <f>'Full Dataset &amp; Figure 3'!F37</f>
        <v>106.83882901794277</v>
      </c>
      <c r="C36" s="43">
        <f>'Full Dataset &amp; Figure 3'!L37</f>
        <v>33.019215149106458</v>
      </c>
      <c r="D36" s="43" t="str">
        <f t="shared" si="1"/>
        <v/>
      </c>
      <c r="E36" s="2" t="str">
        <f t="shared" si="2"/>
        <v/>
      </c>
      <c r="F36" s="2" t="str">
        <f t="shared" si="3"/>
        <v/>
      </c>
      <c r="G36" s="2" t="str">
        <f t="shared" si="14"/>
        <v/>
      </c>
      <c r="H36" s="2">
        <f t="shared" si="4"/>
        <v>106.83882901794277</v>
      </c>
      <c r="I36" s="2">
        <f t="shared" si="5"/>
        <v>106.83882901794277</v>
      </c>
      <c r="J36" s="2" t="str">
        <f t="shared" si="6"/>
        <v/>
      </c>
      <c r="K36" s="2" t="str">
        <f t="shared" si="7"/>
        <v/>
      </c>
      <c r="L36" s="2" t="str">
        <f t="shared" si="8"/>
        <v/>
      </c>
      <c r="M36" s="2" t="str">
        <f t="shared" si="9"/>
        <v/>
      </c>
      <c r="N36" s="2" t="str">
        <f t="shared" si="10"/>
        <v/>
      </c>
      <c r="O36" s="2">
        <f t="shared" si="11"/>
        <v>33.019215149106458</v>
      </c>
      <c r="P36" s="2">
        <f t="shared" si="12"/>
        <v>33.019215149106458</v>
      </c>
      <c r="Q36" s="2" t="str">
        <f t="shared" si="13"/>
        <v/>
      </c>
    </row>
    <row r="37" spans="1:17" x14ac:dyDescent="0.3">
      <c r="A37" s="1">
        <v>-35.572755946000001</v>
      </c>
      <c r="B37" s="43">
        <f>'Full Dataset &amp; Figure 3'!F38</f>
        <v>63.183228210546076</v>
      </c>
      <c r="C37" s="43">
        <f>'Full Dataset &amp; Figure 3'!L38</f>
        <v>29.569172307383269</v>
      </c>
      <c r="D37" s="43" t="str">
        <f t="shared" si="1"/>
        <v/>
      </c>
      <c r="E37" s="2" t="str">
        <f t="shared" si="2"/>
        <v/>
      </c>
      <c r="F37" s="2" t="str">
        <f t="shared" si="3"/>
        <v/>
      </c>
      <c r="G37" s="2" t="str">
        <f t="shared" si="14"/>
        <v/>
      </c>
      <c r="H37" s="2">
        <f t="shared" si="4"/>
        <v>63.183228210546076</v>
      </c>
      <c r="I37" s="2">
        <f t="shared" si="5"/>
        <v>63.183228210546076</v>
      </c>
      <c r="J37" s="2" t="str">
        <f t="shared" si="6"/>
        <v/>
      </c>
      <c r="K37" s="2" t="str">
        <f t="shared" si="7"/>
        <v/>
      </c>
      <c r="L37" s="2" t="str">
        <f t="shared" si="8"/>
        <v/>
      </c>
      <c r="M37" s="2" t="str">
        <f t="shared" si="9"/>
        <v/>
      </c>
      <c r="N37" s="2" t="str">
        <f t="shared" si="10"/>
        <v/>
      </c>
      <c r="O37" s="2">
        <f t="shared" si="11"/>
        <v>29.569172307383269</v>
      </c>
      <c r="P37" s="2">
        <f t="shared" si="12"/>
        <v>29.569172307383269</v>
      </c>
      <c r="Q37" s="2" t="str">
        <f t="shared" si="13"/>
        <v/>
      </c>
    </row>
    <row r="38" spans="1:17" x14ac:dyDescent="0.3">
      <c r="A38" s="1">
        <v>-30.75952113</v>
      </c>
      <c r="B38" s="43">
        <f>'Full Dataset &amp; Figure 3'!F39</f>
        <v>52.271622814005241</v>
      </c>
      <c r="C38" s="43">
        <f>'Full Dataset &amp; Figure 3'!L39</f>
        <v>39.415715021314099</v>
      </c>
      <c r="D38" s="43" t="str">
        <f t="shared" si="1"/>
        <v/>
      </c>
      <c r="E38" s="2" t="str">
        <f t="shared" si="2"/>
        <v/>
      </c>
      <c r="F38" s="2" t="str">
        <f t="shared" si="3"/>
        <v/>
      </c>
      <c r="G38" s="2" t="str">
        <f t="shared" si="14"/>
        <v/>
      </c>
      <c r="H38" s="2">
        <f t="shared" si="4"/>
        <v>52.271622814005241</v>
      </c>
      <c r="I38" s="2">
        <f t="shared" si="5"/>
        <v>52.271622814005241</v>
      </c>
      <c r="J38" s="2" t="str">
        <f t="shared" si="6"/>
        <v/>
      </c>
      <c r="K38" s="2" t="str">
        <f t="shared" si="7"/>
        <v/>
      </c>
      <c r="L38" s="2" t="str">
        <f t="shared" si="8"/>
        <v/>
      </c>
      <c r="M38" s="2" t="str">
        <f t="shared" si="9"/>
        <v/>
      </c>
      <c r="N38" s="2" t="str">
        <f t="shared" si="10"/>
        <v/>
      </c>
      <c r="O38" s="2">
        <f t="shared" si="11"/>
        <v>39.415715021314099</v>
      </c>
      <c r="P38" s="2">
        <f t="shared" si="12"/>
        <v>39.415715021314099</v>
      </c>
      <c r="Q38" s="2" t="str">
        <f t="shared" si="13"/>
        <v/>
      </c>
    </row>
    <row r="39" spans="1:17" x14ac:dyDescent="0.3">
      <c r="A39" s="1">
        <v>-30.329636736000001</v>
      </c>
      <c r="B39" s="43">
        <f>'Full Dataset &amp; Figure 3'!F40</f>
        <v>39.852718294132501</v>
      </c>
      <c r="C39" s="43">
        <f>'Full Dataset &amp; Figure 3'!L40</f>
        <v>16.618159952340648</v>
      </c>
      <c r="D39" s="43" t="str">
        <f t="shared" si="1"/>
        <v/>
      </c>
      <c r="E39" s="2" t="str">
        <f t="shared" si="2"/>
        <v/>
      </c>
      <c r="F39" s="2" t="str">
        <f t="shared" si="3"/>
        <v/>
      </c>
      <c r="G39" s="2" t="str">
        <f t="shared" si="14"/>
        <v/>
      </c>
      <c r="H39" s="2">
        <f t="shared" si="4"/>
        <v>39.852718294132501</v>
      </c>
      <c r="I39" s="2">
        <f t="shared" si="5"/>
        <v>39.852718294132501</v>
      </c>
      <c r="J39" s="2" t="str">
        <f t="shared" si="6"/>
        <v/>
      </c>
      <c r="K39" s="2" t="str">
        <f t="shared" si="7"/>
        <v/>
      </c>
      <c r="L39" s="2" t="str">
        <f t="shared" si="8"/>
        <v/>
      </c>
      <c r="M39" s="2" t="str">
        <f t="shared" si="9"/>
        <v/>
      </c>
      <c r="N39" s="2" t="str">
        <f t="shared" si="10"/>
        <v/>
      </c>
      <c r="O39" s="2">
        <f t="shared" si="11"/>
        <v>16.618159952340648</v>
      </c>
      <c r="P39" s="2">
        <f t="shared" si="12"/>
        <v>16.618159952340648</v>
      </c>
      <c r="Q39" s="2" t="str">
        <f t="shared" si="13"/>
        <v/>
      </c>
    </row>
    <row r="40" spans="1:17" x14ac:dyDescent="0.3">
      <c r="A40" s="1">
        <v>-28.576508699999998</v>
      </c>
      <c r="B40" s="43">
        <f>'Full Dataset &amp; Figure 3'!F41</f>
        <v>49.253020458854735</v>
      </c>
      <c r="C40" s="43">
        <f>'Full Dataset &amp; Figure 3'!L41</f>
        <v>13.894014861434698</v>
      </c>
      <c r="D40" s="43" t="str">
        <f t="shared" si="1"/>
        <v/>
      </c>
      <c r="E40" s="2" t="str">
        <f t="shared" si="2"/>
        <v/>
      </c>
      <c r="F40" s="2" t="str">
        <f t="shared" si="3"/>
        <v/>
      </c>
      <c r="G40" s="2" t="str">
        <f t="shared" si="14"/>
        <v/>
      </c>
      <c r="H40" s="2">
        <f t="shared" si="4"/>
        <v>49.253020458854735</v>
      </c>
      <c r="I40" s="2">
        <f t="shared" si="5"/>
        <v>49.253020458854735</v>
      </c>
      <c r="J40" s="2" t="str">
        <f t="shared" si="6"/>
        <v/>
      </c>
      <c r="K40" s="2" t="str">
        <f t="shared" si="7"/>
        <v/>
      </c>
      <c r="L40" s="2" t="str">
        <f t="shared" si="8"/>
        <v/>
      </c>
      <c r="M40" s="2" t="str">
        <f t="shared" si="9"/>
        <v/>
      </c>
      <c r="N40" s="2" t="str">
        <f t="shared" si="10"/>
        <v/>
      </c>
      <c r="O40" s="2">
        <f t="shared" si="11"/>
        <v>13.894014861434698</v>
      </c>
      <c r="P40" s="2">
        <f t="shared" si="12"/>
        <v>13.894014861434698</v>
      </c>
      <c r="Q40" s="2" t="str">
        <f t="shared" si="13"/>
        <v/>
      </c>
    </row>
    <row r="41" spans="1:17" x14ac:dyDescent="0.3">
      <c r="A41" s="1">
        <v>-28.37739281</v>
      </c>
      <c r="B41" s="43">
        <f>'Full Dataset &amp; Figure 3'!F42</f>
        <v>50.678914067102596</v>
      </c>
      <c r="C41" s="43">
        <f>'Full Dataset &amp; Figure 3'!L42</f>
        <v>13.453135995659977</v>
      </c>
      <c r="D41" s="43" t="str">
        <f t="shared" si="1"/>
        <v/>
      </c>
      <c r="E41" s="2" t="str">
        <f t="shared" si="2"/>
        <v/>
      </c>
      <c r="F41" s="2" t="str">
        <f t="shared" si="3"/>
        <v/>
      </c>
      <c r="G41" s="2" t="str">
        <f t="shared" si="14"/>
        <v/>
      </c>
      <c r="H41" s="2">
        <f t="shared" si="4"/>
        <v>50.678914067102596</v>
      </c>
      <c r="I41" s="2">
        <f t="shared" si="5"/>
        <v>50.678914067102596</v>
      </c>
      <c r="J41" s="2" t="str">
        <f t="shared" si="6"/>
        <v/>
      </c>
      <c r="K41" s="2" t="str">
        <f t="shared" si="7"/>
        <v/>
      </c>
      <c r="L41" s="2" t="str">
        <f t="shared" si="8"/>
        <v/>
      </c>
      <c r="M41" s="2" t="str">
        <f t="shared" si="9"/>
        <v/>
      </c>
      <c r="N41" s="2" t="str">
        <f t="shared" si="10"/>
        <v/>
      </c>
      <c r="O41" s="2">
        <f t="shared" si="11"/>
        <v>13.453135995659977</v>
      </c>
      <c r="P41" s="2">
        <f t="shared" si="12"/>
        <v>13.453135995659977</v>
      </c>
      <c r="Q41" s="2" t="str">
        <f t="shared" si="13"/>
        <v/>
      </c>
    </row>
    <row r="42" spans="1:17" x14ac:dyDescent="0.3">
      <c r="A42" s="1">
        <v>-28.189042375999996</v>
      </c>
      <c r="B42" s="43">
        <f>'Full Dataset &amp; Figure 3'!F43</f>
        <v>18.412691191770136</v>
      </c>
      <c r="C42" s="43">
        <f>'Full Dataset &amp; Figure 3'!L43</f>
        <v>20.413659140467644</v>
      </c>
      <c r="D42" s="43" t="str">
        <f t="shared" si="1"/>
        <v/>
      </c>
      <c r="E42" s="2" t="str">
        <f t="shared" si="2"/>
        <v/>
      </c>
      <c r="F42" s="2" t="str">
        <f t="shared" si="3"/>
        <v/>
      </c>
      <c r="G42" s="2" t="str">
        <f t="shared" si="14"/>
        <v/>
      </c>
      <c r="H42" s="2">
        <f t="shared" si="4"/>
        <v>18.412691191770136</v>
      </c>
      <c r="I42" s="2">
        <f t="shared" si="5"/>
        <v>18.412691191770136</v>
      </c>
      <c r="J42" s="2" t="str">
        <f t="shared" si="6"/>
        <v/>
      </c>
      <c r="K42" s="2" t="str">
        <f t="shared" si="7"/>
        <v/>
      </c>
      <c r="L42" s="2" t="str">
        <f t="shared" si="8"/>
        <v/>
      </c>
      <c r="M42" s="2" t="str">
        <f t="shared" si="9"/>
        <v/>
      </c>
      <c r="N42" s="2" t="str">
        <f t="shared" si="10"/>
        <v/>
      </c>
      <c r="O42" s="2">
        <f t="shared" si="11"/>
        <v>20.413659140467644</v>
      </c>
      <c r="P42" s="2">
        <f t="shared" si="12"/>
        <v>20.413659140467644</v>
      </c>
      <c r="Q42" s="2" t="str">
        <f t="shared" si="13"/>
        <v/>
      </c>
    </row>
    <row r="43" spans="1:17" x14ac:dyDescent="0.3">
      <c r="A43" s="1">
        <v>-25.634191544</v>
      </c>
      <c r="B43" s="43">
        <f>'Full Dataset &amp; Figure 3'!F44</f>
        <v>47.574401468737051</v>
      </c>
      <c r="C43" s="43">
        <f>'Full Dataset &amp; Figure 3'!L44</f>
        <v>19.218053785152733</v>
      </c>
      <c r="D43" s="43" t="str">
        <f t="shared" si="1"/>
        <v/>
      </c>
      <c r="E43" s="2" t="str">
        <f t="shared" si="2"/>
        <v/>
      </c>
      <c r="F43" s="2" t="str">
        <f t="shared" si="3"/>
        <v/>
      </c>
      <c r="G43" s="2" t="str">
        <f t="shared" si="14"/>
        <v/>
      </c>
      <c r="H43" s="2">
        <f t="shared" si="4"/>
        <v>47.574401468737051</v>
      </c>
      <c r="I43" s="2">
        <f t="shared" si="5"/>
        <v>47.574401468737051</v>
      </c>
      <c r="J43" s="2" t="str">
        <f t="shared" si="6"/>
        <v/>
      </c>
      <c r="K43" s="2" t="str">
        <f t="shared" si="7"/>
        <v/>
      </c>
      <c r="L43" s="2" t="str">
        <f t="shared" si="8"/>
        <v/>
      </c>
      <c r="M43" s="2" t="str">
        <f t="shared" si="9"/>
        <v/>
      </c>
      <c r="N43" s="2" t="str">
        <f t="shared" si="10"/>
        <v/>
      </c>
      <c r="O43" s="2">
        <f t="shared" si="11"/>
        <v>19.218053785152733</v>
      </c>
      <c r="P43" s="2">
        <f t="shared" si="12"/>
        <v>19.218053785152733</v>
      </c>
      <c r="Q43" s="2" t="str">
        <f t="shared" si="13"/>
        <v/>
      </c>
    </row>
    <row r="44" spans="1:17" x14ac:dyDescent="0.3">
      <c r="A44" s="1">
        <v>-23.340135126</v>
      </c>
      <c r="B44" s="43">
        <f>'Full Dataset &amp; Figure 3'!F45</f>
        <v>147.46802765876055</v>
      </c>
      <c r="C44" s="43">
        <f>'Full Dataset &amp; Figure 3'!L45</f>
        <v>9.8667519330047071</v>
      </c>
      <c r="D44" s="43" t="str">
        <f t="shared" si="1"/>
        <v/>
      </c>
      <c r="E44" s="2" t="str">
        <f t="shared" si="2"/>
        <v/>
      </c>
      <c r="F44" s="2" t="str">
        <f t="shared" si="3"/>
        <v/>
      </c>
      <c r="G44" s="2" t="str">
        <f t="shared" si="14"/>
        <v/>
      </c>
      <c r="H44" s="2">
        <f t="shared" si="4"/>
        <v>147.46802765876055</v>
      </c>
      <c r="I44" s="2">
        <f t="shared" si="5"/>
        <v>147.46802765876055</v>
      </c>
      <c r="J44" s="2" t="str">
        <f t="shared" si="6"/>
        <v/>
      </c>
      <c r="K44" s="2" t="str">
        <f t="shared" si="7"/>
        <v/>
      </c>
      <c r="L44" s="2" t="str">
        <f t="shared" si="8"/>
        <v/>
      </c>
      <c r="M44" s="2" t="str">
        <f t="shared" si="9"/>
        <v/>
      </c>
      <c r="N44" s="2" t="str">
        <f t="shared" si="10"/>
        <v/>
      </c>
      <c r="O44" s="2">
        <f t="shared" si="11"/>
        <v>9.8667519330047071</v>
      </c>
      <c r="P44" s="2">
        <f t="shared" si="12"/>
        <v>9.8667519330047071</v>
      </c>
      <c r="Q44" s="2" t="str">
        <f t="shared" si="13"/>
        <v/>
      </c>
    </row>
    <row r="45" spans="1:17" x14ac:dyDescent="0.3">
      <c r="A45" s="1">
        <v>-20.60352</v>
      </c>
      <c r="B45" s="43">
        <f>'Full Dataset &amp; Figure 3'!F46</f>
        <v>29.018705704947934</v>
      </c>
      <c r="C45" s="43">
        <f>'Full Dataset &amp; Figure 3'!L46</f>
        <v>17.413721450138837</v>
      </c>
      <c r="D45" s="43" t="str">
        <f t="shared" si="1"/>
        <v/>
      </c>
      <c r="E45" s="2" t="str">
        <f t="shared" si="2"/>
        <v/>
      </c>
      <c r="F45" s="2" t="str">
        <f t="shared" si="3"/>
        <v/>
      </c>
      <c r="G45" s="2" t="str">
        <f t="shared" si="14"/>
        <v/>
      </c>
      <c r="H45" s="2">
        <f t="shared" si="4"/>
        <v>29.018705704947934</v>
      </c>
      <c r="I45" s="2">
        <f t="shared" si="5"/>
        <v>29.018705704947934</v>
      </c>
      <c r="J45" s="2" t="str">
        <f t="shared" si="6"/>
        <v/>
      </c>
      <c r="K45" s="2" t="str">
        <f t="shared" si="7"/>
        <v/>
      </c>
      <c r="L45" s="2" t="str">
        <f t="shared" si="8"/>
        <v/>
      </c>
      <c r="M45" s="2" t="str">
        <f t="shared" si="9"/>
        <v/>
      </c>
      <c r="N45" s="2" t="str">
        <f t="shared" si="10"/>
        <v/>
      </c>
      <c r="O45" s="2">
        <f t="shared" si="11"/>
        <v>17.413721450138837</v>
      </c>
      <c r="P45" s="2">
        <f t="shared" si="12"/>
        <v>17.413721450138837</v>
      </c>
      <c r="Q45" s="2" t="str">
        <f t="shared" si="13"/>
        <v/>
      </c>
    </row>
    <row r="46" spans="1:17" x14ac:dyDescent="0.3">
      <c r="A46" s="1">
        <v>-16.274532239999999</v>
      </c>
      <c r="B46" s="43">
        <f>'Full Dataset &amp; Figure 3'!F47</f>
        <v>67.457137461751699</v>
      </c>
      <c r="C46" s="43">
        <f>'Full Dataset &amp; Figure 3'!L47</f>
        <v>31.091822477756068</v>
      </c>
      <c r="D46" s="43" t="str">
        <f t="shared" si="1"/>
        <v/>
      </c>
      <c r="E46" s="2" t="str">
        <f t="shared" si="2"/>
        <v/>
      </c>
      <c r="F46" s="2" t="str">
        <f t="shared" si="3"/>
        <v/>
      </c>
      <c r="G46" s="2" t="str">
        <f t="shared" si="14"/>
        <v/>
      </c>
      <c r="H46" s="2">
        <f t="shared" si="4"/>
        <v>67.457137461751699</v>
      </c>
      <c r="I46" s="2" t="str">
        <f t="shared" si="5"/>
        <v/>
      </c>
      <c r="J46" s="2">
        <f t="shared" si="6"/>
        <v>67.457137461751699</v>
      </c>
      <c r="K46" s="2" t="str">
        <f t="shared" si="7"/>
        <v/>
      </c>
      <c r="L46" s="2" t="str">
        <f t="shared" si="8"/>
        <v/>
      </c>
      <c r="M46" s="2" t="str">
        <f t="shared" si="9"/>
        <v/>
      </c>
      <c r="N46" s="2" t="str">
        <f t="shared" si="10"/>
        <v/>
      </c>
      <c r="O46" s="2">
        <f t="shared" si="11"/>
        <v>31.091822477756068</v>
      </c>
      <c r="P46" s="2" t="str">
        <f t="shared" si="12"/>
        <v/>
      </c>
      <c r="Q46" s="2">
        <f t="shared" si="13"/>
        <v>31.091822477756068</v>
      </c>
    </row>
    <row r="47" spans="1:17" x14ac:dyDescent="0.3">
      <c r="A47" s="1">
        <v>-15.933332608000001</v>
      </c>
      <c r="B47" s="43">
        <f>'Full Dataset &amp; Figure 3'!F48</f>
        <v>42.873204366769642</v>
      </c>
      <c r="C47" s="43">
        <f>'Full Dataset &amp; Figure 3'!L48</f>
        <v>0.59860482579097152</v>
      </c>
      <c r="D47" s="43" t="str">
        <f t="shared" si="1"/>
        <v/>
      </c>
      <c r="E47" s="2" t="str">
        <f t="shared" si="2"/>
        <v/>
      </c>
      <c r="F47" s="2" t="str">
        <f t="shared" si="3"/>
        <v/>
      </c>
      <c r="G47" s="2" t="str">
        <f t="shared" si="14"/>
        <v/>
      </c>
      <c r="H47" s="2">
        <f t="shared" si="4"/>
        <v>42.873204366769642</v>
      </c>
      <c r="I47" s="2" t="str">
        <f t="shared" si="5"/>
        <v/>
      </c>
      <c r="J47" s="2">
        <f t="shared" si="6"/>
        <v>42.873204366769642</v>
      </c>
      <c r="K47" s="2" t="str">
        <f t="shared" si="7"/>
        <v/>
      </c>
      <c r="L47" s="2" t="str">
        <f t="shared" si="8"/>
        <v/>
      </c>
      <c r="M47" s="2" t="str">
        <f t="shared" si="9"/>
        <v/>
      </c>
      <c r="N47" s="2" t="str">
        <f t="shared" si="10"/>
        <v/>
      </c>
      <c r="O47" s="2">
        <f t="shared" si="11"/>
        <v>0.59860482579097152</v>
      </c>
      <c r="P47" s="2" t="str">
        <f t="shared" si="12"/>
        <v/>
      </c>
      <c r="Q47" s="2">
        <f t="shared" si="13"/>
        <v>0.59860482579097152</v>
      </c>
    </row>
    <row r="48" spans="1:17" x14ac:dyDescent="0.3">
      <c r="A48" s="1">
        <v>-15.398807780000002</v>
      </c>
      <c r="B48" s="43">
        <f>'Full Dataset &amp; Figure 3'!F49</f>
        <v>69.002208049641922</v>
      </c>
      <c r="C48" s="43">
        <f>'Full Dataset &amp; Figure 3'!L49</f>
        <v>16.930678363423795</v>
      </c>
      <c r="D48" s="43" t="str">
        <f t="shared" si="1"/>
        <v/>
      </c>
      <c r="E48" s="2" t="str">
        <f t="shared" si="2"/>
        <v/>
      </c>
      <c r="F48" s="2" t="str">
        <f t="shared" si="3"/>
        <v/>
      </c>
      <c r="G48" s="2" t="str">
        <f t="shared" si="14"/>
        <v/>
      </c>
      <c r="H48" s="2">
        <f t="shared" si="4"/>
        <v>69.002208049641922</v>
      </c>
      <c r="I48" s="2" t="str">
        <f t="shared" si="5"/>
        <v/>
      </c>
      <c r="J48" s="2">
        <f t="shared" si="6"/>
        <v>69.002208049641922</v>
      </c>
      <c r="K48" s="2" t="str">
        <f t="shared" si="7"/>
        <v/>
      </c>
      <c r="L48" s="2" t="str">
        <f t="shared" si="8"/>
        <v/>
      </c>
      <c r="M48" s="2" t="str">
        <f t="shared" si="9"/>
        <v/>
      </c>
      <c r="N48" s="2" t="str">
        <f t="shared" si="10"/>
        <v/>
      </c>
      <c r="O48" s="2">
        <f t="shared" si="11"/>
        <v>16.930678363423795</v>
      </c>
      <c r="P48" s="2" t="str">
        <f t="shared" si="12"/>
        <v/>
      </c>
      <c r="Q48" s="2">
        <f t="shared" si="13"/>
        <v>16.930678363423795</v>
      </c>
    </row>
    <row r="49" spans="1:17" x14ac:dyDescent="0.3">
      <c r="A49" s="1">
        <v>-14.352519134</v>
      </c>
      <c r="B49" s="43">
        <f>'Full Dataset &amp; Figure 3'!F50</f>
        <v>38.54542953777127</v>
      </c>
      <c r="C49" s="43">
        <f>'Full Dataset &amp; Figure 3'!L50</f>
        <v>22.053928482346237</v>
      </c>
      <c r="D49" s="43" t="str">
        <f t="shared" si="1"/>
        <v/>
      </c>
      <c r="E49" s="2" t="str">
        <f t="shared" si="2"/>
        <v/>
      </c>
      <c r="F49" s="2" t="str">
        <f t="shared" si="3"/>
        <v/>
      </c>
      <c r="G49" s="2" t="str">
        <f t="shared" si="14"/>
        <v/>
      </c>
      <c r="H49" s="2">
        <f t="shared" si="4"/>
        <v>38.54542953777127</v>
      </c>
      <c r="I49" s="2" t="str">
        <f t="shared" si="5"/>
        <v/>
      </c>
      <c r="J49" s="2">
        <f t="shared" si="6"/>
        <v>38.54542953777127</v>
      </c>
      <c r="K49" s="2" t="str">
        <f t="shared" si="7"/>
        <v/>
      </c>
      <c r="L49" s="2" t="str">
        <f t="shared" si="8"/>
        <v/>
      </c>
      <c r="M49" s="2" t="str">
        <f t="shared" si="9"/>
        <v/>
      </c>
      <c r="N49" s="2" t="str">
        <f t="shared" si="10"/>
        <v/>
      </c>
      <c r="O49" s="2">
        <f t="shared" si="11"/>
        <v>22.053928482346237</v>
      </c>
      <c r="P49" s="2" t="str">
        <f t="shared" si="12"/>
        <v/>
      </c>
      <c r="Q49" s="2">
        <f t="shared" si="13"/>
        <v>22.053928482346237</v>
      </c>
    </row>
    <row r="50" spans="1:17" x14ac:dyDescent="0.3">
      <c r="A50" s="1">
        <v>-14.115688716000001</v>
      </c>
      <c r="B50" s="43">
        <f>'Full Dataset &amp; Figure 3'!F51</f>
        <v>82.174845489207655</v>
      </c>
      <c r="C50" s="43">
        <f>'Full Dataset &amp; Figure 3'!L51</f>
        <v>8.3071264531463385</v>
      </c>
      <c r="D50" s="43" t="str">
        <f t="shared" si="1"/>
        <v/>
      </c>
      <c r="E50" s="2" t="str">
        <f t="shared" si="2"/>
        <v/>
      </c>
      <c r="F50" s="2" t="str">
        <f t="shared" si="3"/>
        <v/>
      </c>
      <c r="G50" s="2" t="str">
        <f t="shared" si="14"/>
        <v/>
      </c>
      <c r="H50" s="2">
        <f t="shared" si="4"/>
        <v>82.174845489207655</v>
      </c>
      <c r="I50" s="2" t="str">
        <f t="shared" si="5"/>
        <v/>
      </c>
      <c r="J50" s="2">
        <f t="shared" si="6"/>
        <v>82.174845489207655</v>
      </c>
      <c r="K50" s="2" t="str">
        <f t="shared" si="7"/>
        <v/>
      </c>
      <c r="L50" s="2" t="str">
        <f t="shared" si="8"/>
        <v/>
      </c>
      <c r="M50" s="2" t="str">
        <f t="shared" si="9"/>
        <v/>
      </c>
      <c r="N50" s="2" t="str">
        <f t="shared" si="10"/>
        <v/>
      </c>
      <c r="O50" s="2">
        <f t="shared" si="11"/>
        <v>8.3071264531463385</v>
      </c>
      <c r="P50" s="2" t="str">
        <f t="shared" si="12"/>
        <v/>
      </c>
      <c r="Q50" s="2">
        <f t="shared" si="13"/>
        <v>8.3071264531463385</v>
      </c>
    </row>
    <row r="51" spans="1:17" x14ac:dyDescent="0.3">
      <c r="A51" s="1">
        <v>-14.032897757999999</v>
      </c>
      <c r="B51" s="43">
        <f>'Full Dataset &amp; Figure 3'!F52</f>
        <v>83.278536078287289</v>
      </c>
      <c r="C51" s="43">
        <f>'Full Dataset &amp; Figure 3'!L52</f>
        <v>5.8410586626268923</v>
      </c>
      <c r="D51" s="43" t="str">
        <f t="shared" si="1"/>
        <v/>
      </c>
      <c r="E51" s="2" t="str">
        <f t="shared" si="2"/>
        <v/>
      </c>
      <c r="F51" s="2" t="str">
        <f t="shared" si="3"/>
        <v/>
      </c>
      <c r="G51" s="2" t="str">
        <f t="shared" si="14"/>
        <v/>
      </c>
      <c r="H51" s="2">
        <f t="shared" si="4"/>
        <v>83.278536078287289</v>
      </c>
      <c r="I51" s="2" t="str">
        <f t="shared" si="5"/>
        <v/>
      </c>
      <c r="J51" s="2">
        <f t="shared" si="6"/>
        <v>83.278536078287289</v>
      </c>
      <c r="K51" s="2" t="str">
        <f t="shared" si="7"/>
        <v/>
      </c>
      <c r="L51" s="2" t="str">
        <f t="shared" si="8"/>
        <v/>
      </c>
      <c r="M51" s="2" t="str">
        <f t="shared" si="9"/>
        <v/>
      </c>
      <c r="N51" s="2" t="str">
        <f t="shared" si="10"/>
        <v/>
      </c>
      <c r="O51" s="2">
        <f t="shared" si="11"/>
        <v>5.8410586626268923</v>
      </c>
      <c r="P51" s="2" t="str">
        <f t="shared" si="12"/>
        <v/>
      </c>
      <c r="Q51" s="2">
        <f t="shared" si="13"/>
        <v>5.8410586626268923</v>
      </c>
    </row>
    <row r="52" spans="1:17" x14ac:dyDescent="0.3">
      <c r="A52" s="1">
        <v>-13.953935</v>
      </c>
      <c r="B52" s="43">
        <f>'Full Dataset &amp; Figure 3'!F53</f>
        <v>87.656255818437785</v>
      </c>
      <c r="C52" s="43">
        <f>'Full Dataset &amp; Figure 3'!L53</f>
        <v>28.787707829615101</v>
      </c>
      <c r="D52" s="43" t="str">
        <f t="shared" si="1"/>
        <v/>
      </c>
      <c r="E52" s="2" t="str">
        <f t="shared" si="2"/>
        <v/>
      </c>
      <c r="F52" s="2" t="str">
        <f t="shared" si="3"/>
        <v/>
      </c>
      <c r="G52" s="2" t="str">
        <f t="shared" si="14"/>
        <v/>
      </c>
      <c r="H52" s="2">
        <f t="shared" si="4"/>
        <v>87.656255818437785</v>
      </c>
      <c r="I52" s="2" t="str">
        <f t="shared" si="5"/>
        <v/>
      </c>
      <c r="J52" s="2">
        <f t="shared" si="6"/>
        <v>87.656255818437785</v>
      </c>
      <c r="K52" s="2" t="str">
        <f t="shared" si="7"/>
        <v/>
      </c>
      <c r="L52" s="2" t="str">
        <f t="shared" si="8"/>
        <v/>
      </c>
      <c r="M52" s="2" t="str">
        <f t="shared" si="9"/>
        <v/>
      </c>
      <c r="N52" s="2" t="str">
        <f t="shared" si="10"/>
        <v/>
      </c>
      <c r="O52" s="2">
        <f t="shared" si="11"/>
        <v>28.787707829615101</v>
      </c>
      <c r="P52" s="2" t="str">
        <f t="shared" si="12"/>
        <v/>
      </c>
      <c r="Q52" s="2">
        <f t="shared" si="13"/>
        <v>28.787707829615101</v>
      </c>
    </row>
    <row r="53" spans="1:17" x14ac:dyDescent="0.3">
      <c r="A53" s="1">
        <v>-13.745494114000001</v>
      </c>
      <c r="B53" s="43">
        <f>'Full Dataset &amp; Figure 3'!F54</f>
        <v>5.9377845155540854</v>
      </c>
      <c r="C53" s="43">
        <f>'Full Dataset &amp; Figure 3'!L54</f>
        <v>27.814774406142533</v>
      </c>
      <c r="D53" s="43" t="str">
        <f t="shared" si="1"/>
        <v/>
      </c>
      <c r="E53" s="2" t="str">
        <f t="shared" si="2"/>
        <v/>
      </c>
      <c r="F53" s="2" t="str">
        <f t="shared" si="3"/>
        <v/>
      </c>
      <c r="G53" s="2" t="str">
        <f t="shared" si="14"/>
        <v/>
      </c>
      <c r="H53" s="2">
        <f t="shared" si="4"/>
        <v>5.9377845155540854</v>
      </c>
      <c r="I53" s="2" t="str">
        <f t="shared" si="5"/>
        <v/>
      </c>
      <c r="J53" s="2">
        <f t="shared" si="6"/>
        <v>5.9377845155540854</v>
      </c>
      <c r="K53" s="2" t="str">
        <f t="shared" si="7"/>
        <v/>
      </c>
      <c r="L53" s="2" t="str">
        <f t="shared" si="8"/>
        <v/>
      </c>
      <c r="M53" s="2" t="str">
        <f t="shared" si="9"/>
        <v/>
      </c>
      <c r="N53" s="2" t="str">
        <f t="shared" si="10"/>
        <v/>
      </c>
      <c r="O53" s="2">
        <f t="shared" si="11"/>
        <v>27.814774406142533</v>
      </c>
      <c r="P53" s="2" t="str">
        <f t="shared" si="12"/>
        <v/>
      </c>
      <c r="Q53" s="2">
        <f t="shared" si="13"/>
        <v>27.814774406142533</v>
      </c>
    </row>
    <row r="54" spans="1:17" x14ac:dyDescent="0.3">
      <c r="A54" s="1">
        <v>-12.723442426999998</v>
      </c>
      <c r="B54" s="43">
        <f>'Full Dataset &amp; Figure 3'!F55</f>
        <v>319.1808250208851</v>
      </c>
      <c r="C54" s="43">
        <f>'Full Dataset &amp; Figure 3'!L55</f>
        <v>6.3295389746781439</v>
      </c>
      <c r="D54" s="43" t="str">
        <f t="shared" si="1"/>
        <v/>
      </c>
      <c r="E54" s="2" t="str">
        <f t="shared" si="2"/>
        <v/>
      </c>
      <c r="F54" s="2" t="str">
        <f t="shared" si="3"/>
        <v/>
      </c>
      <c r="G54" s="2" t="str">
        <f t="shared" si="14"/>
        <v/>
      </c>
      <c r="H54" s="2">
        <f t="shared" si="4"/>
        <v>319.1808250208851</v>
      </c>
      <c r="I54" s="2" t="str">
        <f t="shared" si="5"/>
        <v/>
      </c>
      <c r="J54" s="2">
        <f t="shared" si="6"/>
        <v>319.1808250208851</v>
      </c>
      <c r="K54" s="2" t="str">
        <f t="shared" si="7"/>
        <v/>
      </c>
      <c r="L54" s="2" t="str">
        <f t="shared" si="8"/>
        <v/>
      </c>
      <c r="M54" s="2" t="str">
        <f t="shared" si="9"/>
        <v/>
      </c>
      <c r="N54" s="2" t="str">
        <f t="shared" si="10"/>
        <v/>
      </c>
      <c r="O54" s="2">
        <f t="shared" si="11"/>
        <v>6.3295389746781439</v>
      </c>
      <c r="P54" s="2" t="str">
        <f t="shared" si="12"/>
        <v/>
      </c>
      <c r="Q54" s="2">
        <f t="shared" si="13"/>
        <v>6.3295389746781439</v>
      </c>
    </row>
    <row r="55" spans="1:17" x14ac:dyDescent="0.3">
      <c r="A55" s="1">
        <v>-11.454316925999999</v>
      </c>
      <c r="B55" s="43">
        <f>'Full Dataset &amp; Figure 3'!F56</f>
        <v>17.804054411826655</v>
      </c>
      <c r="C55" s="43">
        <f>'Full Dataset &amp; Figure 3'!L56</f>
        <v>29.421065262285993</v>
      </c>
      <c r="D55" s="43" t="str">
        <f t="shared" si="1"/>
        <v/>
      </c>
      <c r="E55" s="2" t="str">
        <f t="shared" si="2"/>
        <v/>
      </c>
      <c r="F55" s="2" t="str">
        <f t="shared" si="3"/>
        <v/>
      </c>
      <c r="G55" s="2" t="str">
        <f t="shared" si="14"/>
        <v/>
      </c>
      <c r="H55" s="2">
        <f t="shared" si="4"/>
        <v>17.804054411826655</v>
      </c>
      <c r="I55" s="2" t="str">
        <f t="shared" si="5"/>
        <v/>
      </c>
      <c r="J55" s="2">
        <f t="shared" si="6"/>
        <v>17.804054411826655</v>
      </c>
      <c r="K55" s="2" t="str">
        <f t="shared" si="7"/>
        <v/>
      </c>
      <c r="L55" s="2" t="str">
        <f t="shared" si="8"/>
        <v/>
      </c>
      <c r="M55" s="2" t="str">
        <f t="shared" si="9"/>
        <v/>
      </c>
      <c r="N55" s="2" t="str">
        <f t="shared" si="10"/>
        <v/>
      </c>
      <c r="O55" s="2">
        <f t="shared" si="11"/>
        <v>29.421065262285993</v>
      </c>
      <c r="P55" s="2" t="str">
        <f t="shared" si="12"/>
        <v/>
      </c>
      <c r="Q55" s="2">
        <f t="shared" si="13"/>
        <v>29.421065262285993</v>
      </c>
    </row>
    <row r="56" spans="1:17" x14ac:dyDescent="0.3">
      <c r="A56" s="1">
        <v>-9.7093120000000006</v>
      </c>
      <c r="B56" s="43">
        <f>'Full Dataset &amp; Figure 3'!F57</f>
        <v>258.37251416989602</v>
      </c>
      <c r="C56" s="43">
        <f>'Full Dataset &amp; Figure 3'!L57</f>
        <v>10.624297130852938</v>
      </c>
      <c r="D56" s="43" t="str">
        <f t="shared" si="1"/>
        <v/>
      </c>
      <c r="E56" s="2" t="str">
        <f t="shared" si="2"/>
        <v/>
      </c>
      <c r="F56" s="2" t="str">
        <f t="shared" si="3"/>
        <v/>
      </c>
      <c r="G56" s="2" t="str">
        <f t="shared" si="14"/>
        <v/>
      </c>
      <c r="H56" s="2">
        <f t="shared" si="4"/>
        <v>258.37251416989602</v>
      </c>
      <c r="I56" s="2" t="str">
        <f t="shared" si="5"/>
        <v/>
      </c>
      <c r="J56" s="2">
        <f t="shared" si="6"/>
        <v>258.37251416989602</v>
      </c>
      <c r="K56" s="2" t="str">
        <f t="shared" si="7"/>
        <v/>
      </c>
      <c r="L56" s="2" t="str">
        <f t="shared" si="8"/>
        <v/>
      </c>
      <c r="M56" s="2" t="str">
        <f t="shared" si="9"/>
        <v/>
      </c>
      <c r="N56" s="2" t="str">
        <f t="shared" si="10"/>
        <v/>
      </c>
      <c r="O56" s="2">
        <f t="shared" si="11"/>
        <v>10.624297130852938</v>
      </c>
      <c r="P56" s="2" t="str">
        <f t="shared" si="12"/>
        <v/>
      </c>
      <c r="Q56" s="2">
        <f t="shared" si="13"/>
        <v>10.624297130852938</v>
      </c>
    </row>
    <row r="57" spans="1:17" x14ac:dyDescent="0.3">
      <c r="A57" s="1">
        <v>-7.7988999999999997</v>
      </c>
      <c r="B57" s="43">
        <f>'Full Dataset &amp; Figure 3'!F58</f>
        <v>693.20515909348615</v>
      </c>
      <c r="C57" s="43">
        <f>'Full Dataset &amp; Figure 3'!L58</f>
        <v>33.799457304412499</v>
      </c>
      <c r="D57" s="43" t="str">
        <f t="shared" si="1"/>
        <v/>
      </c>
      <c r="E57" s="2" t="str">
        <f t="shared" si="2"/>
        <v/>
      </c>
      <c r="F57" s="2" t="str">
        <f t="shared" si="3"/>
        <v/>
      </c>
      <c r="G57" s="2" t="str">
        <f t="shared" si="14"/>
        <v/>
      </c>
      <c r="H57" s="2">
        <f t="shared" si="4"/>
        <v>693.20515909348615</v>
      </c>
      <c r="I57" s="2" t="str">
        <f t="shared" si="5"/>
        <v/>
      </c>
      <c r="J57" s="2">
        <f t="shared" si="6"/>
        <v>693.20515909348615</v>
      </c>
      <c r="K57" s="2" t="str">
        <f t="shared" si="7"/>
        <v/>
      </c>
      <c r="L57" s="2" t="str">
        <f t="shared" si="8"/>
        <v/>
      </c>
      <c r="M57" s="2" t="str">
        <f t="shared" si="9"/>
        <v/>
      </c>
      <c r="N57" s="2" t="str">
        <f t="shared" si="10"/>
        <v/>
      </c>
      <c r="O57" s="2">
        <f t="shared" si="11"/>
        <v>33.799457304412499</v>
      </c>
      <c r="P57" s="2" t="str">
        <f t="shared" si="12"/>
        <v/>
      </c>
      <c r="Q57" s="2">
        <f t="shared" si="13"/>
        <v>33.799457304412499</v>
      </c>
    </row>
    <row r="58" spans="1:17" x14ac:dyDescent="0.3">
      <c r="A58" s="1">
        <v>-6.2478936760000003</v>
      </c>
      <c r="B58" s="43">
        <f>'Full Dataset &amp; Figure 3'!F59</f>
        <v>1839.7484435525257</v>
      </c>
      <c r="C58" s="43">
        <f>'Full Dataset &amp; Figure 3'!L59</f>
        <v>2.7410557481925935</v>
      </c>
      <c r="D58" s="43" t="str">
        <f t="shared" si="1"/>
        <v/>
      </c>
      <c r="E58" s="2" t="str">
        <f t="shared" si="2"/>
        <v/>
      </c>
      <c r="F58" s="2" t="str">
        <f t="shared" si="3"/>
        <v/>
      </c>
      <c r="G58" s="2" t="str">
        <f t="shared" si="14"/>
        <v/>
      </c>
      <c r="H58" s="2">
        <f t="shared" si="4"/>
        <v>1839.7484435525257</v>
      </c>
      <c r="I58" s="2" t="str">
        <f t="shared" si="5"/>
        <v/>
      </c>
      <c r="J58" s="2">
        <f t="shared" si="6"/>
        <v>1839.7484435525257</v>
      </c>
      <c r="K58" s="2" t="str">
        <f t="shared" si="7"/>
        <v/>
      </c>
      <c r="L58" s="2" t="str">
        <f t="shared" si="8"/>
        <v/>
      </c>
      <c r="M58" s="2" t="str">
        <f t="shared" si="9"/>
        <v/>
      </c>
      <c r="N58" s="2" t="str">
        <f t="shared" si="10"/>
        <v/>
      </c>
      <c r="O58" s="2">
        <f t="shared" si="11"/>
        <v>2.7410557481925935</v>
      </c>
      <c r="P58" s="2" t="str">
        <f t="shared" si="12"/>
        <v/>
      </c>
      <c r="Q58" s="2">
        <f t="shared" si="13"/>
        <v>2.7410557481925935</v>
      </c>
    </row>
    <row r="59" spans="1:17" ht="15.6" customHeight="1" x14ac:dyDescent="0.3">
      <c r="A59" s="1">
        <v>-6.1817878410000002</v>
      </c>
      <c r="B59" s="43">
        <f>'Full Dataset &amp; Figure 3'!F60</f>
        <v>22.033389110583812</v>
      </c>
      <c r="C59" s="43">
        <f>'Full Dataset &amp; Figure 3'!L60</f>
        <v>10.579246674897149</v>
      </c>
      <c r="D59" s="43" t="str">
        <f t="shared" si="1"/>
        <v/>
      </c>
      <c r="E59" s="2" t="str">
        <f t="shared" si="2"/>
        <v/>
      </c>
      <c r="F59" s="2" t="str">
        <f t="shared" si="3"/>
        <v/>
      </c>
      <c r="G59" s="2" t="str">
        <f t="shared" si="14"/>
        <v/>
      </c>
      <c r="H59" s="2">
        <f t="shared" si="4"/>
        <v>22.033389110583812</v>
      </c>
      <c r="I59" s="2" t="str">
        <f t="shared" si="5"/>
        <v/>
      </c>
      <c r="J59" s="2">
        <f t="shared" si="6"/>
        <v>22.033389110583812</v>
      </c>
      <c r="K59" s="2" t="str">
        <f t="shared" si="7"/>
        <v/>
      </c>
      <c r="L59" s="2" t="str">
        <f t="shared" si="8"/>
        <v/>
      </c>
      <c r="M59" s="2" t="str">
        <f t="shared" si="9"/>
        <v/>
      </c>
      <c r="N59" s="2" t="str">
        <f t="shared" si="10"/>
        <v/>
      </c>
      <c r="O59" s="2">
        <f t="shared" si="11"/>
        <v>10.579246674897149</v>
      </c>
      <c r="P59" s="2" t="str">
        <f t="shared" si="12"/>
        <v/>
      </c>
      <c r="Q59" s="2">
        <f t="shared" si="13"/>
        <v>10.579246674897149</v>
      </c>
    </row>
    <row r="60" spans="1:17" x14ac:dyDescent="0.3">
      <c r="A60" s="1">
        <v>-5.4258011689999996</v>
      </c>
      <c r="B60" s="43">
        <f>'Full Dataset &amp; Figure 3'!F61</f>
        <v>178.95319481031038</v>
      </c>
      <c r="C60" s="43">
        <f>'Full Dataset &amp; Figure 3'!L61</f>
        <v>39.984003729186952</v>
      </c>
      <c r="D60" s="43" t="str">
        <f t="shared" si="1"/>
        <v/>
      </c>
      <c r="E60" s="2" t="str">
        <f t="shared" si="2"/>
        <v/>
      </c>
      <c r="F60" s="2" t="str">
        <f t="shared" si="3"/>
        <v/>
      </c>
      <c r="G60" s="2" t="str">
        <f t="shared" si="14"/>
        <v/>
      </c>
      <c r="H60" s="2">
        <f t="shared" si="4"/>
        <v>178.95319481031038</v>
      </c>
      <c r="I60" s="2" t="str">
        <f t="shared" si="5"/>
        <v/>
      </c>
      <c r="J60" s="2">
        <f t="shared" si="6"/>
        <v>178.95319481031038</v>
      </c>
      <c r="K60" s="2" t="str">
        <f t="shared" si="7"/>
        <v/>
      </c>
      <c r="L60" s="2" t="str">
        <f t="shared" si="8"/>
        <v/>
      </c>
      <c r="M60" s="2" t="str">
        <f t="shared" si="9"/>
        <v/>
      </c>
      <c r="N60" s="2" t="str">
        <f t="shared" si="10"/>
        <v/>
      </c>
      <c r="O60" s="2">
        <f t="shared" si="11"/>
        <v>39.984003729186952</v>
      </c>
      <c r="P60" s="2" t="str">
        <f t="shared" si="12"/>
        <v/>
      </c>
      <c r="Q60" s="2">
        <f t="shared" si="13"/>
        <v>39.984003729186952</v>
      </c>
    </row>
    <row r="61" spans="1:17" x14ac:dyDescent="0.3">
      <c r="A61" s="1">
        <v>-4.1067436879999999</v>
      </c>
      <c r="B61" s="43">
        <f>'Full Dataset &amp; Figure 3'!F62</f>
        <v>3780.0070900528226</v>
      </c>
      <c r="C61" s="43">
        <f>'Full Dataset &amp; Figure 3'!L62</f>
        <v>14.926435510860756</v>
      </c>
      <c r="D61" s="43" t="str">
        <f t="shared" si="1"/>
        <v/>
      </c>
      <c r="E61" s="2" t="str">
        <f t="shared" si="2"/>
        <v/>
      </c>
      <c r="F61" s="2" t="str">
        <f t="shared" si="3"/>
        <v/>
      </c>
      <c r="G61" s="2" t="str">
        <f t="shared" si="14"/>
        <v/>
      </c>
      <c r="H61" s="2">
        <f t="shared" si="4"/>
        <v>3780.0070900528226</v>
      </c>
      <c r="I61" s="2" t="str">
        <f t="shared" si="5"/>
        <v/>
      </c>
      <c r="J61" s="2">
        <f t="shared" si="6"/>
        <v>3780.0070900528226</v>
      </c>
      <c r="K61" s="2" t="str">
        <f t="shared" si="7"/>
        <v/>
      </c>
      <c r="L61" s="2" t="str">
        <f t="shared" si="8"/>
        <v/>
      </c>
      <c r="M61" s="2" t="str">
        <f t="shared" si="9"/>
        <v/>
      </c>
      <c r="N61" s="2" t="str">
        <f t="shared" si="10"/>
        <v/>
      </c>
      <c r="O61" s="2">
        <f t="shared" si="11"/>
        <v>14.926435510860756</v>
      </c>
      <c r="P61" s="2" t="str">
        <f t="shared" si="12"/>
        <v/>
      </c>
      <c r="Q61" s="2">
        <f t="shared" si="13"/>
        <v>14.926435510860756</v>
      </c>
    </row>
  </sheetData>
  <mergeCells count="6">
    <mergeCell ref="S12:AD12"/>
    <mergeCell ref="T13:X13"/>
    <mergeCell ref="Y13:AC13"/>
    <mergeCell ref="T3:X3"/>
    <mergeCell ref="S2:AD2"/>
    <mergeCell ref="Y3:AC3"/>
  </mergeCells>
  <conditionalFormatting sqref="S2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:T4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4:T14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4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14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4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14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4"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14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4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14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4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1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4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1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4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4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4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4:AD4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14:AD14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 Dataset &amp; Figure 3</vt:lpstr>
      <vt:lpstr>Table 1 &amp; S1</vt:lpstr>
      <vt:lpstr>Table 2 &amp;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LeFevre</dc:creator>
  <cp:lastModifiedBy>Scott LeFevre</cp:lastModifiedBy>
  <dcterms:created xsi:type="dcterms:W3CDTF">2025-07-15T03:56:56Z</dcterms:created>
  <dcterms:modified xsi:type="dcterms:W3CDTF">2025-08-07T16:58:31Z</dcterms:modified>
</cp:coreProperties>
</file>