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ER" sheetId="1" r:id="rId4"/>
    <sheet state="visible" name="2nd block common (since 1703)" sheetId="2" r:id="rId5"/>
    <sheet state="visible" name="1st block common (since 2001)" sheetId="3" r:id="rId6"/>
    <sheet state="visible" name="BS2 (block 2) STARTS ON 1703" sheetId="4" r:id="rId7"/>
    <sheet state="visible" name="Ru Programs" sheetId="5" r:id="rId8"/>
    <sheet state="visible" name="BS1" sheetId="6" r:id="rId9"/>
    <sheet state="visible" name="BS3 (block 2) STARTS ON 1703" sheetId="7" r:id="rId10"/>
    <sheet state="visible" name="MS (block 2) STARTS ON 1703" sheetId="8" r:id="rId11"/>
    <sheet state="hidden" name="draft" sheetId="9" r:id="rId12"/>
    <sheet state="visible" name="BS2 (block 1)" sheetId="10" r:id="rId13"/>
    <sheet state="visible" name="BS3 (block 1)" sheetId="11" r:id="rId14"/>
    <sheet state="visible" name="MS 1 (block 1)" sheetId="12" r:id="rId15"/>
    <sheet state="visible" name="PhD" sheetId="13" r:id="rId16"/>
    <sheet state="hidden" name="2nd block common (since 1803)" sheetId="14" r:id="rId17"/>
    <sheet state="hidden" name="BS2 (block 2) STARTS ON 1803" sheetId="15" r:id="rId18"/>
    <sheet state="hidden" name="BS3 (block 2) STARTS ON 1803" sheetId="16" r:id="rId19"/>
    <sheet state="hidden" name="MS (block 2) STARTS ON 1803" sheetId="17" r:id="rId20"/>
  </sheets>
  <definedNames/>
  <calcPr/>
</workbook>
</file>

<file path=xl/sharedStrings.xml><?xml version="1.0" encoding="utf-8"?>
<sst xmlns="http://schemas.openxmlformats.org/spreadsheetml/2006/main" count="7173" uniqueCount="739">
  <si>
    <t>BS - Year 1</t>
  </si>
  <si>
    <t>BS - Year 2</t>
  </si>
  <si>
    <t>MS - Year 1</t>
  </si>
  <si>
    <t>B24-MFAI-01 (28)</t>
  </si>
  <si>
    <t>B24-MFAI-02 (27)</t>
  </si>
  <si>
    <t>B24-MFAI-03 (27)</t>
  </si>
  <si>
    <t>B24-MFAI-04 (13)</t>
  </si>
  <si>
    <t>B24-RO-01 (4)</t>
  </si>
  <si>
    <t>B24-CSE-01 (29)</t>
  </si>
  <si>
    <t>B24-CSE-02 (29)</t>
  </si>
  <si>
    <t>B24-CSE-03 (29)</t>
  </si>
  <si>
    <t>B24-CSE-04 (29)</t>
  </si>
  <si>
    <t>B24-CSE-05 (29)</t>
  </si>
  <si>
    <t>B24-CSE-06 (29)</t>
  </si>
  <si>
    <t>B24-CSE-07 (29)</t>
  </si>
  <si>
    <t>B24-DSAI-01 (29)</t>
  </si>
  <si>
    <t>B24-DSAI-02 (29)</t>
  </si>
  <si>
    <t>B24-DSAI-03 (28)</t>
  </si>
  <si>
    <t>B24-DSAI-04 (28)</t>
  </si>
  <si>
    <t>B24-DSAI-05 (28)</t>
  </si>
  <si>
    <t>B23-SD-01 (32)</t>
  </si>
  <si>
    <t>B23-SD-02 (32)</t>
  </si>
  <si>
    <t>B23-SD-03 (32)</t>
  </si>
  <si>
    <t>B23-CBS-01 (27)</t>
  </si>
  <si>
    <t>B23-CBS-02 (26)</t>
  </si>
  <si>
    <t>B23-DS-01 (26)</t>
  </si>
  <si>
    <t>B23-DS-02 (26)</t>
  </si>
  <si>
    <t>B23-AI-01 (26)</t>
  </si>
  <si>
    <t>B23-AI-02 (26)</t>
  </si>
  <si>
    <t>B23-GD-01 (18)</t>
  </si>
  <si>
    <t>B23-RO-01 (19)</t>
  </si>
  <si>
    <t>M24-SE-01 (16)</t>
  </si>
  <si>
    <t>M24-SE-02 (15)</t>
  </si>
  <si>
    <t>M24-DS-01 (26)</t>
  </si>
  <si>
    <t xml:space="preserve">M24-RO-01 </t>
  </si>
  <si>
    <t>M24-RO15-01 (14)</t>
  </si>
  <si>
    <t>M24-TE-01 (11)</t>
  </si>
  <si>
    <t>M24-SNE-01 (20)</t>
  </si>
  <si>
    <t>MONDAY</t>
  </si>
  <si>
    <t>09:00-10:30</t>
  </si>
  <si>
    <t>История России</t>
  </si>
  <si>
    <t>Software Project (lec)</t>
  </si>
  <si>
    <t>Capstone Project (lec)</t>
  </si>
  <si>
    <t>Maxim Griger</t>
  </si>
  <si>
    <t>Nursultan Askarbekuly</t>
  </si>
  <si>
    <t>Rustam Lukmanov</t>
  </si>
  <si>
    <t>107 ТОЛЬКО НА 23/06</t>
  </si>
  <si>
    <t>108 ON 02/06, 09/06, 16/06</t>
  </si>
  <si>
    <t>108 ON 16/06</t>
  </si>
  <si>
    <t>10:40-12:10</t>
  </si>
  <si>
    <t>Software Project (tut)</t>
  </si>
  <si>
    <t>12:40-14:10</t>
  </si>
  <si>
    <t>Software Project (lab)</t>
  </si>
  <si>
    <t>Marko Pezer</t>
  </si>
  <si>
    <t>Mahmoud Naderi</t>
  </si>
  <si>
    <t>Danila Danko</t>
  </si>
  <si>
    <t>Imbugwa Gerald</t>
  </si>
  <si>
    <t>318 (314 ON 09/06)</t>
  </si>
  <si>
    <t>101 (303 ON 14/07, 21/07)</t>
  </si>
  <si>
    <t>14:20-15:50</t>
  </si>
  <si>
    <t>Физическая культура и спорт (Теоретическая) - Модуль 1 Психология</t>
  </si>
  <si>
    <t>Элеонора Ильина</t>
  </si>
  <si>
    <t>Alexey Potyomkin</t>
  </si>
  <si>
    <t>107 ТОЛЬКО НА 02/06, 09/06, 16/06</t>
  </si>
  <si>
    <t>16:00-17:30</t>
  </si>
  <si>
    <t>Andrei Sokolov</t>
  </si>
  <si>
    <t>17:40-19:10</t>
  </si>
  <si>
    <t>Physical Culture and Sport Mindfulness | Psychology</t>
  </si>
  <si>
    <t>Andrey Krikunov | Eleonora Ilina</t>
  </si>
  <si>
    <t>ONLINE ON 09/06, 23/06 | 108 ON 16/06, 23/06, 30/06</t>
  </si>
  <si>
    <t>19:20-20:50</t>
  </si>
  <si>
    <t>Physical Culture and Sport Mindfulness</t>
  </si>
  <si>
    <t>Andrey Krikunov</t>
  </si>
  <si>
    <t>ONLINE ON 23/06</t>
  </si>
  <si>
    <t>TUESDAY</t>
  </si>
  <si>
    <t>107 ТОЛЬКО НА 17/06, 08/07, 15/07</t>
  </si>
  <si>
    <t>Industrial Project DS</t>
  </si>
  <si>
    <t>Industrial SNE Project</t>
  </si>
  <si>
    <t>Gcinizwe Dlamini</t>
  </si>
  <si>
    <t>Kirill Saltanov</t>
  </si>
  <si>
    <t>460 EXCEPT 24/06</t>
  </si>
  <si>
    <t>301 EXCEPT 27/05</t>
  </si>
  <si>
    <t>WEDNESDAY</t>
  </si>
  <si>
    <t>107 ТОЛЬКО НА 16/07</t>
  </si>
  <si>
    <t>107 ТОЛЬКО НА 04/06, 11/06</t>
  </si>
  <si>
    <t>Elective course on Physical Education</t>
  </si>
  <si>
    <t>THURSDAY</t>
  </si>
  <si>
    <t>History (lec)</t>
  </si>
  <si>
    <t>Andrey Vasilev</t>
  </si>
  <si>
    <t>107 ТОЛЬКО НА 03/07</t>
  </si>
  <si>
    <t>ONLINE (EXCEPT 05/06, 12/06)</t>
  </si>
  <si>
    <t>108 EXCEPT 12/06</t>
  </si>
  <si>
    <t>FRIDAY</t>
  </si>
  <si>
    <t>Life Safety (lec)</t>
  </si>
  <si>
    <t>Andrei Anisimov</t>
  </si>
  <si>
    <t>107 ТОЛЬКО НА 13/06</t>
  </si>
  <si>
    <t>108 ON 13/06</t>
  </si>
  <si>
    <t>Physical Culture and Sport (Theoretical)-Module 2 Physiology</t>
  </si>
  <si>
    <t>R Project</t>
  </si>
  <si>
    <t>Alexandr Maloletov</t>
  </si>
  <si>
    <t>102 ON 30/05, 6/06, 13/06, 20/06</t>
  </si>
  <si>
    <t>Физическая культура и спорт (Теоретическая) - Модуль 2 Физиология</t>
  </si>
  <si>
    <t>Андрей Анисимов</t>
  </si>
  <si>
    <t>SATURDAY</t>
  </si>
  <si>
    <t>107 ТОЛЬКО НА 12/07</t>
  </si>
  <si>
    <t>108 ON 07/06, 14/06</t>
  </si>
  <si>
    <t>108 ON 21/06</t>
  </si>
  <si>
    <t>108 ON 14/06, 21/06</t>
  </si>
  <si>
    <t>107 ТОЛЬКО НА 21/06</t>
  </si>
  <si>
    <t>108 ON 14/06</t>
  </si>
  <si>
    <t>107 ТОЛЬКО НА 07/06, 14/06, 21/06</t>
  </si>
  <si>
    <t>BS - Year 3</t>
  </si>
  <si>
    <t>PhD - Year 1</t>
  </si>
  <si>
    <t>PhD - Year 2</t>
  </si>
  <si>
    <t>B22-SD-01 (31)</t>
  </si>
  <si>
    <t>B22-SD-02 (28)</t>
  </si>
  <si>
    <t>B22-SD-03 (30)</t>
  </si>
  <si>
    <t>B22-CBS-01 (27)</t>
  </si>
  <si>
    <t>B22-CBS-02 (27)</t>
  </si>
  <si>
    <t>B22-AI-01 (26)</t>
  </si>
  <si>
    <t>B22-AI-02 (26)</t>
  </si>
  <si>
    <t>B22-DS-01 (25)</t>
  </si>
  <si>
    <t>B22-DS-02 (24)</t>
  </si>
  <si>
    <t>B22-GD-01 (15)</t>
  </si>
  <si>
    <t>B22-RO-01 (10)</t>
  </si>
  <si>
    <t>M24-RO-01 / M24-RO15-01 (14)</t>
  </si>
  <si>
    <t>PhD (25)</t>
  </si>
  <si>
    <t>Data Structures and Algorithms (lec)</t>
  </si>
  <si>
    <t>09:10-10:40</t>
  </si>
  <si>
    <t>Introduction to Machine Learning (lec)</t>
  </si>
  <si>
    <t>09:20-10:50</t>
  </si>
  <si>
    <t>Generative AI (lec)</t>
  </si>
  <si>
    <t>free rooms</t>
  </si>
  <si>
    <t>101 / 102 / 103 / 104 / 105 / 106 / 107 / 108 / 111 / 209 / 300 / 301 / 303 / 304 / 305 / 306 / 307 / 308 / 312 / 313 / 314 / 316 / 317 / 318 / 320 / 321 / 421 / 460 / 461</t>
  </si>
  <si>
    <t>Nikolay Kudasov</t>
  </si>
  <si>
    <t>Adil Khan</t>
  </si>
  <si>
    <t>Muhammad Fahim</t>
  </si>
  <si>
    <t>ONLINE</t>
  </si>
  <si>
    <t>Data Structures and Algorithms (tut)</t>
  </si>
  <si>
    <t>10:50-12:20</t>
  </si>
  <si>
    <t>System and Network Administration (lec)</t>
  </si>
  <si>
    <t>Data Wrangling and Visualization (lec)</t>
  </si>
  <si>
    <t>Human-AI Interaction Design (lec)</t>
  </si>
  <si>
    <t>Introduction to Machine Learning (lab)</t>
  </si>
  <si>
    <t>Physics II (lec)</t>
  </si>
  <si>
    <t>11:00-12:30</t>
  </si>
  <si>
    <t>Generative AI (lab)</t>
  </si>
  <si>
    <t>Game Design and Interactive Narrative (lec)</t>
  </si>
  <si>
    <t>Offensive Technologies (lec)</t>
  </si>
  <si>
    <t>Andrea Calì</t>
  </si>
  <si>
    <t>Roman Garaev</t>
  </si>
  <si>
    <t>Victor Nikiforov</t>
  </si>
  <si>
    <t>Ahmad Taha</t>
  </si>
  <si>
    <t>Gulnara Sahibgareeva</t>
  </si>
  <si>
    <t>Andrey Petrovsky</t>
  </si>
  <si>
    <t>106 STARTS AT 10:50</t>
  </si>
  <si>
    <t>Data Structures and Algorithms (lab)</t>
  </si>
  <si>
    <t>English for Academic Purposes II</t>
  </si>
  <si>
    <t>12:50-14:20</t>
  </si>
  <si>
    <t>Distributed and Network Programming (lec)</t>
  </si>
  <si>
    <t>Data Wrangling and Visualization (lab)</t>
  </si>
  <si>
    <t>Physics II (tut)</t>
  </si>
  <si>
    <t>13:00-14:30</t>
  </si>
  <si>
    <t>Advanced Compiler Construction and Program Analysis (lec)</t>
  </si>
  <si>
    <t>Game Design and Interactive Narrative (lab)</t>
  </si>
  <si>
    <t>Vasileva/Kruglova/Rednikova/Saduov/Melnikova/Marouf/
Gelvanovsky</t>
  </si>
  <si>
    <t>Alaa Aldin Hajjar</t>
  </si>
  <si>
    <t>Ikechi Kalu Ndukwe</t>
  </si>
  <si>
    <t>Ali Belal Jnadi</t>
  </si>
  <si>
    <t>Darko Bozhinoski</t>
  </si>
  <si>
    <t>Mahmoud Mousatat</t>
  </si>
  <si>
    <t>103/104/301/304/306/317/421</t>
  </si>
  <si>
    <t>14:30-16:00</t>
  </si>
  <si>
    <t>Physics II (lab)</t>
  </si>
  <si>
    <t>14:40-16:10</t>
  </si>
  <si>
    <t>Advanced Compiler Construction and Program Analysis (lab)</t>
  </si>
  <si>
    <t>No-code development</t>
  </si>
  <si>
    <t>Offensive Technologies (lab)</t>
  </si>
  <si>
    <t>Alexey Stepanov</t>
  </si>
  <si>
    <t>Anatoliy Baskakov</t>
  </si>
  <si>
    <t>Евгения Заяц</t>
  </si>
  <si>
    <t>Hamidullah Muslih</t>
  </si>
  <si>
    <t>308 (460 ON 21/04)</t>
  </si>
  <si>
    <t>ONLINE ON 21/04 STARTS AT 14:30</t>
  </si>
  <si>
    <t>16:10-17:40</t>
  </si>
  <si>
    <t>16:20-17:50</t>
  </si>
  <si>
    <t>Lean Software Development (lab)</t>
  </si>
  <si>
    <t>Introduction to Game Projects and Teams (lec)</t>
  </si>
  <si>
    <t>Marina Ivanova</t>
  </si>
  <si>
    <t>Sergey Golubkin</t>
  </si>
  <si>
    <t>102 ON 28/04</t>
  </si>
  <si>
    <t>17:50-19:20</t>
  </si>
  <si>
    <t>18:00-19:30</t>
  </si>
  <si>
    <t>Introduction to Game Projects and Teams (lab)</t>
  </si>
  <si>
    <t>Ammar Meslmani</t>
  </si>
  <si>
    <t>102 ON 28/04 TILL 21:10</t>
  </si>
  <si>
    <t>System and Network Administration (lab)</t>
  </si>
  <si>
    <t>Distributed and Network Programming (lab)</t>
  </si>
  <si>
    <t>Computer Vision (lec)</t>
  </si>
  <si>
    <t>Mathematical modeling, numerical analysis and software systems (lec)</t>
  </si>
  <si>
    <t>Kamil Sabbagh</t>
  </si>
  <si>
    <t>Awwal Ishiaku</t>
  </si>
  <si>
    <t>Ahmed Nouralla</t>
  </si>
  <si>
    <t>Alexei Kornaev</t>
  </si>
  <si>
    <t>Oleg Kiselev</t>
  </si>
  <si>
    <t>Analytical Geometry and Linear Algebra II (lec)</t>
  </si>
  <si>
    <t>Human-AI Interaction Design (lab)</t>
  </si>
  <si>
    <t>Introduction to Game Development (lec)</t>
  </si>
  <si>
    <t>Fundamental of Robotics (lec)</t>
  </si>
  <si>
    <t>Introduction to Big Data (lab)</t>
  </si>
  <si>
    <t>Communications (lec)</t>
  </si>
  <si>
    <t>Computer Vision (lab)</t>
  </si>
  <si>
    <t>CEO Toolkit</t>
  </si>
  <si>
    <t>Cyber-crime and forensics (lec)</t>
  </si>
  <si>
    <t>M. Reza Bahrami</t>
  </si>
  <si>
    <t>Karim ElDakroury</t>
  </si>
  <si>
    <t>Danil Leontev</t>
  </si>
  <si>
    <t>Ahmadsho Akdodshoev</t>
  </si>
  <si>
    <t>Andrey Zykov</t>
  </si>
  <si>
    <t>Firas Jolha</t>
  </si>
  <si>
    <t>Georgiy Gelvanovskiy / Ushakova Kateryna</t>
  </si>
  <si>
    <t>Kirill Yakovlev</t>
  </si>
  <si>
    <t>Vasil Zakiev</t>
  </si>
  <si>
    <t>301 STARTS AT 11:10</t>
  </si>
  <si>
    <t>Analytical Geometry and Linear Algebra II (tut)</t>
  </si>
  <si>
    <t>Introduction to Game Development (lab)</t>
  </si>
  <si>
    <t>Fundamental of Robotics (lab)</t>
  </si>
  <si>
    <t>Robotic Systems (lec)</t>
  </si>
  <si>
    <t>Cyber-crime and forensics (lab)</t>
  </si>
  <si>
    <t>Salman Ahmadi</t>
  </si>
  <si>
    <t>Rustam Vaydulloev</t>
  </si>
  <si>
    <t>Ilya Kolomin</t>
  </si>
  <si>
    <t>Egor Dmitriev</t>
  </si>
  <si>
    <t>Vladimir Bazilevich</t>
  </si>
  <si>
    <t>Sherif Nafee</t>
  </si>
  <si>
    <t>Albert Demian</t>
  </si>
  <si>
    <t>Simeon Nedelchev</t>
  </si>
  <si>
    <t>Ilnur Mamedbakov</t>
  </si>
  <si>
    <t>301 STARTS AT 12:50</t>
  </si>
  <si>
    <t>Analytical Geometry and Linear Algebra II (lab)</t>
  </si>
  <si>
    <t>Secure System Development (lec)</t>
  </si>
  <si>
    <t>Introduction to Big Data (lec)</t>
  </si>
  <si>
    <t>Industrial Project</t>
  </si>
  <si>
    <t>Evgeniy Marchuk</t>
  </si>
  <si>
    <t>Ramil Nasibullin</t>
  </si>
  <si>
    <t>Zlata Shchedrikova</t>
  </si>
  <si>
    <t>Victor Perevertkin</t>
  </si>
  <si>
    <t>Alberto Sillitti</t>
  </si>
  <si>
    <t>Mansur Khazeev</t>
  </si>
  <si>
    <t>103/104/301/111/306/421/460</t>
  </si>
  <si>
    <t>Online</t>
  </si>
  <si>
    <t>Control Theory (lec)</t>
  </si>
  <si>
    <t>Mathematical modeling (lab)</t>
  </si>
  <si>
    <t>Sergei Savin</t>
  </si>
  <si>
    <t>Julia Tsyganova</t>
  </si>
  <si>
    <t>102 ON 29/04</t>
  </si>
  <si>
    <t>320 ON 15/04</t>
  </si>
  <si>
    <t>CTO Toolkit: Quality, Process, and Team (lec)</t>
  </si>
  <si>
    <t>Alexey Mustafin</t>
  </si>
  <si>
    <t>ONLINE STARTS AT 18:00 TILL 21:10 (102 ON 29/04)</t>
  </si>
  <si>
    <t>ONLINE STARTS AT 20:00</t>
  </si>
  <si>
    <t>Software Systems Analysis and Design (lec)</t>
  </si>
  <si>
    <t>Natural Language Processing (lec)</t>
  </si>
  <si>
    <t>Robotic Systems (lab)</t>
  </si>
  <si>
    <t>Reinforcement Learning and Intelligent Agents (lec)</t>
  </si>
  <si>
    <t>Human Resource for IT-startup: People Strategy</t>
  </si>
  <si>
    <t>Mathematical modeling, numerical analysis and software systems (lab)</t>
  </si>
  <si>
    <t>Modeling and computational Science (lec)</t>
  </si>
  <si>
    <t>Evgeni Zouev</t>
  </si>
  <si>
    <t>Vladimir Ivanov</t>
  </si>
  <si>
    <t>Cham An Fam</t>
  </si>
  <si>
    <t>Nikita Yudin</t>
  </si>
  <si>
    <t>Alina Valencia</t>
  </si>
  <si>
    <t>Anna Maslovskaya</t>
  </si>
  <si>
    <t>ONLINE ON 12/02, 19/02, 05/03, 12/03 STARTS AT 11:00 TILL 14:00</t>
  </si>
  <si>
    <t>101 ON 16/04</t>
  </si>
  <si>
    <t>317 STARTS ON 02/04 EXCEPT 16/04</t>
  </si>
  <si>
    <t>Software Systems Analysis and Design (tut)</t>
  </si>
  <si>
    <t>Natural Language Processing (lab)</t>
  </si>
  <si>
    <t>Models of Software Systems (lec)</t>
  </si>
  <si>
    <t>Advanced Machine Learning (lec)</t>
  </si>
  <si>
    <t>Reinforcement Learning and Intelligent Agents (lab)</t>
  </si>
  <si>
    <t>Modeling and computational Science (lab)</t>
  </si>
  <si>
    <t>Munir Makhmutov</t>
  </si>
  <si>
    <t>Georgy Andryushchenko</t>
  </si>
  <si>
    <t>Manuel Mazzara</t>
  </si>
  <si>
    <t>Leonard Johard</t>
  </si>
  <si>
    <t>Software Systems Analysis and Design (lab)</t>
  </si>
  <si>
    <t>Databases (lec)</t>
  </si>
  <si>
    <t>Lean Software Development (lec)</t>
  </si>
  <si>
    <t>Architecture of Software Systems (lec)</t>
  </si>
  <si>
    <t>Advanced Machine Learning (lab)</t>
  </si>
  <si>
    <t>Damir Nurtdinov</t>
  </si>
  <si>
    <t>Hamza Salem</t>
  </si>
  <si>
    <t>Giancarlo Succi</t>
  </si>
  <si>
    <t>Denis Nikolskiy</t>
  </si>
  <si>
    <t>Евгения Заяц, Kirill Pshinnik</t>
  </si>
  <si>
    <t>ONLINE ON 30/04, STARTS AT 14:00</t>
  </si>
  <si>
    <t>Databases (tut)</t>
  </si>
  <si>
    <t>Architecture of Software Systems (tut)</t>
  </si>
  <si>
    <t>Advanced Information Retrieval (lec)</t>
  </si>
  <si>
    <t>Vyacheslav Sergeev</t>
  </si>
  <si>
    <t>Databases (lab)</t>
  </si>
  <si>
    <t>Secure System Development (lab)</t>
  </si>
  <si>
    <t>Advanced Information Retrieval (lab)</t>
  </si>
  <si>
    <t>Computational Intelligence (lec)</t>
  </si>
  <si>
    <t>ONLINE ON 07/05</t>
  </si>
  <si>
    <t>Computational Intelligence (lab)</t>
  </si>
  <si>
    <t>Marketing and Sales for IT Business</t>
  </si>
  <si>
    <t>Anastasiya Andronova</t>
  </si>
  <si>
    <t>Ilya Aksenov</t>
  </si>
  <si>
    <t>ONLINE ON 07/05 TILL 21:10</t>
  </si>
  <si>
    <t>ONLINE STARTS ON 05/03 STARTS AT 18:00</t>
  </si>
  <si>
    <t>ONLINE ON 24/04, STARTS AT 10:00</t>
  </si>
  <si>
    <t>317 ON 17/04</t>
  </si>
  <si>
    <t>Theoretical Computer Science (lec)</t>
  </si>
  <si>
    <t>Explainable and Fair AI (lec)</t>
  </si>
  <si>
    <t>Data Mining (lec)</t>
  </si>
  <si>
    <t>Artificial Intelligence in Games (lec)</t>
  </si>
  <si>
    <t>Signals and Systems</t>
  </si>
  <si>
    <t>Armen Beklaryan</t>
  </si>
  <si>
    <t>Nikola Zlatanov</t>
  </si>
  <si>
    <t>ONLINE ON 24/04, STARTS AT 11:30</t>
  </si>
  <si>
    <t>Theoretical Computer Science (tut)</t>
  </si>
  <si>
    <t>Software Quality, Reliability and Security (lab)</t>
  </si>
  <si>
    <t>Explainable and Fair AI (lab)</t>
  </si>
  <si>
    <t>Data Mining (lab)</t>
  </si>
  <si>
    <t>Software Quality, Reliability and Security (tut)</t>
  </si>
  <si>
    <t>Big Data Technologies and Analytics (lec)</t>
  </si>
  <si>
    <t>Sherif Nafee, Ahror Jabborov, Rawan Ali</t>
  </si>
  <si>
    <t>Albert Nasybullin</t>
  </si>
  <si>
    <t>Theoretical Computer Science (lab)</t>
  </si>
  <si>
    <t>Computer Graphics in Game Development (lab)</t>
  </si>
  <si>
    <t>DevOps Engineering (lec)</t>
  </si>
  <si>
    <t>Artificial Intelligence in Games (lab)</t>
  </si>
  <si>
    <t>Autonomous and Mobile Robotics (lec)</t>
  </si>
  <si>
    <t>Big Data Technologies and Analytics (lab)</t>
  </si>
  <si>
    <t>Advanced Security</t>
  </si>
  <si>
    <t>Al Badr Amer</t>
  </si>
  <si>
    <t>Ivan Belyavtsev</t>
  </si>
  <si>
    <t>Dmitry Creed</t>
  </si>
  <si>
    <t>Almaghout Karam</t>
  </si>
  <si>
    <t>Anna Melekhova</t>
  </si>
  <si>
    <t>103/104/301/304/306/421/460</t>
  </si>
  <si>
    <t>102 ON 10/04 (ONLINE ON 27/03, 03/04, 17/04, 24/04, 01/05)</t>
  </si>
  <si>
    <t>ONLINE ON 03/04 STARTS AT 15:30</t>
  </si>
  <si>
    <t>DevOps Engineering (lab)</t>
  </si>
  <si>
    <t>Autonomous and Mobile Robotics (lab)</t>
  </si>
  <si>
    <t>Ghadeer Issa</t>
  </si>
  <si>
    <t>Ahsan Kazmi</t>
  </si>
  <si>
    <t>101 (303 ON 24/04)</t>
  </si>
  <si>
    <t>321 (318 ON 24/04)</t>
  </si>
  <si>
    <t>Mathematical Analysis II (lec)</t>
  </si>
  <si>
    <t>Nature Inspired Computing (lec)</t>
  </si>
  <si>
    <t>Nikolay Shilov</t>
  </si>
  <si>
    <t>301 STARTS AT 10:00 ON 04/04, 11/04, 18/04, 25/04</t>
  </si>
  <si>
    <t>Mathematical Analysis II (tut)</t>
  </si>
  <si>
    <t>Nature Inspired Computing (lab)</t>
  </si>
  <si>
    <t>Control Theory (lab)</t>
  </si>
  <si>
    <t>Models of Software Systems (tut)</t>
  </si>
  <si>
    <t>Advanced Statistics (lec)</t>
  </si>
  <si>
    <t>Valeria Skvortsova</t>
  </si>
  <si>
    <t>103 (316 ON 25/04)</t>
  </si>
  <si>
    <t>321 (314 ON 25/04)</t>
  </si>
  <si>
    <t>300 (209 ON 25/04)</t>
  </si>
  <si>
    <t>301 STARTS AT 11:40 ON 04/04, 11/04, 18/04, 25/04</t>
  </si>
  <si>
    <t>Mathematical Analysis II (lab)</t>
  </si>
  <si>
    <t>Networks (lec)</t>
  </si>
  <si>
    <t>Models of Software Systems (lab)</t>
  </si>
  <si>
    <t>Advanced Statistics (lab)</t>
  </si>
  <si>
    <t>Arthur Zagidullin</t>
  </si>
  <si>
    <t>Artem Burmyakov</t>
  </si>
  <si>
    <t>Naveed Zafar</t>
  </si>
  <si>
    <t>300 (312 ON 25/04)</t>
  </si>
  <si>
    <t>304 (209 ON 25/04)</t>
  </si>
  <si>
    <t>Networks (tut)</t>
  </si>
  <si>
    <t>History and Philosophy of Science</t>
  </si>
  <si>
    <t>Artur Karimov</t>
  </si>
  <si>
    <t>ONLINE STARTS AT 15:00</t>
  </si>
  <si>
    <t>Networks (lab)</t>
  </si>
  <si>
    <t>Research methodology for Robotics (lec)</t>
  </si>
  <si>
    <t>Evgeny Gerasimov</t>
  </si>
  <si>
    <t>Arsen Mutalapov</t>
  </si>
  <si>
    <t>Nikita Grigorenko</t>
  </si>
  <si>
    <t>Stanislav Protasov</t>
  </si>
  <si>
    <t>320 ON 18/04</t>
  </si>
  <si>
    <t>Advanced Linux (lec)</t>
  </si>
  <si>
    <t>Ildar Kamaletdinov</t>
  </si>
  <si>
    <t>107 ON 22/03, 5/04, 12/04, 19/04 (ONLINE ON 26/04)</t>
  </si>
  <si>
    <t>Advanced Linux (lab)</t>
  </si>
  <si>
    <t>Dmitrii Alekhin</t>
  </si>
  <si>
    <t>316 ON 22/03, 5/04, 12/04, 19/04 (ONLINE ON 26/04)</t>
  </si>
  <si>
    <t>317 ON 22/03, 5/04, 12/04, 19/04 (ONLINE ON 26/04)</t>
  </si>
  <si>
    <t>ONLINE ON 03/03, 10/03 STARTS AT 11:00 TILL 12:30</t>
  </si>
  <si>
    <t>ONLINE ON 03/03, 10/03 STARTS AT 12:30 TILL 14:00</t>
  </si>
  <si>
    <t>Advanced Robotics (lab)</t>
  </si>
  <si>
    <t>Mikhail Moshchanetskii</t>
  </si>
  <si>
    <t>Kirill Pshinnik</t>
  </si>
  <si>
    <t>111 ON 17/03</t>
  </si>
  <si>
    <t>ONLINE ON 31/03, 14/04 STARTS AT 14:30</t>
  </si>
  <si>
    <t>ONLINE ON 31/03, 14/04 STARTS AT 16:00</t>
  </si>
  <si>
    <t>Theoretical Mechanics (lec)</t>
  </si>
  <si>
    <t>316 (312 ON 04/03)</t>
  </si>
  <si>
    <t>Theoretical Mechanics (lab)</t>
  </si>
  <si>
    <t>Sensors &amp; Sensing (lab)</t>
  </si>
  <si>
    <t>Large Systems</t>
  </si>
  <si>
    <t>Marchuk Evgeniy</t>
  </si>
  <si>
    <t>Vyacheslav Koshman</t>
  </si>
  <si>
    <t>Paolo Ciancarini</t>
  </si>
  <si>
    <t>Vasily Zyabkin / Hamidullah Muslih</t>
  </si>
  <si>
    <t>209 (421 ON 01/04)</t>
  </si>
  <si>
    <t>Online (461 ON 11/03)</t>
  </si>
  <si>
    <t>320 ON 18/03</t>
  </si>
  <si>
    <t>Introduction to Game Projects and Teams (lec + lab)</t>
  </si>
  <si>
    <t>ONLINE STARTS AT 18:00 TILL 21:10</t>
  </si>
  <si>
    <t>321 EXCEPT 01/04</t>
  </si>
  <si>
    <t>ONLINE ON 05/03, 12/03 STARTS AT 11:00 TILL 14:00</t>
  </si>
  <si>
    <t>316 (320 ON 19/03)</t>
  </si>
  <si>
    <t>ONLINE ON 12/02, 19/02, 12/03</t>
  </si>
  <si>
    <t>Guide to organizing research dissertation (lec)</t>
  </si>
  <si>
    <t>ONLINE ON 03/04, 17/04, STARTS AT 10:00</t>
  </si>
  <si>
    <t>304 STARTS ON 20/02</t>
  </si>
  <si>
    <t>Guide to organizing research dissertation (lab)</t>
  </si>
  <si>
    <t>ONLINE ON 03/04, 17/04, STARTS AT 11:30</t>
  </si>
  <si>
    <t>Online EXCEPT 06/03</t>
  </si>
  <si>
    <t>ONLINE (307 ON 13/03)</t>
  </si>
  <si>
    <t>102 ON 06/02, 27/02, 20/03</t>
  </si>
  <si>
    <t>321 (307 ON 13/03)</t>
  </si>
  <si>
    <t>305 ON 06/03</t>
  </si>
  <si>
    <t>ONLINE ON 07/03 STARTS AT 11:00 TILL 12:30</t>
  </si>
  <si>
    <t>ONLINE ON 07/03 STARTS AT 12:30 TILL 14:00</t>
  </si>
  <si>
    <t>101 ON 07/03</t>
  </si>
  <si>
    <t>Emeka Michael Nzeopara / Samson Idowu</t>
  </si>
  <si>
    <t>320 ON 21/03</t>
  </si>
  <si>
    <t>101 ON 22/03</t>
  </si>
  <si>
    <t>Sensors &amp; Sensing (lec)</t>
  </si>
  <si>
    <t>Advanced Robotics (lec)</t>
  </si>
  <si>
    <t>Ilya Afanasyev</t>
  </si>
  <si>
    <t>304 ON 08/02, 01/03, 22/03</t>
  </si>
  <si>
    <t>105 ON 15/03, 22/03, 5/04, 12/04, 19/04 (ONLINE ON 26/04)</t>
  </si>
  <si>
    <t>316 STARTS ON 15/03 STARTS AT 11:10</t>
  </si>
  <si>
    <t>316 ON 15/03, 22/03, 5/04, 12/04, 19/04 (ONLINE ON 26/04)</t>
  </si>
  <si>
    <t>317 ON 15/03, 22/03, 5/04, 12/04, 19/04 (ONLINE ON 26/04)</t>
  </si>
  <si>
    <t>308 (421 ON 22/04)</t>
  </si>
  <si>
    <t>305 (314 ON 22/04)</t>
  </si>
  <si>
    <t>304 (321 ON 22/04)</t>
  </si>
  <si>
    <t>461 (101 ON 22/04)</t>
  </si>
  <si>
    <t>304 (320 ON 22/04)</t>
  </si>
  <si>
    <t>101 (316 ON 22/04)</t>
  </si>
  <si>
    <t>312 (300 ON 24/04)</t>
  </si>
  <si>
    <t>308 (303 ON 10/04, 17/04, 24/04)</t>
  </si>
  <si>
    <t>B24-AI360-01 (10)</t>
  </si>
  <si>
    <t>Математический анализ (лек)</t>
  </si>
  <si>
    <t>Олег Киселев</t>
  </si>
  <si>
    <t>Математический анализ (тут)</t>
  </si>
  <si>
    <t>Алгоритмы и программирование (лек)</t>
  </si>
  <si>
    <t>Андрей Станкевич</t>
  </si>
  <si>
    <t>Онлайн</t>
  </si>
  <si>
    <t>Алгоритмы и программирование (тут)</t>
  </si>
  <si>
    <t>Алгоритмы и программирование (лаб)</t>
  </si>
  <si>
    <t>Введение в математическую статистику (лек)</t>
  </si>
  <si>
    <t>Дамир Нуртдинов</t>
  </si>
  <si>
    <t>Эксперты индустрии</t>
  </si>
  <si>
    <t>19:20-21:00</t>
  </si>
  <si>
    <t>Математический анализ (лаб)</t>
  </si>
  <si>
    <t>Vladislav Katkov</t>
  </si>
  <si>
    <t>Михаил Кусков</t>
  </si>
  <si>
    <t>Михаил Мощанецкий</t>
  </si>
  <si>
    <t>English for Academic Purposes I</t>
  </si>
  <si>
    <t>103/304/306/460</t>
  </si>
  <si>
    <t>103/306/460</t>
  </si>
  <si>
    <t>Программирование на Python I (лек)</t>
  </si>
  <si>
    <t>Алексей Толстиков</t>
  </si>
  <si>
    <t xml:space="preserve">Онлайн </t>
  </si>
  <si>
    <t>Общая физика (лаб)</t>
  </si>
  <si>
    <t>Зураб Отарашвили/Дарья Карпухина/Валерия Скворцова/Солех Муминов</t>
  </si>
  <si>
    <t>Философия</t>
  </si>
  <si>
    <t>Зураб Отарашвили/Дарья Карпухина/
Валерия Скворцова/Солех Муминов</t>
  </si>
  <si>
    <t>Павел Вавилов</t>
  </si>
  <si>
    <t>Вычислительная линейная алгебра (лек)</t>
  </si>
  <si>
    <t>Максим Рахуба / Yaroslav Kholodov</t>
  </si>
  <si>
    <t>Вычислительная линейная алгебра (тут)</t>
  </si>
  <si>
    <t>Elective courses on Physical Education</t>
  </si>
  <si>
    <t>Вычислительная линейная алгебра (лаб)</t>
  </si>
  <si>
    <t>Elena Kornaeva</t>
  </si>
  <si>
    <t>Mohammad Alkousa</t>
  </si>
  <si>
    <t>103/304/305/306/460</t>
  </si>
  <si>
    <t>103/305/306/460</t>
  </si>
  <si>
    <t>Общая физика (лек)</t>
  </si>
  <si>
    <t>Кирилл Клименок</t>
  </si>
  <si>
    <t>Дискретная математика (лек)</t>
  </si>
  <si>
    <t>Андрей Михайлович Райгородский / Андрей Фролов</t>
  </si>
  <si>
    <t>Дискретная математика (тут)</t>
  </si>
  <si>
    <t>Дискретная математика (лаб)</t>
  </si>
  <si>
    <t>Злата Щедрикова</t>
  </si>
  <si>
    <t>Введение в задачи искусственного интеллекта</t>
  </si>
  <si>
    <t>Онлайн (TBA) 
начало в 18:30</t>
  </si>
  <si>
    <t>460 (320 ON 23/04)</t>
  </si>
  <si>
    <t>308 (314 ON 23/04)</t>
  </si>
  <si>
    <t>106 STARTS AT 9:00 ON 07/04</t>
  </si>
  <si>
    <t>461 (318 ON 21/04)</t>
  </si>
  <si>
    <t>308 (320 ON 23/04)</t>
  </si>
  <si>
    <t>308 EXCEPT 23/04</t>
  </si>
  <si>
    <t>312 (318 ON 23/04)</t>
  </si>
  <si>
    <t>111 ON 23/04</t>
  </si>
  <si>
    <t>461 (102 ON 24/04)</t>
  </si>
  <si>
    <t>105 (107 ON 24/04)</t>
  </si>
  <si>
    <t>312 (316 ON 24/04)</t>
  </si>
  <si>
    <t>461 (102 ON 24/04 STARTS AT 12:50)</t>
  </si>
  <si>
    <t>461 (107 ON 24/04)</t>
  </si>
  <si>
    <t>461 (316 ON 24/04)</t>
  </si>
  <si>
    <t>ONLINE ON 10/03 STARTS AT 11:00 TILL 12:30</t>
  </si>
  <si>
    <t>305 (316 ON 21/04)</t>
  </si>
  <si>
    <t>ONLINE ON 10/03 STARTS AT 12:30 TILL 14:00</t>
  </si>
  <si>
    <t>312 (111 ON 23/04)</t>
  </si>
  <si>
    <t>104 (301 ON 24/04)</t>
  </si>
  <si>
    <t>111 EXCEPT 17/02</t>
  </si>
  <si>
    <t>ONLINE ON 10/02, 17/02, 03/03, 10/03 STARTS AT 11:00 TILL 12:30</t>
  </si>
  <si>
    <t>103/104/301/304/305/306/317/421</t>
  </si>
  <si>
    <t>ONLINE ON 10/02, 17/02, 03/03, 10/03 STARTS AT 12:30 TILL 14:00</t>
  </si>
  <si>
    <t>Software Quality, Reliability and Security (lec)</t>
  </si>
  <si>
    <t>Andrey Sadovykh</t>
  </si>
  <si>
    <t>ONLINE (STARTS ON 25/02)</t>
  </si>
  <si>
    <t>105 ON 28/01, 04/02, 11/02</t>
  </si>
  <si>
    <t>306 STARTS AT 11:10</t>
  </si>
  <si>
    <t>306 STARTS AT 12:50</t>
  </si>
  <si>
    <t>103/104/301/111/305/306/421/460</t>
  </si>
  <si>
    <t>105 ON 04/02</t>
  </si>
  <si>
    <t>Online (321 ON 11/02)</t>
  </si>
  <si>
    <t>ONLINE EXCEPT 11/02</t>
  </si>
  <si>
    <t>320 ON 25/02</t>
  </si>
  <si>
    <t>105 ON 29/01, 05/02, 12/02</t>
  </si>
  <si>
    <t>105 (106 ON 19/02)</t>
  </si>
  <si>
    <t>312 (318 ON 26/02)</t>
  </si>
  <si>
    <t>105 ON 27/02 STARTS AT 9:00</t>
  </si>
  <si>
    <t xml:space="preserve">Karim ElDakroury </t>
  </si>
  <si>
    <t>105 STARTS ON 20/02</t>
  </si>
  <si>
    <t>103/104/301/304/305/306/421/460</t>
  </si>
  <si>
    <t>ONLINE ON 14/02, 21/02, 07/03 STARTS AT 11:00 TILL 12:30</t>
  </si>
  <si>
    <t>320 (305 ON 14/02, 28/02)</t>
  </si>
  <si>
    <t>ONLINE ON 14/02, 21/02, 07/03 STARTS AT 12:30 TILL 14:00</t>
  </si>
  <si>
    <t>308 (461 ON 07/02)</t>
  </si>
  <si>
    <t>312 (321 ON 07/02)</t>
  </si>
  <si>
    <t>320 ON 28/02</t>
  </si>
  <si>
    <t>101 ON 01/03</t>
  </si>
  <si>
    <t>107 ON 15/02, 22/02, 15/03, 22/03, 5/04, 12/04, 19/04 (ONLINE ON 26/04)</t>
  </si>
  <si>
    <t>303 EXCEPT 22/02</t>
  </si>
  <si>
    <t>316 ON 15/02, 22/02, 15/03, 22/03, 5/04, 12/04, 19/04 (ONLINE ON 26/04)</t>
  </si>
  <si>
    <t>317 ON 15/02, 22/02, 15/03, 22/03, 5/04, 12/04, 19/04 (ONLINE ON 26/04)</t>
  </si>
  <si>
    <t>316ON 15/02, 22/02, 15/03, 22/03, 5/04, 12/04, 19/04 (ONLINE ON 26/04)</t>
  </si>
  <si>
    <t>BS - Year 4</t>
  </si>
  <si>
    <t>MS - Year 2</t>
  </si>
  <si>
    <t>B23-ISE-01 (32)</t>
  </si>
  <si>
    <t>B23-ISE-02 (31)</t>
  </si>
  <si>
    <t>B23-ISE-03 (32)</t>
  </si>
  <si>
    <t>B23-ISE-04 (29)</t>
  </si>
  <si>
    <t>B23-ISE-05 (31)</t>
  </si>
  <si>
    <t>B23-DSAI-01 (32)</t>
  </si>
  <si>
    <t>B23-DSAI-02 (31)</t>
  </si>
  <si>
    <t>B23-DSAI-03 (30)</t>
  </si>
  <si>
    <t>B23-DSAI-04 (31)</t>
  </si>
  <si>
    <t>B23-DSAI-05 (30)</t>
  </si>
  <si>
    <t>B22-SD-02 (31)</t>
  </si>
  <si>
    <t>B22-SD-03 (31)</t>
  </si>
  <si>
    <t>B22-CBS-01 (28)</t>
  </si>
  <si>
    <t>B22-CBS-02 (28)</t>
  </si>
  <si>
    <t>B22-DS-02 (25)</t>
  </si>
  <si>
    <t>B22-AI-01 (28)</t>
  </si>
  <si>
    <t>B22-AI-02 (28)</t>
  </si>
  <si>
    <t>B22-GD-01 (19)</t>
  </si>
  <si>
    <t>B22-RO-01 (11)</t>
  </si>
  <si>
    <t>B21-SD-01 (26)</t>
  </si>
  <si>
    <t>B21-SD-02 (25)</t>
  </si>
  <si>
    <t>B21-SD-03 (27)</t>
  </si>
  <si>
    <t>B21-CS-01 (28)</t>
  </si>
  <si>
    <t>B21-AI-01 (29)</t>
  </si>
  <si>
    <t>B21-DS-01 (23)</t>
  </si>
  <si>
    <t>B21-DS-02 (25)</t>
  </si>
  <si>
    <t>B21-RO-01 (5)</t>
  </si>
  <si>
    <t>B20-SD-01 (27)</t>
  </si>
  <si>
    <t>B20-SD-02 (27)</t>
  </si>
  <si>
    <t>B20-CS-01 (32)</t>
  </si>
  <si>
    <t>B20-DS-01 (17)</t>
  </si>
  <si>
    <t>B20-AI-01 (29)</t>
  </si>
  <si>
    <t>B20-RO-01 (16)</t>
  </si>
  <si>
    <t>M23-SE-01 (18)</t>
  </si>
  <si>
    <t>M23-SE-02 (14)</t>
  </si>
  <si>
    <t>M23-DS-01 (26)</t>
  </si>
  <si>
    <t>M23-RO-01 (9)</t>
  </si>
  <si>
    <t>M23-TE-01 (3)</t>
  </si>
  <si>
    <t>M22-DS-01 (14)</t>
  </si>
  <si>
    <t>M22-RO-01 (10)</t>
  </si>
  <si>
    <t>Statistical Techniques (lec)</t>
  </si>
  <si>
    <t>Game Theory (lec)</t>
  </si>
  <si>
    <t>09:30-11:00</t>
  </si>
  <si>
    <t>Analysis of Sofware Artifacts (lec)</t>
  </si>
  <si>
    <t>ONLINE/105</t>
  </si>
  <si>
    <r>
      <rPr>
        <rFont val="Arial"/>
        <color theme="1"/>
      </rPr>
      <t xml:space="preserve">106 </t>
    </r>
    <r>
      <rPr>
        <rFont val="Arial"/>
        <b/>
        <color theme="1"/>
      </rPr>
      <t>STARTS AT 9:20</t>
    </r>
  </si>
  <si>
    <r>
      <rPr>
        <rFont val="Arial"/>
        <color theme="1"/>
      </rPr>
      <t xml:space="preserve">106 </t>
    </r>
    <r>
      <rPr>
        <rFont val="Arial"/>
        <b/>
        <color theme="1"/>
      </rPr>
      <t>STARTS AT 9:20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</si>
  <si>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 01/04)</t>
    </r>
  </si>
  <si>
    <t>Game Theory (lab)</t>
  </si>
  <si>
    <t>11:10-12:40</t>
  </si>
  <si>
    <t>Statistical Techniques (lab)</t>
  </si>
  <si>
    <t>Emeka Michael Nzeopara</t>
  </si>
  <si>
    <t>Zamira Kholmatova</t>
  </si>
  <si>
    <r>
      <rPr>
        <rFont val="Arial"/>
        <color theme="1"/>
      </rPr>
      <t xml:space="preserve">421 </t>
    </r>
    <r>
      <rPr>
        <rFont val="Arial"/>
        <b/>
        <color theme="1"/>
      </rPr>
      <t>STARTS AT 11:00</t>
    </r>
  </si>
  <si>
    <r>
      <rPr>
        <rFont val="Arial"/>
        <color theme="1"/>
      </rPr>
      <t xml:space="preserve">303 </t>
    </r>
    <r>
      <rPr>
        <rFont val="Arial"/>
        <b/>
        <color theme="1"/>
      </rPr>
      <t>STARTS AT 11:00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</si>
  <si>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 01/04)</t>
    </r>
  </si>
  <si>
    <t>13:10-14:40</t>
  </si>
  <si>
    <t>ONLINE STARTS AT 13:00</t>
  </si>
  <si>
    <r>
      <rPr>
        <rFont val="Arial"/>
        <color theme="1"/>
      </rPr>
      <t xml:space="preserve">107 </t>
    </r>
    <r>
      <rPr>
        <rFont val="Arial"/>
        <b/>
        <color theme="1"/>
      </rPr>
      <t>(ON 01/04)</t>
    </r>
  </si>
  <si>
    <t>14:50-16:20</t>
  </si>
  <si>
    <t>AbdelRahman Abounegm</t>
  </si>
  <si>
    <t>John Olatunde</t>
  </si>
  <si>
    <r>
      <rPr>
        <rFont val="Arial"/>
        <color theme="1"/>
      </rPr>
      <t>313</t>
    </r>
    <r>
      <rPr>
        <rFont val="Arial"/>
        <b/>
        <color theme="1"/>
      </rPr>
      <t xml:space="preserve"> (307 ON 08/04)</t>
    </r>
  </si>
  <si>
    <t>16:30-18:00</t>
  </si>
  <si>
    <t>18:10-19:40</t>
  </si>
  <si>
    <t>Amirreza Darvishzadeh</t>
  </si>
  <si>
    <t>Georgiy Gelvanovskiy, Hamza Salem</t>
  </si>
  <si>
    <t>321 (ONLY ON 23/04)</t>
  </si>
  <si>
    <t>Jayveersinh Raj</t>
  </si>
  <si>
    <t>Yusuf Mesbah</t>
  </si>
  <si>
    <t>Lada Morozova</t>
  </si>
  <si>
    <r>
      <rPr>
        <rFont val="Arial"/>
        <color theme="1"/>
      </rPr>
      <t>104</t>
    </r>
    <r>
      <rPr>
        <rFont val="Arial"/>
        <b/>
        <color theme="1"/>
      </rPr>
      <t>(452 TILL 10/04)</t>
    </r>
  </si>
  <si>
    <t>ONLINE (ONLY ON 02/04) starts at 10:50</t>
  </si>
  <si>
    <t>Gelvanovsky, Rednikova, Kruglova, Melnikova, Saduov, Marouf, Vasilyeva</t>
  </si>
  <si>
    <t>Ahror Jabborov</t>
  </si>
  <si>
    <t>Mohammad Shahin</t>
  </si>
  <si>
    <t>Sergey Zykov</t>
  </si>
  <si>
    <t>106/108/301/312/321/421</t>
  </si>
  <si>
    <r>
      <rPr>
        <rFont val="Arial"/>
        <color theme="1"/>
      </rPr>
      <t xml:space="preserve">106 </t>
    </r>
    <r>
      <rPr>
        <rFont val="Arial"/>
        <b/>
        <color theme="1"/>
      </rPr>
      <t>(ONLY ON 16/04)</t>
    </r>
  </si>
  <si>
    <t>ONLINE (ONLY ON 02/04) starts at 12:50</t>
  </si>
  <si>
    <t>STARTS AT 13:00</t>
  </si>
  <si>
    <t>106/108/301/304/312/321/421</t>
  </si>
  <si>
    <t>ONLINE (ONLY ON 02/04) starts at 14:20</t>
  </si>
  <si>
    <t xml:space="preserve">Distributed and Networking Programming (lec) </t>
  </si>
  <si>
    <t>Design of software interfaces (lec)</t>
  </si>
  <si>
    <t xml:space="preserve">Shinnazar Seytnazarov </t>
  </si>
  <si>
    <t>Haytham Hamed</t>
  </si>
  <si>
    <t>106/301/304/312/321/421</t>
  </si>
  <si>
    <r>
      <rPr>
        <rFont val="Arial"/>
        <color theme="1"/>
      </rPr>
      <t xml:space="preserve">106 </t>
    </r>
    <r>
      <rPr>
        <rFont val="Arial"/>
        <b/>
        <color theme="1"/>
      </rPr>
      <t>(EXCEPT 16/04)</t>
    </r>
  </si>
  <si>
    <t>314/317</t>
  </si>
  <si>
    <t>312/301</t>
  </si>
  <si>
    <r>
      <rPr>
        <rFont val="Arial"/>
        <color theme="1"/>
      </rPr>
      <t xml:space="preserve">314 </t>
    </r>
    <r>
      <rPr>
        <rFont val="Arial"/>
        <b/>
        <color theme="1"/>
      </rPr>
      <t>(ON 27/03)</t>
    </r>
  </si>
  <si>
    <t>Yaroslav Kholodov</t>
  </si>
  <si>
    <r>
      <rPr>
        <rFont val="Arial"/>
        <color theme="1"/>
      </rPr>
      <t xml:space="preserve">314 </t>
    </r>
    <r>
      <rPr>
        <rFont val="Arial"/>
        <b/>
        <color theme="1"/>
      </rPr>
      <t>(ON 27/03)</t>
    </r>
  </si>
  <si>
    <t>304/305</t>
  </si>
  <si>
    <r>
      <rPr>
        <rFont val="Arial"/>
        <color theme="1"/>
      </rPr>
      <t xml:space="preserve">314 </t>
    </r>
    <r>
      <rPr>
        <rFont val="Arial"/>
        <b/>
        <color theme="1"/>
      </rPr>
      <t>(ON 27/03)</t>
    </r>
  </si>
  <si>
    <t>304/</t>
  </si>
  <si>
    <t>Distributed and Networking Programming (lab)</t>
  </si>
  <si>
    <t>Daniel Elambo Atonge</t>
  </si>
  <si>
    <t>Ivan Konyukhov</t>
  </si>
  <si>
    <t>Oleg Bulichev</t>
  </si>
  <si>
    <t>Asem Abdelhady</t>
  </si>
  <si>
    <t>Vladislav Deryabkin</t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</si>
  <si>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</si>
  <si>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t>305/</t>
  </si>
  <si>
    <t>Design of software interfaces (lab)</t>
  </si>
  <si>
    <t>Saleh Hadi</t>
  </si>
  <si>
    <t>Mohamed Mosab</t>
  </si>
  <si>
    <t>Mikhail Kuskov</t>
  </si>
  <si>
    <t>Naghmeh Mohammadifar</t>
  </si>
  <si>
    <r>
      <rPr>
        <rFont val="Arial"/>
        <color theme="1"/>
      </rPr>
      <t xml:space="preserve">104 </t>
    </r>
    <r>
      <rPr>
        <rFont val="Arial"/>
        <b/>
        <color theme="1"/>
      </rPr>
      <t>(102 TILL 10/04)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</si>
  <si>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</si>
  <si>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t>318 (ONLY ON 03/04, 10/04, 17/04)</t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</si>
  <si>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</si>
  <si>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t>Reinforcement Learning and Intelligent Agents(lec)</t>
  </si>
  <si>
    <t>Ivan Konovalenko</t>
  </si>
  <si>
    <t>Total Virtualization (lec)</t>
  </si>
  <si>
    <t>Academic Research and Writing Culture 2</t>
  </si>
  <si>
    <t>Reinforcement Learning and Intelligent Agents(lab)</t>
  </si>
  <si>
    <t>Rednikova, Melnikova, Zhirosh, Saduov, Marouf</t>
  </si>
  <si>
    <t>Navid Zafar</t>
  </si>
  <si>
    <t>304/314/421/301</t>
  </si>
  <si>
    <t>Andrey Frolov</t>
  </si>
  <si>
    <t>Rawan Ali</t>
  </si>
  <si>
    <r>
      <rPr>
        <rFont val="Arial"/>
        <color theme="1"/>
      </rPr>
      <t xml:space="preserve">308 </t>
    </r>
    <r>
      <rPr>
        <rFont val="Arial"/>
        <b/>
        <color theme="1"/>
      </rPr>
      <t>(312 ON 28/03,25/04)</t>
    </r>
  </si>
  <si>
    <t>Arina Kharlamova</t>
  </si>
  <si>
    <t>304 (ONLY ON 25/04)</t>
  </si>
  <si>
    <r>
      <rPr>
        <rFont val="Arial"/>
        <color theme="1"/>
      </rPr>
      <t xml:space="preserve">308 </t>
    </r>
    <r>
      <rPr>
        <rFont val="Arial"/>
        <b/>
        <color theme="1"/>
      </rPr>
      <t>(320 ON 25/04)</t>
    </r>
  </si>
  <si>
    <r>
      <rPr>
        <rFont val="Arial"/>
        <color theme="1"/>
      </rPr>
      <t xml:space="preserve">104 </t>
    </r>
    <r>
      <rPr>
        <rFont val="Arial"/>
        <b/>
        <color theme="1"/>
      </rPr>
      <t>(106 TILL 10/04)</t>
    </r>
  </si>
  <si>
    <r>
      <rPr>
        <rFont val="Arial"/>
        <color theme="1"/>
      </rPr>
      <t>312/314/317/</t>
    </r>
    <r>
      <rPr>
        <rFont val="Arial"/>
        <i/>
        <color theme="1"/>
      </rPr>
      <t>301</t>
    </r>
  </si>
  <si>
    <t>Total Virtualization (lab)</t>
  </si>
  <si>
    <t>CTO Toolkit: Quality, Process, and Team (lab)</t>
  </si>
  <si>
    <t>Azat Yakupov</t>
  </si>
  <si>
    <t>Gleb Shalimov</t>
  </si>
  <si>
    <t>Marketing and Sales for IT Business (lec)</t>
  </si>
  <si>
    <t>Imre Delgado</t>
  </si>
  <si>
    <t>Konstantin Anisimov</t>
  </si>
  <si>
    <r>
      <rPr>
        <rFont val="Arial"/>
        <b/>
        <color theme="1"/>
      </rPr>
      <t>ONLINE</t>
    </r>
    <r>
      <rPr>
        <rFont val="Arial"/>
        <color theme="1"/>
      </rPr>
      <t xml:space="preserve"> (</t>
    </r>
    <r>
      <rPr>
        <rFont val="Arial"/>
        <b/>
        <color theme="1"/>
      </rPr>
      <t>STARTS AT 11:00)</t>
    </r>
  </si>
  <si>
    <t>English for Academic Purposes</t>
  </si>
  <si>
    <t>106/301/316/320/321/421</t>
  </si>
  <si>
    <t>Computer Graphics in Game Development (lec)</t>
  </si>
  <si>
    <t>Andrey Sandimirov</t>
  </si>
  <si>
    <t>102/106/301/320/321/421</t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</si>
  <si>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19/04)</t>
    </r>
  </si>
  <si>
    <t>102/106/301/321/421</t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</si>
  <si>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19/04)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</si>
  <si>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19/04)</t>
    </r>
  </si>
  <si>
    <t>Timur Satdarov</t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</si>
  <si>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20/04)</t>
    </r>
  </si>
  <si>
    <t>Online (EXCEPT 04/05)</t>
  </si>
  <si>
    <r>
      <rPr>
        <rFont val="Arial"/>
        <color theme="1"/>
      </rPr>
      <t xml:space="preserve">102 </t>
    </r>
    <r>
      <rPr>
        <rFont val="Arial"/>
        <b/>
        <color theme="1"/>
      </rPr>
      <t>(320 ON 20/04)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</si>
  <si>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20/04)</t>
    </r>
  </si>
  <si>
    <r>
      <rPr>
        <rFont val="Arial"/>
        <color theme="1"/>
      </rPr>
      <t xml:space="preserve">102 </t>
    </r>
    <r>
      <rPr>
        <rFont val="Arial"/>
        <b/>
        <color theme="1"/>
      </rPr>
      <t>(320 ON 20/04)</t>
    </r>
  </si>
  <si>
    <t>320/317/316</t>
  </si>
  <si>
    <t>301/314</t>
  </si>
  <si>
    <t>Arthur Shimanovskiy</t>
  </si>
  <si>
    <r>
      <rPr>
        <rFont val="Arial"/>
        <color theme="1"/>
      </rPr>
      <t xml:space="preserve">102 </t>
    </r>
    <r>
      <rPr>
        <rFont val="Arial"/>
        <b/>
        <color theme="1"/>
      </rPr>
      <t>(320 ON 20/04)</t>
    </r>
  </si>
  <si>
    <t>320/103/317</t>
  </si>
  <si>
    <t>107 (ONLY ON 06/04)</t>
  </si>
  <si>
    <r>
      <rPr>
        <rFont val="Arial"/>
        <color theme="1"/>
      </rPr>
      <t xml:space="preserve">102 </t>
    </r>
    <r>
      <rPr>
        <rFont val="Arial"/>
        <b/>
        <color theme="1"/>
      </rPr>
      <t>(320 ON 20/04)</t>
    </r>
  </si>
  <si>
    <r>
      <rPr>
        <rFont val="Arial"/>
        <color theme="1"/>
      </rPr>
      <t>104</t>
    </r>
    <r>
      <rPr>
        <rFont val="Arial"/>
        <b/>
        <color theme="1"/>
      </rPr>
      <t>(452 TILL 10/04)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</si>
  <si>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</si>
  <si>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r>
      <rPr>
        <rFont val="Arial"/>
        <color theme="1"/>
      </rPr>
      <t xml:space="preserve">104 </t>
    </r>
    <r>
      <rPr>
        <rFont val="Arial"/>
        <b/>
        <color theme="1"/>
      </rPr>
      <t>(102 TILL 10/04)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</si>
  <si>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</si>
  <si>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</si>
  <si>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(312 ON 28/03,25/04)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</si>
  <si>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19/04)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</si>
  <si>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19/04)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</si>
  <si>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19/04)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</si>
  <si>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20/04)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</si>
  <si>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20/04)</t>
    </r>
  </si>
  <si>
    <r>
      <rPr>
        <rFont val="Arial"/>
        <color theme="1"/>
      </rPr>
      <t>313</t>
    </r>
    <r>
      <rPr>
        <rFont val="Arial"/>
        <b/>
        <color theme="1"/>
      </rPr>
      <t xml:space="preserve"> (307 ON 08/04)</t>
    </r>
  </si>
  <si>
    <r>
      <rPr>
        <rFont val="Arial"/>
        <color theme="1"/>
      </rPr>
      <t xml:space="preserve">106 </t>
    </r>
    <r>
      <rPr>
        <rFont val="Arial"/>
        <b/>
        <color theme="1"/>
      </rPr>
      <t>(ONLY ON 16/04)</t>
    </r>
  </si>
  <si>
    <r>
      <rPr>
        <rFont val="Arial"/>
        <color theme="1"/>
      </rPr>
      <t xml:space="preserve">106 </t>
    </r>
    <r>
      <rPr>
        <rFont val="Arial"/>
        <b/>
        <color theme="1"/>
      </rPr>
      <t>(EXCEPT 16/04)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</si>
  <si>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(320 ON 25/04)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</si>
  <si>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 01/04)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</si>
  <si>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 01/04)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</si>
  <si>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 01/04)</t>
    </r>
  </si>
  <si>
    <r>
      <rPr>
        <rFont val="Arial"/>
        <color theme="1"/>
      </rPr>
      <t xml:space="preserve">314 </t>
    </r>
    <r>
      <rPr>
        <rFont val="Arial"/>
        <b/>
        <color theme="1"/>
      </rPr>
      <t>(ON 27/03)</t>
    </r>
  </si>
  <si>
    <r>
      <rPr>
        <rFont val="Arial"/>
        <color theme="1"/>
      </rPr>
      <t xml:space="preserve">314 </t>
    </r>
    <r>
      <rPr>
        <rFont val="Arial"/>
        <b/>
        <color theme="1"/>
      </rPr>
      <t>(ON 27/03)</t>
    </r>
  </si>
  <si>
    <r>
      <rPr>
        <rFont val="Arial"/>
        <color theme="1"/>
      </rPr>
      <t xml:space="preserve">314 </t>
    </r>
    <r>
      <rPr>
        <rFont val="Arial"/>
        <b/>
        <color theme="1"/>
      </rPr>
      <t>(ON 27/03)</t>
    </r>
  </si>
  <si>
    <r>
      <rPr>
        <rFont val="Arial"/>
        <color theme="1"/>
      </rPr>
      <t xml:space="preserve">104 </t>
    </r>
    <r>
      <rPr>
        <rFont val="Arial"/>
        <b/>
        <color theme="1"/>
      </rPr>
      <t>(106 TILL 10/04)</t>
    </r>
  </si>
  <si>
    <r>
      <rPr>
        <rFont val="Arial"/>
        <b/>
        <color theme="1"/>
      </rPr>
      <t>ONLINE</t>
    </r>
    <r>
      <rPr>
        <rFont val="Arial"/>
        <color theme="1"/>
      </rPr>
      <t xml:space="preserve"> (</t>
    </r>
    <r>
      <rPr>
        <rFont val="Arial"/>
        <b/>
        <color theme="1"/>
      </rPr>
      <t>STARTS AT 11:00)</t>
    </r>
  </si>
  <si>
    <r>
      <rPr>
        <rFont val="Arial"/>
        <color theme="1"/>
      </rPr>
      <t xml:space="preserve">102 </t>
    </r>
    <r>
      <rPr>
        <rFont val="Arial"/>
        <b/>
        <color theme="1"/>
      </rPr>
      <t>(320 ON 20/04)</t>
    </r>
  </si>
  <si>
    <r>
      <rPr>
        <rFont val="Arial"/>
        <color theme="1"/>
      </rPr>
      <t xml:space="preserve">102 </t>
    </r>
    <r>
      <rPr>
        <rFont val="Arial"/>
        <b/>
        <color theme="1"/>
      </rPr>
      <t>(320 ON 20/04)</t>
    </r>
  </si>
  <si>
    <r>
      <rPr>
        <rFont val="Arial"/>
        <color theme="1"/>
      </rPr>
      <t xml:space="preserve">102 </t>
    </r>
    <r>
      <rPr>
        <rFont val="Arial"/>
        <b/>
        <color theme="1"/>
      </rPr>
      <t>(320 ON 20/04)</t>
    </r>
  </si>
  <si>
    <r>
      <rPr>
        <rFont val="Arial"/>
        <color theme="1"/>
      </rPr>
      <t xml:space="preserve">102 </t>
    </r>
    <r>
      <rPr>
        <rFont val="Arial"/>
        <b/>
        <color theme="1"/>
      </rPr>
      <t>(320 ON 20/04)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</si>
</sst>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color theme="1"/>
      <name val="Arial"/>
      <scheme val="minor"/>
    </font>
    <font>
      <sz val="10.0"/>
      <color theme="1"/>
      <name val="Arial"/>
    </font>
    <font>
      <color rgb="FF000000"/>
      <name val="Arial"/>
    </font>
    <font>
      <sz val="11.0"/>
      <color theme="1"/>
      <name val="Arial"/>
    </font>
    <font>
      <b/>
      <sz val="10.0"/>
      <color theme="1"/>
      <name val="Arial"/>
    </font>
    <font>
      <b/>
      <color theme="1"/>
      <name val="Arial"/>
      <scheme val="minor"/>
    </font>
    <font>
      <sz val="9.0"/>
      <color theme="1"/>
      <name val="Arial"/>
    </font>
    <font>
      <b/>
      <sz val="12.0"/>
      <color theme="1"/>
      <name val="Arial"/>
    </font>
    <font>
      <color rgb="FFFF0000"/>
      <name val="Arial"/>
    </font>
    <font>
      <b/>
      <sz val="11.0"/>
      <color theme="1"/>
      <name val="Arial"/>
    </font>
    <font>
      <b/>
      <color rgb="FF000000"/>
      <name val="Arial"/>
    </font>
    <font>
      <b/>
      <sz val="10.0"/>
      <color rgb="FF000000"/>
      <name val="Arial"/>
    </font>
    <font>
      <sz val="11.0"/>
      <color rgb="FF000000"/>
      <name val="Arial"/>
    </font>
    <font>
      <color rgb="FF202122"/>
      <name val="Sans-serif"/>
    </font>
    <font>
      <sz val="10.0"/>
      <color rgb="FF1F1F1F"/>
      <name val="Arial"/>
    </font>
    <font>
      <sz val="10.0"/>
      <color rgb="FF202122"/>
      <name val="Sans-serif"/>
    </font>
    <font>
      <b/>
      <sz val="11.0"/>
      <color rgb="FF000000"/>
      <name val="Arial"/>
    </font>
    <font>
      <sz val="10.0"/>
      <color rgb="FF202122"/>
      <name val="Arial"/>
    </font>
  </fonts>
  <fills count="33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  <fill>
      <patternFill patternType="solid">
        <fgColor rgb="FF548DD4"/>
        <bgColor rgb="FF548DD4"/>
      </patternFill>
    </fill>
    <fill>
      <patternFill patternType="solid">
        <fgColor rgb="FF00B0F0"/>
        <bgColor rgb="FF00B0F0"/>
      </patternFill>
    </fill>
    <fill>
      <patternFill patternType="solid">
        <fgColor rgb="FFE6B8AF"/>
        <bgColor rgb="FFE6B8AF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FE587"/>
        <bgColor rgb="FFFFE587"/>
      </patternFill>
    </fill>
    <fill>
      <patternFill patternType="solid">
        <fgColor rgb="FFD9D9D9"/>
        <bgColor rgb="FFD9D9D9"/>
      </patternFill>
    </fill>
    <fill>
      <patternFill patternType="solid">
        <fgColor rgb="FFF9CB9C"/>
        <bgColor rgb="FFF9CB9C"/>
      </patternFill>
    </fill>
    <fill>
      <patternFill patternType="solid">
        <fgColor rgb="FFEAD1DC"/>
        <bgColor rgb="FFEAD1DC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9FC5E8"/>
        <bgColor rgb="FF9FC5E8"/>
      </patternFill>
    </fill>
    <fill>
      <patternFill patternType="solid">
        <fgColor rgb="FFF1C232"/>
        <bgColor rgb="FFF1C232"/>
      </patternFill>
    </fill>
    <fill>
      <patternFill patternType="solid">
        <fgColor rgb="FFC9DAF8"/>
        <bgColor rgb="FFC9DAF8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DD7E6B"/>
        <bgColor rgb="FFDD7E6B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8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 shrinkToFit="0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Border="1" applyFont="1"/>
    <xf borderId="6" fillId="3" fontId="2" numFmtId="0" xfId="0" applyAlignment="1" applyBorder="1" applyFont="1">
      <alignment horizontal="center" shrinkToFit="0" wrapText="1"/>
    </xf>
    <xf borderId="6" fillId="0" fontId="3" numFmtId="0" xfId="0" applyBorder="1" applyFont="1"/>
    <xf borderId="7" fillId="0" fontId="3" numFmtId="0" xfId="0" applyBorder="1" applyFont="1"/>
    <xf borderId="7" fillId="3" fontId="1" numFmtId="0" xfId="0" applyBorder="1" applyFont="1"/>
    <xf borderId="1" fillId="2" fontId="1" numFmtId="0" xfId="0" applyAlignment="1" applyBorder="1" applyFont="1">
      <alignment vertical="bottom"/>
    </xf>
    <xf borderId="3" fillId="3" fontId="2" numFmtId="0" xfId="0" applyAlignment="1" applyBorder="1" applyFont="1">
      <alignment horizontal="center" shrinkToFit="0" vertical="bottom" wrapText="1"/>
    </xf>
    <xf borderId="8" fillId="0" fontId="3" numFmtId="0" xfId="0" applyBorder="1" applyFont="1"/>
    <xf borderId="9" fillId="3" fontId="2" numFmtId="0" xfId="0" applyAlignment="1" applyBorder="1" applyFont="1">
      <alignment horizontal="center" shrinkToFit="0" vertical="bottom" wrapText="1"/>
    </xf>
    <xf borderId="9" fillId="3" fontId="2" numFmtId="0" xfId="0" applyAlignment="1" applyBorder="1" applyFont="1">
      <alignment horizontal="center" shrinkToFit="0" wrapText="1"/>
    </xf>
    <xf borderId="9" fillId="3" fontId="2" numFmtId="0" xfId="0" applyAlignment="1" applyBorder="1" applyFont="1">
      <alignment horizontal="center" shrinkToFit="0" wrapText="1"/>
    </xf>
    <xf borderId="10" fillId="0" fontId="3" numFmtId="0" xfId="0" applyBorder="1" applyFont="1"/>
    <xf borderId="11" fillId="3" fontId="2" numFmtId="0" xfId="0" applyAlignment="1" applyBorder="1" applyFont="1">
      <alignment horizontal="center" shrinkToFit="0" vertical="bottom" wrapText="1"/>
    </xf>
    <xf borderId="4" fillId="3" fontId="2" numFmtId="0" xfId="0" applyAlignment="1" applyBorder="1" applyFont="1">
      <alignment horizontal="center" shrinkToFit="0" vertical="bottom" wrapText="1"/>
    </xf>
    <xf borderId="4" fillId="3" fontId="2" numFmtId="0" xfId="0" applyAlignment="1" applyBorder="1" applyFont="1">
      <alignment horizontal="center" shrinkToFit="0" vertical="bottom" wrapText="1"/>
    </xf>
    <xf borderId="9" fillId="3" fontId="2" numFmtId="0" xfId="0" applyAlignment="1" applyBorder="1" applyFont="1">
      <alignment horizontal="center" readingOrder="0" shrinkToFit="0" vertical="bottom" wrapText="1"/>
    </xf>
    <xf borderId="12" fillId="4" fontId="2" numFmtId="0" xfId="0" applyAlignment="1" applyBorder="1" applyFill="1" applyFont="1">
      <alignment horizontal="center" shrinkToFit="0" wrapText="1"/>
    </xf>
    <xf borderId="0" fillId="4" fontId="1" numFmtId="0" xfId="0" applyFont="1"/>
    <xf borderId="13" fillId="0" fontId="3" numFmtId="0" xfId="0" applyBorder="1" applyFont="1"/>
    <xf borderId="14" fillId="4" fontId="1" numFmtId="0" xfId="0" applyBorder="1" applyFont="1"/>
    <xf borderId="12" fillId="4" fontId="1" numFmtId="0" xfId="0" applyBorder="1" applyFont="1"/>
    <xf borderId="0" fillId="4" fontId="2" numFmtId="0" xfId="0" applyAlignment="1" applyFont="1">
      <alignment horizontal="center" shrinkToFit="0" wrapText="1"/>
    </xf>
    <xf borderId="2" fillId="4" fontId="1" numFmtId="0" xfId="0" applyBorder="1" applyFont="1"/>
    <xf borderId="11" fillId="4" fontId="2" numFmtId="0" xfId="0" applyAlignment="1" applyBorder="1" applyFont="1">
      <alignment horizontal="center" shrinkToFit="0" vertical="bottom" wrapText="1"/>
    </xf>
    <xf borderId="3" fillId="4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shrinkToFit="0" wrapText="1"/>
    </xf>
    <xf borderId="15" fillId="5" fontId="2" numFmtId="0" xfId="0" applyAlignment="1" applyBorder="1" applyFill="1" applyFont="1">
      <alignment horizontal="center" readingOrder="0" shrinkToFit="0" wrapText="1"/>
    </xf>
    <xf borderId="7" fillId="0" fontId="2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shrinkToFit="0" wrapText="1"/>
    </xf>
    <xf borderId="6" fillId="6" fontId="2" numFmtId="0" xfId="0" applyAlignment="1" applyBorder="1" applyFill="1" applyFont="1">
      <alignment horizontal="center" shrinkToFit="0" wrapText="1"/>
    </xf>
    <xf borderId="15" fillId="7" fontId="2" numFmtId="0" xfId="0" applyAlignment="1" applyBorder="1" applyFill="1" applyFont="1">
      <alignment horizontal="center" shrinkToFit="0" wrapText="1"/>
    </xf>
    <xf borderId="1" fillId="0" fontId="1" numFmtId="0" xfId="0" applyAlignment="1" applyBorder="1" applyFont="1">
      <alignment horizontal="center" shrinkToFit="0" vertical="bottom" wrapText="1"/>
    </xf>
    <xf borderId="1" fillId="8" fontId="1" numFmtId="0" xfId="0" applyAlignment="1" applyBorder="1" applyFill="1" applyFont="1">
      <alignment vertical="bottom"/>
    </xf>
    <xf borderId="12" fillId="0" fontId="3" numFmtId="0" xfId="0" applyBorder="1" applyFont="1"/>
    <xf borderId="16" fillId="5" fontId="1" numFmtId="0" xfId="0" applyAlignment="1" applyBorder="1" applyFont="1">
      <alignment horizontal="center" readingOrder="0" shrinkToFit="0" wrapText="1"/>
    </xf>
    <xf borderId="13" fillId="0" fontId="1" numFmtId="0" xfId="0" applyAlignment="1" applyBorder="1" applyFont="1">
      <alignment horizontal="center" readingOrder="0" shrinkToFit="0" wrapText="1"/>
    </xf>
    <xf borderId="0" fillId="6" fontId="1" numFmtId="0" xfId="0" applyAlignment="1" applyFont="1">
      <alignment horizontal="center" shrinkToFit="0" wrapText="1"/>
    </xf>
    <xf borderId="16" fillId="7" fontId="1" numFmtId="0" xfId="0" applyAlignment="1" applyBorder="1" applyFont="1">
      <alignment horizontal="center" vertical="bottom"/>
    </xf>
    <xf borderId="12" fillId="8" fontId="1" numFmtId="0" xfId="0" applyAlignment="1" applyBorder="1" applyFont="1">
      <alignment vertical="bottom"/>
    </xf>
    <xf borderId="14" fillId="0" fontId="3" numFmtId="0" xfId="0" applyBorder="1" applyFont="1"/>
    <xf borderId="17" fillId="5" fontId="2" numFmtId="0" xfId="0" applyAlignment="1" applyBorder="1" applyFont="1">
      <alignment horizontal="center" readingOrder="0" shrinkToFit="0" wrapText="1"/>
    </xf>
    <xf borderId="18" fillId="0" fontId="3" numFmtId="0" xfId="0" applyBorder="1" applyFont="1"/>
    <xf borderId="9" fillId="0" fontId="3" numFmtId="0" xfId="0" applyBorder="1" applyFont="1"/>
    <xf borderId="9" fillId="0" fontId="2" numFmtId="0" xfId="0" applyAlignment="1" applyBorder="1" applyFont="1">
      <alignment horizontal="center" readingOrder="0" shrinkToFit="0" wrapText="1"/>
    </xf>
    <xf borderId="0" fillId="6" fontId="1" numFmtId="0" xfId="0" applyAlignment="1" applyFont="1">
      <alignment horizontal="center" readingOrder="0" shrinkToFit="0" wrapText="1"/>
    </xf>
    <xf borderId="17" fillId="7" fontId="1" numFmtId="0" xfId="0" applyAlignment="1" applyBorder="1" applyFont="1">
      <alignment horizontal="center" readingOrder="0" vertical="bottom"/>
    </xf>
    <xf borderId="14" fillId="8" fontId="1" numFmtId="0" xfId="0" applyAlignment="1" applyBorder="1" applyFont="1">
      <alignment vertical="bottom"/>
    </xf>
    <xf borderId="15" fillId="6" fontId="2" numFmtId="0" xfId="0" applyAlignment="1" applyBorder="1" applyFont="1">
      <alignment horizontal="center" shrinkToFit="0" wrapText="1"/>
    </xf>
    <xf borderId="1" fillId="8" fontId="1" numFmtId="0" xfId="0" applyBorder="1" applyFont="1"/>
    <xf borderId="16" fillId="6" fontId="1" numFmtId="0" xfId="0" applyAlignment="1" applyBorder="1" applyFont="1">
      <alignment horizontal="center" shrinkToFit="0" wrapText="1"/>
    </xf>
    <xf borderId="12" fillId="8" fontId="1" numFmtId="0" xfId="0" applyBorder="1" applyFont="1"/>
    <xf borderId="17" fillId="6" fontId="1" numFmtId="0" xfId="0" applyAlignment="1" applyBorder="1" applyFont="1">
      <alignment horizontal="center" readingOrder="0" shrinkToFit="0" wrapText="1"/>
    </xf>
    <xf borderId="14" fillId="8" fontId="1" numFmtId="0" xfId="0" applyBorder="1" applyFont="1"/>
    <xf borderId="1" fillId="0" fontId="1" numFmtId="0" xfId="0" applyBorder="1" applyFont="1"/>
    <xf borderId="1" fillId="6" fontId="2" numFmtId="0" xfId="0" applyAlignment="1" applyBorder="1" applyFont="1">
      <alignment horizontal="center" shrinkToFit="0" wrapText="1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7" fillId="8" fontId="1" numFmtId="0" xfId="0" applyBorder="1" applyFont="1"/>
    <xf borderId="1" fillId="0" fontId="4" numFmtId="0" xfId="0" applyBorder="1" applyFont="1"/>
    <xf borderId="12" fillId="0" fontId="1" numFmtId="0" xfId="0" applyBorder="1" applyFont="1"/>
    <xf borderId="12" fillId="6" fontId="1" numFmtId="0" xfId="0" applyAlignment="1" applyBorder="1" applyFont="1">
      <alignment horizontal="center" vertical="bottom"/>
    </xf>
    <xf borderId="12" fillId="0" fontId="1" numFmtId="0" xfId="0" applyAlignment="1" applyBorder="1" applyFont="1">
      <alignment vertical="bottom"/>
    </xf>
    <xf borderId="12" fillId="6" fontId="1" numFmtId="0" xfId="0" applyAlignment="1" applyBorder="1" applyFont="1">
      <alignment horizontal="center" shrinkToFit="0" vertical="bottom" wrapText="1"/>
    </xf>
    <xf borderId="13" fillId="8" fontId="1" numFmtId="0" xfId="0" applyBorder="1" applyFont="1"/>
    <xf borderId="12" fillId="0" fontId="4" numFmtId="0" xfId="0" applyBorder="1" applyFont="1"/>
    <xf borderId="14" fillId="0" fontId="1" numFmtId="0" xfId="0" applyBorder="1" applyFont="1"/>
    <xf borderId="14" fillId="6" fontId="1" numFmtId="0" xfId="0" applyAlignment="1" applyBorder="1" applyFont="1">
      <alignment horizontal="center" shrinkToFit="0" wrapText="1"/>
    </xf>
    <xf borderId="0" fillId="0" fontId="1" numFmtId="0" xfId="0" applyAlignment="1" applyFont="1">
      <alignment vertical="bottom"/>
    </xf>
    <xf borderId="14" fillId="6" fontId="1" numFmtId="0" xfId="0" applyAlignment="1" applyBorder="1" applyFont="1">
      <alignment horizontal="center" shrinkToFit="0" wrapText="1"/>
    </xf>
    <xf borderId="14" fillId="0" fontId="1" numFmtId="0" xfId="0" applyAlignment="1" applyBorder="1" applyFont="1">
      <alignment vertical="bottom"/>
    </xf>
    <xf borderId="9" fillId="8" fontId="1" numFmtId="0" xfId="0" applyBorder="1" applyFont="1"/>
    <xf borderId="14" fillId="0" fontId="4" numFmtId="0" xfId="0" applyBorder="1" applyFont="1"/>
    <xf borderId="15" fillId="9" fontId="2" numFmtId="0" xfId="0" applyAlignment="1" applyBorder="1" applyFill="1" applyFont="1">
      <alignment horizontal="center" shrinkToFit="0" wrapText="1"/>
    </xf>
    <xf borderId="7" fillId="0" fontId="2" numFmtId="0" xfId="0" applyAlignment="1" applyBorder="1" applyFont="1">
      <alignment horizontal="center" shrinkToFit="0" wrapText="1"/>
    </xf>
    <xf borderId="16" fillId="9" fontId="1" numFmtId="0" xfId="0" applyAlignment="1" applyBorder="1" applyFont="1">
      <alignment horizontal="center" shrinkToFit="0" wrapText="1"/>
    </xf>
    <xf borderId="13" fillId="0" fontId="1" numFmtId="0" xfId="0" applyAlignment="1" applyBorder="1" applyFont="1">
      <alignment horizontal="center" shrinkToFit="0" wrapText="1"/>
    </xf>
    <xf borderId="17" fillId="9" fontId="2" numFmtId="0" xfId="0" applyAlignment="1" applyBorder="1" applyFont="1">
      <alignment horizontal="center" shrinkToFit="0" wrapText="1"/>
    </xf>
    <xf borderId="9" fillId="0" fontId="2" numFmtId="0" xfId="0" applyAlignment="1" applyBorder="1" applyFont="1">
      <alignment horizontal="center" shrinkToFit="0" wrapText="1"/>
    </xf>
    <xf borderId="1" fillId="6" fontId="2" numFmtId="0" xfId="0" applyAlignment="1" applyBorder="1" applyFont="1">
      <alignment horizontal="center" shrinkToFit="0" wrapText="1"/>
    </xf>
    <xf borderId="12" fillId="6" fontId="1" numFmtId="0" xfId="0" applyAlignment="1" applyBorder="1" applyFont="1">
      <alignment horizontal="center" shrinkToFit="0" vertical="bottom" wrapText="1"/>
    </xf>
    <xf borderId="14" fillId="0" fontId="1" numFmtId="0" xfId="0" applyBorder="1" applyFont="1"/>
    <xf borderId="15" fillId="10" fontId="2" numFmtId="0" xfId="0" applyAlignment="1" applyBorder="1" applyFill="1" applyFont="1">
      <alignment horizontal="center" readingOrder="0" shrinkToFit="0" vertical="bottom" wrapText="1"/>
    </xf>
    <xf borderId="16" fillId="10" fontId="1" numFmtId="0" xfId="0" applyAlignment="1" applyBorder="1" applyFont="1">
      <alignment horizontal="center" readingOrder="0" vertical="bottom"/>
    </xf>
    <xf borderId="17" fillId="10" fontId="2" numFmtId="0" xfId="0" applyAlignment="1" applyBorder="1" applyFont="1">
      <alignment horizontal="center" readingOrder="0" shrinkToFit="0" vertical="bottom" wrapText="1"/>
    </xf>
    <xf borderId="16" fillId="10" fontId="1" numFmtId="0" xfId="0" applyAlignment="1" applyBorder="1" applyFont="1">
      <alignment horizontal="center" vertical="bottom"/>
    </xf>
    <xf borderId="11" fillId="4" fontId="2" numFmtId="0" xfId="0" applyAlignment="1" applyBorder="1" applyFont="1">
      <alignment horizontal="center" shrinkToFit="0" wrapText="1"/>
    </xf>
    <xf borderId="6" fillId="4" fontId="1" numFmtId="0" xfId="0" applyBorder="1" applyFont="1"/>
    <xf borderId="3" fillId="4" fontId="2" numFmtId="0" xfId="0" applyAlignment="1" applyBorder="1" applyFont="1">
      <alignment horizontal="center" shrinkToFit="0" wrapText="1"/>
    </xf>
    <xf borderId="6" fillId="8" fontId="1" numFmtId="0" xfId="0" applyBorder="1" applyFont="1"/>
    <xf borderId="1" fillId="8" fontId="1" numFmtId="0" xfId="0" applyBorder="1" applyFont="1"/>
    <xf borderId="1" fillId="0" fontId="1" numFmtId="0" xfId="0" applyAlignment="1" applyBorder="1" applyFont="1">
      <alignment horizontal="center" shrinkToFit="0" vertical="bottom" wrapText="1"/>
    </xf>
    <xf borderId="1" fillId="8" fontId="1" numFmtId="0" xfId="0" applyAlignment="1" applyBorder="1" applyFont="1">
      <alignment vertical="bottom"/>
    </xf>
    <xf borderId="0" fillId="8" fontId="1" numFmtId="0" xfId="0" applyAlignment="1" applyFont="1">
      <alignment vertical="bottom"/>
    </xf>
    <xf borderId="0" fillId="8" fontId="1" numFmtId="0" xfId="0" applyFont="1"/>
    <xf borderId="12" fillId="8" fontId="1" numFmtId="0" xfId="0" applyBorder="1" applyFont="1"/>
    <xf borderId="12" fillId="8" fontId="1" numFmtId="0" xfId="0" applyAlignment="1" applyBorder="1" applyFont="1">
      <alignment vertical="bottom"/>
    </xf>
    <xf borderId="7" fillId="0" fontId="1" numFmtId="0" xfId="0" applyAlignment="1" applyBorder="1" applyFont="1">
      <alignment horizontal="center" shrinkToFit="0" vertical="bottom" wrapText="1"/>
    </xf>
    <xf borderId="1" fillId="5" fontId="2" numFmtId="0" xfId="0" applyAlignment="1" applyBorder="1" applyFont="1">
      <alignment horizontal="center" shrinkToFit="0" vertical="bottom" wrapText="1"/>
    </xf>
    <xf borderId="1" fillId="11" fontId="2" numFmtId="0" xfId="0" applyAlignment="1" applyBorder="1" applyFill="1" applyFont="1">
      <alignment horizontal="center" shrinkToFit="0" vertical="bottom" wrapText="1"/>
    </xf>
    <xf borderId="12" fillId="5" fontId="1" numFmtId="0" xfId="0" applyAlignment="1" applyBorder="1" applyFont="1">
      <alignment horizontal="center" vertical="bottom"/>
    </xf>
    <xf borderId="12" fillId="11" fontId="1" numFmtId="0" xfId="0" applyAlignment="1" applyBorder="1" applyFont="1">
      <alignment horizontal="center" vertical="bottom"/>
    </xf>
    <xf borderId="14" fillId="5" fontId="1" numFmtId="0" xfId="0" applyAlignment="1" applyBorder="1" applyFont="1">
      <alignment horizontal="center" vertical="bottom"/>
    </xf>
    <xf borderId="14" fillId="11" fontId="1" numFmtId="0" xfId="0" applyAlignment="1" applyBorder="1" applyFont="1">
      <alignment horizontal="center" vertical="bottom"/>
    </xf>
    <xf borderId="15" fillId="12" fontId="2" numFmtId="0" xfId="0" applyAlignment="1" applyBorder="1" applyFill="1" applyFont="1">
      <alignment horizontal="center" shrinkToFit="0" wrapText="1"/>
    </xf>
    <xf borderId="6" fillId="12" fontId="2" numFmtId="0" xfId="0" applyAlignment="1" applyBorder="1" applyFont="1">
      <alignment horizontal="center" shrinkToFit="0" wrapText="1"/>
    </xf>
    <xf borderId="16" fillId="0" fontId="3" numFmtId="0" xfId="0" applyBorder="1" applyFont="1"/>
    <xf borderId="17" fillId="0" fontId="3" numFmtId="0" xfId="0" applyBorder="1" applyFont="1"/>
    <xf borderId="14" fillId="8" fontId="1" numFmtId="0" xfId="0" applyAlignment="1" applyBorder="1" applyFont="1">
      <alignment vertical="bottom"/>
    </xf>
    <xf borderId="14" fillId="8" fontId="1" numFmtId="0" xfId="0" applyBorder="1" applyFont="1"/>
    <xf borderId="6" fillId="13" fontId="2" numFmtId="0" xfId="0" applyAlignment="1" applyBorder="1" applyFill="1" applyFont="1">
      <alignment horizontal="center" shrinkToFit="0" wrapText="1"/>
    </xf>
    <xf borderId="0" fillId="13" fontId="1" numFmtId="0" xfId="0" applyAlignment="1" applyFont="1">
      <alignment horizontal="center" shrinkToFit="0" wrapText="1"/>
    </xf>
    <xf borderId="0" fillId="13" fontId="2" numFmtId="0" xfId="0" applyAlignment="1" applyFont="1">
      <alignment horizontal="center" shrinkToFit="0" wrapText="1"/>
    </xf>
    <xf borderId="15" fillId="8" fontId="1" numFmtId="0" xfId="0" applyBorder="1" applyFont="1"/>
    <xf borderId="16" fillId="8" fontId="1" numFmtId="0" xfId="0" applyBorder="1" applyFont="1"/>
    <xf borderId="17" fillId="8" fontId="1" numFmtId="0" xfId="0" applyBorder="1" applyFont="1"/>
    <xf borderId="3" fillId="4" fontId="1" numFmtId="0" xfId="0" applyBorder="1" applyFont="1"/>
    <xf borderId="15" fillId="14" fontId="2" numFmtId="0" xfId="0" applyAlignment="1" applyBorder="1" applyFill="1" applyFont="1">
      <alignment horizontal="center" shrinkToFit="0" wrapText="1"/>
    </xf>
    <xf borderId="16" fillId="14" fontId="1" numFmtId="0" xfId="0" applyAlignment="1" applyBorder="1" applyFont="1">
      <alignment horizontal="center" vertical="bottom"/>
    </xf>
    <xf borderId="17" fillId="14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12" fillId="0" fontId="1" numFmtId="0" xfId="0" applyAlignment="1" applyBorder="1" applyFont="1">
      <alignment vertical="bottom"/>
    </xf>
    <xf borderId="15" fillId="10" fontId="2" numFmtId="0" xfId="0" applyAlignment="1" applyBorder="1" applyFont="1">
      <alignment horizontal="center" shrinkToFit="0" vertical="bottom" wrapText="1"/>
    </xf>
    <xf borderId="15" fillId="15" fontId="2" numFmtId="0" xfId="0" applyAlignment="1" applyBorder="1" applyFill="1" applyFont="1">
      <alignment horizontal="center" shrinkToFit="0" vertical="bottom" wrapText="1"/>
    </xf>
    <xf borderId="16" fillId="15" fontId="1" numFmtId="0" xfId="0" applyAlignment="1" applyBorder="1" applyFont="1">
      <alignment horizontal="center" vertical="bottom"/>
    </xf>
    <xf borderId="17" fillId="15" fontId="1" numFmtId="0" xfId="0" applyAlignment="1" applyBorder="1" applyFont="1">
      <alignment horizontal="center" shrinkToFit="0" vertical="bottom" wrapText="1"/>
    </xf>
    <xf borderId="15" fillId="10" fontId="2" numFmtId="0" xfId="0" applyAlignment="1" applyBorder="1" applyFont="1">
      <alignment horizontal="center" shrinkToFit="0" wrapText="1"/>
    </xf>
    <xf borderId="16" fillId="10" fontId="1" numFmtId="0" xfId="0" applyAlignment="1" applyBorder="1" applyFont="1">
      <alignment horizontal="center" shrinkToFit="0" wrapText="1"/>
    </xf>
    <xf borderId="17" fillId="10" fontId="2" numFmtId="0" xfId="0" applyAlignment="1" applyBorder="1" applyFont="1">
      <alignment horizontal="center" shrinkToFit="0" wrapText="1"/>
    </xf>
    <xf borderId="17" fillId="14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vertical="center"/>
    </xf>
    <xf borderId="3" fillId="3" fontId="2" numFmtId="0" xfId="0" applyAlignment="1" applyBorder="1" applyFont="1">
      <alignment horizontal="center" readingOrder="0" shrinkToFit="0" vertical="center" wrapText="1"/>
    </xf>
    <xf borderId="7" fillId="2" fontId="1" numFmtId="0" xfId="0" applyAlignment="1" applyBorder="1" applyFont="1">
      <alignment vertical="center"/>
    </xf>
    <xf borderId="3" fillId="3" fontId="2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vertical="center"/>
    </xf>
    <xf borderId="3" fillId="3" fontId="2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vertical="center"/>
    </xf>
    <xf borderId="9" fillId="3" fontId="2" numFmtId="0" xfId="0" applyAlignment="1" applyBorder="1" applyFont="1">
      <alignment horizontal="center" readingOrder="0" shrinkToFit="0" vertical="center" wrapText="1"/>
    </xf>
    <xf borderId="9" fillId="3" fontId="2" numFmtId="0" xfId="0" applyAlignment="1" applyBorder="1" applyFont="1">
      <alignment horizontal="center" shrinkToFit="0" vertical="center" wrapText="1"/>
    </xf>
    <xf borderId="12" fillId="3" fontId="2" numFmtId="0" xfId="0" applyAlignment="1" applyBorder="1" applyFont="1">
      <alignment horizontal="center" shrinkToFit="0" vertical="center" wrapText="1"/>
    </xf>
    <xf borderId="14" fillId="4" fontId="2" numFmtId="0" xfId="0" applyAlignment="1" applyBorder="1" applyFont="1">
      <alignment horizontal="center" shrinkToFit="0" vertical="center" wrapText="1"/>
    </xf>
    <xf borderId="18" fillId="4" fontId="1" numFmtId="0" xfId="0" applyAlignment="1" applyBorder="1" applyFont="1">
      <alignment vertical="center"/>
    </xf>
    <xf borderId="9" fillId="4" fontId="2" numFmtId="0" xfId="0" applyAlignment="1" applyBorder="1" applyFont="1">
      <alignment horizontal="center" shrinkToFit="0" vertical="center" wrapText="1"/>
    </xf>
    <xf borderId="11" fillId="4" fontId="1" numFmtId="0" xfId="0" applyAlignment="1" applyBorder="1" applyFont="1">
      <alignment vertical="center"/>
    </xf>
    <xf borderId="0" fillId="4" fontId="1" numFmtId="0" xfId="0" applyAlignment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0" fillId="16" fontId="2" numFmtId="0" xfId="0" applyAlignment="1" applyFill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0" fillId="17" fontId="2" numFmtId="0" xfId="0" applyAlignment="1" applyFill="1" applyFont="1">
      <alignment horizontal="center" shrinkToFit="0" vertical="center" wrapText="1"/>
    </xf>
    <xf borderId="13" fillId="8" fontId="1" numFmtId="0" xfId="0" applyAlignment="1" applyBorder="1" applyFont="1">
      <alignment vertical="center"/>
    </xf>
    <xf borderId="0" fillId="15" fontId="2" numFmtId="0" xfId="0" applyAlignment="1" applyFont="1">
      <alignment horizontal="center" readingOrder="0" shrinkToFit="0" vertical="center" wrapText="1"/>
    </xf>
    <xf borderId="13" fillId="0" fontId="2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vertical="center"/>
    </xf>
    <xf borderId="13" fillId="0" fontId="2" numFmtId="0" xfId="0" applyAlignment="1" applyBorder="1" applyFont="1">
      <alignment horizontal="center" shrinkToFit="0" wrapText="1"/>
    </xf>
    <xf borderId="12" fillId="8" fontId="1" numFmtId="0" xfId="0" applyAlignment="1" applyBorder="1" applyFont="1">
      <alignment vertical="center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16" fontId="5" numFmtId="0" xfId="0" applyAlignment="1" applyFont="1">
      <alignment horizontal="center" shrinkToFit="0" vertical="center" wrapText="1"/>
    </xf>
    <xf borderId="0" fillId="17" fontId="1" numFmtId="0" xfId="0" applyAlignment="1" applyFont="1">
      <alignment horizontal="center" shrinkToFit="0" vertical="center" wrapText="1"/>
    </xf>
    <xf borderId="0" fillId="15" fontId="6" numFmtId="0" xfId="0" applyAlignment="1" applyFont="1">
      <alignment horizontal="center" shrinkToFit="0" vertical="center" wrapText="1"/>
    </xf>
    <xf borderId="13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/>
    </xf>
    <xf borderId="18" fillId="16" fontId="7" numFmtId="0" xfId="0" applyAlignment="1" applyBorder="1" applyFont="1">
      <alignment horizontal="center" shrinkToFit="0" vertical="center" wrapText="1"/>
    </xf>
    <xf borderId="18" fillId="17" fontId="1" numFmtId="0" xfId="0" applyAlignment="1" applyBorder="1" applyFont="1">
      <alignment horizontal="center" shrinkToFit="0" vertical="center" wrapText="1"/>
    </xf>
    <xf borderId="9" fillId="8" fontId="1" numFmtId="0" xfId="0" applyAlignment="1" applyBorder="1" applyFont="1">
      <alignment vertical="center"/>
    </xf>
    <xf borderId="18" fillId="15" fontId="2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vertical="center"/>
    </xf>
    <xf borderId="9" fillId="0" fontId="1" numFmtId="0" xfId="0" applyAlignment="1" applyBorder="1" applyFont="1">
      <alignment horizontal="center" readingOrder="0" shrinkToFit="0" wrapText="1"/>
    </xf>
    <xf borderId="14" fillId="8" fontId="1" numFmtId="0" xfId="0" applyAlignment="1" applyBorder="1" applyFont="1">
      <alignment vertical="center"/>
    </xf>
    <xf borderId="0" fillId="0" fontId="1" numFmtId="3" xfId="0" applyAlignment="1" applyFont="1" applyNumberFormat="1">
      <alignment horizontal="center" readingOrder="0" shrinkToFit="0" vertical="center" wrapText="1"/>
    </xf>
    <xf borderId="0" fillId="6" fontId="2" numFmtId="0" xfId="0" applyAlignment="1" applyFont="1">
      <alignment horizontal="center" shrinkToFit="0" vertical="center" wrapText="1"/>
    </xf>
    <xf borderId="0" fillId="18" fontId="2" numFmtId="0" xfId="0" applyAlignment="1" applyFill="1" applyFont="1">
      <alignment horizontal="center" readingOrder="0" shrinkToFit="0" vertical="center" wrapText="1"/>
    </xf>
    <xf borderId="0" fillId="13" fontId="2" numFmtId="0" xfId="0" applyAlignment="1" applyFont="1">
      <alignment horizontal="center" shrinkToFit="0" vertical="center" wrapText="1"/>
    </xf>
    <xf borderId="13" fillId="17" fontId="2" numFmtId="0" xfId="0" applyAlignment="1" applyBorder="1" applyFont="1">
      <alignment horizontal="center" shrinkToFit="0" vertical="center" wrapText="1"/>
    </xf>
    <xf borderId="13" fillId="19" fontId="2" numFmtId="0" xfId="0" applyAlignment="1" applyBorder="1" applyFill="1" applyFont="1">
      <alignment horizontal="center" shrinkToFit="0" vertical="center" wrapText="1"/>
    </xf>
    <xf borderId="13" fillId="15" fontId="2" numFmtId="0" xfId="0" applyAlignment="1" applyBorder="1" applyFont="1">
      <alignment horizontal="center" readingOrder="0" vertical="center"/>
    </xf>
    <xf borderId="13" fillId="17" fontId="2" numFmtId="0" xfId="0" applyAlignment="1" applyBorder="1" applyFont="1">
      <alignment horizontal="center" readingOrder="0" shrinkToFit="0" vertical="center" wrapText="1"/>
    </xf>
    <xf borderId="13" fillId="13" fontId="2" numFmtId="0" xfId="0" applyAlignment="1" applyBorder="1" applyFont="1">
      <alignment horizontal="center" readingOrder="0" vertical="center"/>
    </xf>
    <xf borderId="0" fillId="6" fontId="6" numFmtId="0" xfId="0" applyAlignment="1" applyFont="1">
      <alignment horizontal="center" shrinkToFit="0" vertical="center" wrapText="1"/>
    </xf>
    <xf borderId="0" fillId="18" fontId="6" numFmtId="0" xfId="0" applyAlignment="1" applyFont="1">
      <alignment horizontal="center" readingOrder="0" shrinkToFit="0" vertical="center" wrapText="1"/>
    </xf>
    <xf borderId="0" fillId="13" fontId="6" numFmtId="0" xfId="0" applyAlignment="1" applyFont="1">
      <alignment horizontal="center" shrinkToFit="0" vertical="center" wrapText="1"/>
    </xf>
    <xf borderId="13" fillId="17" fontId="1" numFmtId="0" xfId="0" applyAlignment="1" applyBorder="1" applyFont="1">
      <alignment horizontal="center" vertical="center"/>
    </xf>
    <xf borderId="13" fillId="19" fontId="6" numFmtId="0" xfId="0" applyAlignment="1" applyBorder="1" applyFont="1">
      <alignment horizontal="center" shrinkToFit="0" vertical="center" wrapText="1"/>
    </xf>
    <xf borderId="13" fillId="15" fontId="1" numFmtId="0" xfId="0" applyAlignment="1" applyBorder="1" applyFont="1">
      <alignment horizontal="center" readingOrder="0" vertical="center"/>
    </xf>
    <xf borderId="13" fillId="17" fontId="6" numFmtId="0" xfId="0" applyAlignment="1" applyBorder="1" applyFont="1">
      <alignment horizontal="center" readingOrder="0" shrinkToFit="0" vertical="center" wrapText="1"/>
    </xf>
    <xf borderId="13" fillId="13" fontId="1" numFmtId="0" xfId="0" applyAlignment="1" applyBorder="1" applyFont="1">
      <alignment horizontal="center" readingOrder="0" vertical="center"/>
    </xf>
    <xf borderId="18" fillId="16" fontId="1" numFmtId="0" xfId="0" applyAlignment="1" applyBorder="1" applyFont="1">
      <alignment horizontal="center" shrinkToFit="0" vertical="center" wrapText="1"/>
    </xf>
    <xf borderId="18" fillId="6" fontId="1" numFmtId="0" xfId="0" applyAlignment="1" applyBorder="1" applyFont="1">
      <alignment horizontal="center" readingOrder="0" shrinkToFit="0" vertical="center" wrapText="1"/>
    </xf>
    <xf borderId="18" fillId="18" fontId="1" numFmtId="0" xfId="0" applyAlignment="1" applyBorder="1" applyFont="1">
      <alignment horizontal="center" shrinkToFit="0" vertical="center" wrapText="1"/>
    </xf>
    <xf borderId="18" fillId="13" fontId="2" numFmtId="0" xfId="0" applyAlignment="1" applyBorder="1" applyFont="1">
      <alignment horizontal="center" shrinkToFit="0" vertical="center" wrapText="1"/>
    </xf>
    <xf borderId="9" fillId="17" fontId="1" numFmtId="0" xfId="0" applyAlignment="1" applyBorder="1" applyFont="1">
      <alignment horizontal="center" readingOrder="0" vertical="center"/>
    </xf>
    <xf borderId="9" fillId="19" fontId="1" numFmtId="0" xfId="0" applyAlignment="1" applyBorder="1" applyFont="1">
      <alignment horizontal="center" readingOrder="0" shrinkToFit="0" vertical="center" wrapText="1"/>
    </xf>
    <xf borderId="9" fillId="15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readingOrder="0" shrinkToFit="0" vertical="center" wrapText="1"/>
    </xf>
    <xf borderId="18" fillId="18" fontId="1" numFmtId="0" xfId="0" applyAlignment="1" applyBorder="1" applyFont="1">
      <alignment horizontal="center" readingOrder="0" shrinkToFit="0" vertical="center" wrapText="1"/>
    </xf>
    <xf borderId="9" fillId="17" fontId="1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9" fillId="13" fontId="1" numFmtId="0" xfId="0" applyAlignment="1" applyBorder="1" applyFont="1">
      <alignment horizontal="center" readingOrder="0" vertical="center"/>
    </xf>
    <xf borderId="13" fillId="16" fontId="2" numFmtId="0" xfId="0" applyAlignment="1" applyBorder="1" applyFont="1">
      <alignment horizontal="center" shrinkToFit="0" vertical="center" wrapText="1"/>
    </xf>
    <xf borderId="13" fillId="20" fontId="2" numFmtId="0" xfId="0" applyAlignment="1" applyBorder="1" applyFill="1" applyFont="1">
      <alignment horizontal="center" readingOrder="0" shrinkToFit="0" vertical="center" wrapText="1"/>
    </xf>
    <xf borderId="0" fillId="21" fontId="2" numFmtId="0" xfId="0" applyAlignment="1" applyFill="1" applyFont="1">
      <alignment horizontal="center" readingOrder="0" vertical="center"/>
    </xf>
    <xf borderId="13" fillId="18" fontId="8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vertical="center"/>
    </xf>
    <xf borderId="13" fillId="16" fontId="1" numFmtId="0" xfId="0" applyAlignment="1" applyBorder="1" applyFont="1">
      <alignment horizontal="center" shrinkToFit="0" vertical="center" wrapText="1"/>
    </xf>
    <xf borderId="13" fillId="20" fontId="1" numFmtId="0" xfId="0" applyAlignment="1" applyBorder="1" applyFont="1">
      <alignment horizontal="center" shrinkToFit="0" vertical="center" wrapText="1"/>
    </xf>
    <xf borderId="13" fillId="16" fontId="1" numFmtId="0" xfId="0" applyAlignment="1" applyBorder="1" applyFont="1">
      <alignment horizontal="center" vertical="center"/>
    </xf>
    <xf borderId="0" fillId="21" fontId="1" numFmtId="0" xfId="0" applyAlignment="1" applyFont="1">
      <alignment horizontal="center" readingOrder="0" vertical="center"/>
    </xf>
    <xf borderId="13" fillId="18" fontId="1" numFmtId="0" xfId="0" applyAlignment="1" applyBorder="1" applyFont="1">
      <alignment horizontal="center" readingOrder="0" vertical="center"/>
    </xf>
    <xf borderId="13" fillId="19" fontId="1" numFmtId="0" xfId="0" applyAlignment="1" applyBorder="1" applyFont="1">
      <alignment horizontal="center" shrinkToFit="0" vertical="center" wrapText="1"/>
    </xf>
    <xf borderId="0" fillId="6" fontId="1" numFmtId="0" xfId="0" applyAlignment="1" applyFont="1">
      <alignment horizontal="center" vertical="center"/>
    </xf>
    <xf borderId="13" fillId="17" fontId="1" numFmtId="0" xfId="0" applyAlignment="1" applyBorder="1" applyFont="1">
      <alignment horizontal="center" readingOrder="0" shrinkToFit="0" vertical="center" wrapText="1"/>
    </xf>
    <xf borderId="9" fillId="16" fontId="1" numFmtId="0" xfId="0" applyAlignment="1" applyBorder="1" applyFont="1">
      <alignment horizontal="center" readingOrder="0" shrinkToFit="0" vertical="center" wrapText="1"/>
    </xf>
    <xf borderId="9" fillId="20" fontId="1" numFmtId="0" xfId="0" applyAlignment="1" applyBorder="1" applyFont="1">
      <alignment horizontal="center" readingOrder="0" shrinkToFit="0" vertical="center" wrapText="1"/>
    </xf>
    <xf borderId="9" fillId="16" fontId="1" numFmtId="0" xfId="0" applyAlignment="1" applyBorder="1" applyFont="1">
      <alignment horizontal="center" shrinkToFit="0" vertical="center" wrapText="1"/>
    </xf>
    <xf borderId="18" fillId="21" fontId="1" numFmtId="0" xfId="0" applyAlignment="1" applyBorder="1" applyFont="1">
      <alignment horizontal="center" readingOrder="0" vertical="center"/>
    </xf>
    <xf borderId="9" fillId="18" fontId="1" numFmtId="0" xfId="0" applyAlignment="1" applyBorder="1" applyFont="1">
      <alignment horizontal="center" readingOrder="0" shrinkToFit="0" vertical="center" wrapText="1"/>
    </xf>
    <xf borderId="18" fillId="6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vertical="center"/>
    </xf>
    <xf borderId="1" fillId="0" fontId="4" numFmtId="0" xfId="0" applyAlignment="1" applyBorder="1" applyFont="1">
      <alignment vertical="center"/>
    </xf>
    <xf borderId="1" fillId="8" fontId="1" numFmtId="0" xfId="0" applyAlignment="1" applyBorder="1" applyFont="1">
      <alignment vertical="center"/>
    </xf>
    <xf borderId="13" fillId="18" fontId="2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vertical="center"/>
    </xf>
    <xf borderId="13" fillId="6" fontId="2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horizontal="center" readingOrder="0" vertical="center"/>
    </xf>
    <xf borderId="13" fillId="22" fontId="2" numFmtId="0" xfId="0" applyAlignment="1" applyBorder="1" applyFill="1" applyFont="1">
      <alignment horizontal="center"/>
    </xf>
    <xf borderId="12" fillId="0" fontId="4" numFmtId="0" xfId="0" applyAlignment="1" applyBorder="1" applyFont="1">
      <alignment vertical="center"/>
    </xf>
    <xf borderId="13" fillId="6" fontId="1" numFmtId="0" xfId="0" applyAlignment="1" applyBorder="1" applyFont="1">
      <alignment horizontal="center" vertical="center"/>
    </xf>
    <xf borderId="13" fillId="6" fontId="1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horizontal="center" readingOrder="0" vertical="center"/>
    </xf>
    <xf borderId="13" fillId="22" fontId="1" numFmtId="0" xfId="0" applyAlignment="1" applyBorder="1" applyFont="1">
      <alignment horizontal="center" readingOrder="0" vertical="center"/>
    </xf>
    <xf borderId="13" fillId="13" fontId="1" numFmtId="0" xfId="0" applyAlignment="1" applyBorder="1" applyFont="1">
      <alignment horizontal="center" readingOrder="0" shrinkToFit="0" vertical="center" wrapText="1"/>
    </xf>
    <xf borderId="14" fillId="0" fontId="4" numFmtId="0" xfId="0" applyAlignment="1" applyBorder="1" applyFont="1">
      <alignment vertical="center"/>
    </xf>
    <xf borderId="9" fillId="8" fontId="1" numFmtId="0" xfId="0" applyAlignment="1" applyBorder="1" applyFont="1">
      <alignment vertical="center"/>
    </xf>
    <xf borderId="14" fillId="8" fontId="1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9" fillId="6" fontId="1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vertical="center"/>
    </xf>
    <xf borderId="9" fillId="22" fontId="1" numFmtId="0" xfId="0" applyAlignment="1" applyBorder="1" applyFont="1">
      <alignment horizontal="center" readingOrder="0" shrinkToFit="0" wrapText="1"/>
    </xf>
    <xf borderId="13" fillId="5" fontId="2" numFmtId="0" xfId="0" applyAlignment="1" applyBorder="1" applyFont="1">
      <alignment horizontal="center" shrinkToFit="0" vertical="center" wrapText="1"/>
    </xf>
    <xf borderId="13" fillId="23" fontId="2" numFmtId="0" xfId="0" applyAlignment="1" applyBorder="1" applyFill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readingOrder="0" vertical="center"/>
    </xf>
    <xf borderId="13" fillId="23" fontId="1" numFmtId="0" xfId="0" applyAlignment="1" applyBorder="1" applyFont="1">
      <alignment horizontal="center" readingOrder="0" vertical="center"/>
    </xf>
    <xf borderId="9" fillId="5" fontId="1" numFmtId="0" xfId="0" applyAlignment="1" applyBorder="1" applyFont="1">
      <alignment horizontal="center" readingOrder="0" shrinkToFit="0" vertical="center" wrapText="1"/>
    </xf>
    <xf borderId="9" fillId="23" fontId="1" numFmtId="0" xfId="0" applyAlignment="1" applyBorder="1" applyFont="1">
      <alignment horizontal="center" readingOrder="0" shrinkToFit="0" vertical="center" wrapText="1"/>
    </xf>
    <xf borderId="13" fillId="8" fontId="1" numFmtId="0" xfId="0" applyAlignment="1" applyBorder="1" applyFont="1">
      <alignment vertical="center"/>
    </xf>
    <xf borderId="13" fillId="0" fontId="4" numFmtId="0" xfId="0" applyBorder="1" applyFont="1"/>
    <xf borderId="13" fillId="16" fontId="1" numFmtId="0" xfId="0" applyAlignment="1" applyBorder="1" applyFont="1">
      <alignment horizontal="center" readingOrder="0" vertical="center"/>
    </xf>
    <xf borderId="1" fillId="21" fontId="2" numFmtId="0" xfId="0" applyAlignment="1" applyBorder="1" applyFont="1">
      <alignment horizontal="center" readingOrder="0" shrinkToFit="0" vertical="center" wrapText="1"/>
    </xf>
    <xf borderId="12" fillId="19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3" fillId="17" fontId="1" numFmtId="0" xfId="0" applyAlignment="1" applyBorder="1" applyFont="1">
      <alignment horizontal="center" shrinkToFit="0" vertical="center" wrapText="1"/>
    </xf>
    <xf borderId="13" fillId="17" fontId="1" numFmtId="0" xfId="0" applyAlignment="1" applyBorder="1" applyFont="1">
      <alignment horizontal="center" readingOrder="0" vertical="center"/>
    </xf>
    <xf borderId="13" fillId="6" fontId="1" numFmtId="0" xfId="0" applyAlignment="1" applyBorder="1" applyFont="1">
      <alignment horizontal="center" shrinkToFit="0" vertical="center" wrapText="1"/>
    </xf>
    <xf borderId="13" fillId="21" fontId="1" numFmtId="0" xfId="0" applyAlignment="1" applyBorder="1" applyFont="1">
      <alignment horizontal="center" readingOrder="0" vertical="center"/>
    </xf>
    <xf borderId="13" fillId="19" fontId="6" numFmtId="0" xfId="0" applyAlignment="1" applyBorder="1" applyFont="1">
      <alignment horizontal="center" readingOrder="0" vertical="center"/>
    </xf>
    <xf borderId="12" fillId="19" fontId="6" numFmtId="0" xfId="0" applyAlignment="1" applyBorder="1" applyFont="1">
      <alignment horizontal="center" shrinkToFit="0" vertical="center" wrapText="1"/>
    </xf>
    <xf borderId="9" fillId="21" fontId="1" numFmtId="0" xfId="0" applyAlignment="1" applyBorder="1" applyFont="1">
      <alignment horizontal="center" readingOrder="0" vertical="center"/>
    </xf>
    <xf borderId="14" fillId="19" fontId="1" numFmtId="0" xfId="0" applyAlignment="1" applyBorder="1" applyFont="1">
      <alignment horizontal="center" readingOrder="0" shrinkToFit="0" vertical="center" wrapText="1"/>
    </xf>
    <xf borderId="0" fillId="24" fontId="1" numFmtId="0" xfId="0" applyAlignment="1" applyFill="1" applyFont="1">
      <alignment horizontal="center" readingOrder="0" shrinkToFit="0" vertical="center" wrapText="1"/>
    </xf>
    <xf borderId="0" fillId="24" fontId="1" numFmtId="3" xfId="0" applyAlignment="1" applyFont="1" applyNumberFormat="1">
      <alignment horizontal="center" readingOrder="0" shrinkToFit="0" vertical="center" wrapText="1"/>
    </xf>
    <xf borderId="13" fillId="0" fontId="2" numFmtId="0" xfId="0" applyAlignment="1" applyBorder="1" applyFont="1">
      <alignment horizontal="center" shrinkToFit="0" vertical="center" wrapText="1"/>
    </xf>
    <xf borderId="13" fillId="13" fontId="2" numFmtId="0" xfId="0" applyAlignment="1" applyBorder="1" applyFont="1">
      <alignment horizontal="center" shrinkToFit="0" vertical="center" wrapText="1"/>
    </xf>
    <xf borderId="13" fillId="25" fontId="2" numFmtId="0" xfId="0" applyAlignment="1" applyBorder="1" applyFill="1" applyFont="1">
      <alignment horizontal="center" shrinkToFit="0" vertical="center" wrapText="1"/>
    </xf>
    <xf borderId="13" fillId="26" fontId="2" numFmtId="0" xfId="0" applyAlignment="1" applyBorder="1" applyFill="1" applyFont="1">
      <alignment horizontal="center" readingOrder="0" shrinkToFit="0" vertical="center" wrapText="1"/>
    </xf>
    <xf borderId="13" fillId="17" fontId="2" numFmtId="0" xfId="0" applyAlignment="1" applyBorder="1" applyFont="1">
      <alignment horizontal="center" shrinkToFit="0" wrapText="1"/>
    </xf>
    <xf borderId="16" fillId="0" fontId="2" numFmtId="0" xfId="0" applyAlignment="1" applyBorder="1" applyFont="1">
      <alignment horizontal="center" shrinkToFit="0" vertical="center" wrapText="1"/>
    </xf>
    <xf borderId="0" fillId="26" fontId="2" numFmtId="0" xfId="0" applyAlignment="1" applyFont="1">
      <alignment horizontal="center" shrinkToFit="0" vertical="center" wrapText="1"/>
    </xf>
    <xf borderId="13" fillId="23" fontId="8" numFmtId="0" xfId="0" applyAlignment="1" applyBorder="1" applyFont="1">
      <alignment horizontal="center" readingOrder="0" shrinkToFit="0" vertical="center" wrapText="1"/>
    </xf>
    <xf borderId="13" fillId="15" fontId="8" numFmtId="0" xfId="0" applyAlignment="1" applyBorder="1" applyFont="1">
      <alignment horizontal="center" readingOrder="0" shrinkToFit="0" vertical="center" wrapText="1"/>
    </xf>
    <xf borderId="0" fillId="13" fontId="1" numFmtId="0" xfId="0" applyAlignment="1" applyFont="1">
      <alignment horizontal="center" readingOrder="0" shrinkToFit="0" vertical="center" wrapText="1"/>
    </xf>
    <xf borderId="13" fillId="6" fontId="1" numFmtId="0" xfId="0" applyAlignment="1" applyBorder="1" applyFont="1">
      <alignment horizontal="center" readingOrder="0" shrinkToFit="0" vertical="center" wrapText="1"/>
    </xf>
    <xf borderId="13" fillId="25" fontId="1" numFmtId="0" xfId="0" applyAlignment="1" applyBorder="1" applyFont="1">
      <alignment horizontal="center" shrinkToFit="0" vertical="center" wrapText="1"/>
    </xf>
    <xf borderId="13" fillId="26" fontId="1" numFmtId="0" xfId="0" applyAlignment="1" applyBorder="1" applyFont="1">
      <alignment horizontal="center" vertical="center"/>
    </xf>
    <xf borderId="13" fillId="17" fontId="1" numFmtId="0" xfId="0" applyAlignment="1" applyBorder="1" applyFont="1">
      <alignment horizontal="center" shrinkToFit="0" wrapText="1"/>
    </xf>
    <xf borderId="16" fillId="0" fontId="1" numFmtId="0" xfId="0" applyAlignment="1" applyBorder="1" applyFont="1">
      <alignment horizontal="center" readingOrder="0" vertical="center"/>
    </xf>
    <xf borderId="0" fillId="26" fontId="6" numFmtId="0" xfId="0" applyAlignment="1" applyFont="1">
      <alignment horizontal="center" readingOrder="0" shrinkToFit="0" vertical="center" wrapText="1"/>
    </xf>
    <xf borderId="13" fillId="19" fontId="1" numFmtId="0" xfId="0" applyAlignment="1" applyBorder="1" applyFont="1">
      <alignment horizontal="center" readingOrder="0" vertical="center"/>
    </xf>
    <xf borderId="18" fillId="13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vertical="center"/>
    </xf>
    <xf borderId="9" fillId="13" fontId="1" numFmtId="0" xfId="0" applyAlignment="1" applyBorder="1" applyFont="1">
      <alignment horizontal="center" vertical="center"/>
    </xf>
    <xf borderId="9" fillId="25" fontId="1" numFmtId="0" xfId="0" applyAlignment="1" applyBorder="1" applyFont="1">
      <alignment horizontal="center" readingOrder="0" shrinkToFit="0" vertical="center" wrapText="1"/>
    </xf>
    <xf borderId="9" fillId="26" fontId="1" numFmtId="0" xfId="0" applyAlignment="1" applyBorder="1" applyFont="1">
      <alignment horizontal="center" readingOrder="0" shrinkToFit="0" vertical="center" wrapText="1"/>
    </xf>
    <xf borderId="17" fillId="0" fontId="2" numFmtId="0" xfId="0" applyAlignment="1" applyBorder="1" applyFont="1">
      <alignment horizontal="center" readingOrder="0" shrinkToFit="0" vertical="center" wrapText="1"/>
    </xf>
    <xf borderId="18" fillId="26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3" fillId="7" fontId="2" numFmtId="0" xfId="0" applyAlignment="1" applyBorder="1" applyFont="1">
      <alignment horizontal="center" readingOrder="0" shrinkToFit="0" vertical="center" wrapText="1"/>
    </xf>
    <xf borderId="12" fillId="21" fontId="1" numFmtId="0" xfId="0" applyAlignment="1" applyBorder="1" applyFont="1">
      <alignment horizontal="center" readingOrder="0" vertical="center"/>
    </xf>
    <xf borderId="13" fillId="25" fontId="1" numFmtId="0" xfId="0" applyAlignment="1" applyBorder="1" applyFont="1">
      <alignment horizontal="center" vertical="center"/>
    </xf>
    <xf borderId="13" fillId="26" fontId="1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horizontal="center" readingOrder="0" vertical="center"/>
    </xf>
    <xf borderId="13" fillId="7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18" fillId="13" fontId="1" numFmtId="0" xfId="0" applyAlignment="1" applyBorder="1" applyFont="1">
      <alignment horizontal="center" shrinkToFit="0" vertical="center" wrapText="1"/>
    </xf>
    <xf borderId="14" fillId="21" fontId="1" numFmtId="0" xfId="0" applyAlignment="1" applyBorder="1" applyFont="1">
      <alignment horizontal="center" readingOrder="0" vertical="center"/>
    </xf>
    <xf borderId="14" fillId="0" fontId="2" numFmtId="0" xfId="0" applyAlignment="1" applyBorder="1" applyFont="1">
      <alignment horizontal="center" readingOrder="0" shrinkToFit="0" vertical="center" wrapText="1"/>
    </xf>
    <xf borderId="9" fillId="7" fontId="1" numFmtId="0" xfId="0" applyAlignment="1" applyBorder="1" applyFont="1">
      <alignment horizontal="center" readingOrder="0" shrinkToFit="0" vertical="center" wrapText="1"/>
    </xf>
    <xf borderId="7" fillId="8" fontId="1" numFmtId="0" xfId="0" applyAlignment="1" applyBorder="1" applyFont="1">
      <alignment vertical="center"/>
    </xf>
    <xf borderId="0" fillId="27" fontId="2" numFmtId="0" xfId="0" applyAlignment="1" applyFill="1" applyFont="1">
      <alignment horizontal="center" readingOrder="0" vertical="center"/>
    </xf>
    <xf borderId="15" fillId="23" fontId="2" numFmtId="0" xfId="0" applyAlignment="1" applyBorder="1" applyFont="1">
      <alignment horizontal="center" readingOrder="0" vertical="center"/>
    </xf>
    <xf borderId="0" fillId="17" fontId="1" numFmtId="0" xfId="0" applyAlignment="1" applyFont="1">
      <alignment horizontal="center" vertical="center"/>
    </xf>
    <xf borderId="0" fillId="27" fontId="1" numFmtId="0" xfId="0" applyAlignment="1" applyFont="1">
      <alignment horizontal="center" readingOrder="0" vertical="center"/>
    </xf>
    <xf borderId="0" fillId="17" fontId="6" numFmtId="0" xfId="0" applyAlignment="1" applyFont="1">
      <alignment horizontal="center" readingOrder="0" shrinkToFit="0" vertical="center" wrapText="1"/>
    </xf>
    <xf borderId="16" fillId="23" fontId="1" numFmtId="0" xfId="0" applyAlignment="1" applyBorder="1" applyFont="1">
      <alignment horizontal="center" readingOrder="0" vertical="center"/>
    </xf>
    <xf borderId="9" fillId="13" fontId="1" numFmtId="0" xfId="0" applyAlignment="1" applyBorder="1" applyFont="1">
      <alignment horizontal="center" shrinkToFit="0" vertical="center" wrapText="1"/>
    </xf>
    <xf borderId="9" fillId="13" fontId="1" numFmtId="0" xfId="0" applyAlignment="1" applyBorder="1" applyFont="1">
      <alignment horizontal="center" readingOrder="0" shrinkToFit="0" vertical="center" wrapText="1"/>
    </xf>
    <xf borderId="18" fillId="17" fontId="1" numFmtId="0" xfId="0" applyAlignment="1" applyBorder="1" applyFont="1">
      <alignment horizontal="center" readingOrder="0" vertical="center"/>
    </xf>
    <xf borderId="18" fillId="27" fontId="1" numFmtId="0" xfId="0" applyAlignment="1" applyBorder="1" applyFont="1">
      <alignment horizontal="center" readingOrder="0"/>
    </xf>
    <xf borderId="18" fillId="17" fontId="1" numFmtId="0" xfId="0" applyAlignment="1" applyBorder="1" applyFont="1">
      <alignment horizontal="center" readingOrder="0" shrinkToFit="0" vertical="center" wrapText="1"/>
    </xf>
    <xf borderId="17" fillId="23" fontId="1" numFmtId="0" xfId="0" applyAlignment="1" applyBorder="1" applyFont="1">
      <alignment horizontal="center" readingOrder="0" vertical="center"/>
    </xf>
    <xf borderId="13" fillId="28" fontId="2" numFmtId="0" xfId="0" applyAlignment="1" applyBorder="1" applyFill="1" applyFont="1">
      <alignment horizontal="center" vertical="center"/>
    </xf>
    <xf borderId="12" fillId="0" fontId="2" numFmtId="0" xfId="0" applyAlignment="1" applyBorder="1" applyFont="1">
      <alignment horizontal="center" shrinkToFit="0" vertical="center" wrapText="1"/>
    </xf>
    <xf borderId="13" fillId="28" fontId="6" numFmtId="0" xfId="0" applyAlignment="1" applyBorder="1" applyFont="1">
      <alignment horizontal="center" shrinkToFit="0" vertical="center" wrapText="1"/>
    </xf>
    <xf borderId="12" fillId="19" fontId="1" numFmtId="0" xfId="0" applyAlignment="1" applyBorder="1" applyFont="1">
      <alignment horizontal="center" shrinkToFit="0" vertical="center" wrapText="1"/>
    </xf>
    <xf borderId="9" fillId="28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9" fillId="16" fontId="8" numFmtId="0" xfId="0" applyAlignment="1" applyBorder="1" applyFont="1">
      <alignment horizontal="center" readingOrder="0" vertical="center"/>
    </xf>
    <xf borderId="14" fillId="4" fontId="1" numFmtId="0" xfId="0" applyAlignment="1" applyBorder="1" applyFont="1">
      <alignment vertical="center"/>
    </xf>
    <xf borderId="0" fillId="27" fontId="2" numFmtId="0" xfId="0" applyAlignment="1" applyFont="1">
      <alignment horizontal="center" shrinkToFit="0" vertical="center" wrapText="1"/>
    </xf>
    <xf borderId="0" fillId="5" fontId="2" numFmtId="0" xfId="0" applyAlignment="1" applyFont="1">
      <alignment horizontal="center" shrinkToFit="0" vertical="center" wrapText="1"/>
    </xf>
    <xf borderId="1" fillId="7" fontId="2" numFmtId="0" xfId="0" applyAlignment="1" applyBorder="1" applyFont="1">
      <alignment horizontal="center" readingOrder="0" shrinkToFit="0" vertical="center" wrapText="1"/>
    </xf>
    <xf borderId="12" fillId="19" fontId="2" numFmtId="0" xfId="0" applyAlignment="1" applyBorder="1" applyFont="1">
      <alignment horizontal="center" readingOrder="0" shrinkToFit="0" vertical="center" wrapText="1"/>
    </xf>
    <xf borderId="13" fillId="17" fontId="2" numFmtId="0" xfId="0" applyAlignment="1" applyBorder="1" applyFont="1">
      <alignment horizontal="center" readingOrder="0" shrinkToFit="0" wrapText="1"/>
    </xf>
    <xf borderId="0" fillId="24" fontId="2" numFmtId="0" xfId="0" applyAlignment="1" applyFont="1">
      <alignment horizontal="center" shrinkToFit="0" vertical="center" wrapText="1"/>
    </xf>
    <xf borderId="0" fillId="27" fontId="1" numFmtId="0" xfId="0" applyAlignment="1" applyFont="1">
      <alignment horizontal="center" shrinkToFit="0" vertical="center" wrapText="1"/>
    </xf>
    <xf borderId="0" fillId="5" fontId="1" numFmtId="0" xfId="0" applyAlignment="1" applyFont="1">
      <alignment horizontal="center" vertical="center"/>
    </xf>
    <xf borderId="12" fillId="7" fontId="6" numFmtId="0" xfId="0" applyAlignment="1" applyBorder="1" applyFont="1">
      <alignment horizontal="center" readingOrder="0" shrinkToFit="0" vertical="center" wrapText="1"/>
    </xf>
    <xf borderId="13" fillId="6" fontId="6" numFmtId="0" xfId="0" applyAlignment="1" applyBorder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vertical="center"/>
    </xf>
    <xf borderId="13" fillId="17" fontId="1" numFmtId="0" xfId="0" applyAlignment="1" applyBorder="1" applyFont="1">
      <alignment horizontal="center"/>
    </xf>
    <xf borderId="0" fillId="24" fontId="1" numFmtId="0" xfId="0" applyAlignment="1" applyFont="1">
      <alignment horizontal="center" shrinkToFit="0" vertical="center" wrapText="1"/>
    </xf>
    <xf borderId="18" fillId="27" fontId="1" numFmtId="0" xfId="0" applyAlignment="1" applyBorder="1" applyFont="1">
      <alignment horizontal="center" readingOrder="0" shrinkToFit="0" wrapText="1"/>
    </xf>
    <xf borderId="18" fillId="5" fontId="1" numFmtId="0" xfId="0" applyAlignment="1" applyBorder="1" applyFont="1">
      <alignment horizontal="center" shrinkToFit="0" vertical="center" wrapText="1"/>
    </xf>
    <xf borderId="14" fillId="7" fontId="1" numFmtId="0" xfId="0" applyAlignment="1" applyBorder="1" applyFont="1">
      <alignment horizontal="center" readingOrder="0" shrinkToFit="0" vertical="center" wrapText="1"/>
    </xf>
    <xf borderId="9" fillId="6" fontId="2" numFmtId="0" xfId="0" applyAlignment="1" applyBorder="1" applyFont="1">
      <alignment horizontal="center" readingOrder="0" shrinkToFit="0" vertical="center" wrapText="1"/>
    </xf>
    <xf borderId="9" fillId="5" fontId="2" numFmtId="0" xfId="0" applyAlignment="1" applyBorder="1" applyFont="1">
      <alignment horizontal="center" readingOrder="0" shrinkToFit="0" vertical="center" wrapText="1"/>
    </xf>
    <xf borderId="9" fillId="17" fontId="1" numFmtId="0" xfId="0" applyAlignment="1" applyBorder="1" applyFont="1">
      <alignment horizontal="center" readingOrder="0" shrinkToFit="0" wrapText="1"/>
    </xf>
    <xf borderId="0" fillId="24" fontId="1" numFmtId="0" xfId="0" applyAlignment="1" applyFont="1">
      <alignment horizontal="center" shrinkToFit="0" vertical="center" wrapText="1"/>
    </xf>
    <xf borderId="0" fillId="17" fontId="2" numFmtId="0" xfId="0" applyAlignment="1" applyFont="1">
      <alignment horizontal="center" vertical="center"/>
    </xf>
    <xf borderId="13" fillId="18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0" fillId="27" fontId="1" numFmtId="0" xfId="0" applyAlignment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readingOrder="0" shrinkToFit="0" vertical="center" wrapText="1"/>
    </xf>
    <xf borderId="0" fillId="17" fontId="6" numFmtId="0" xfId="0" applyAlignment="1" applyFont="1">
      <alignment horizontal="center" vertical="center"/>
    </xf>
    <xf borderId="13" fillId="18" fontId="6" numFmtId="0" xfId="0" applyAlignment="1" applyBorder="1" applyFont="1">
      <alignment horizontal="center" vertical="center"/>
    </xf>
    <xf borderId="18" fillId="17" fontId="7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readingOrder="0" vertical="center"/>
    </xf>
    <xf borderId="13" fillId="27" fontId="2" numFmtId="0" xfId="0" applyAlignment="1" applyBorder="1" applyFont="1">
      <alignment horizontal="center" shrinkToFit="0" vertical="center" wrapText="1"/>
    </xf>
    <xf borderId="0" fillId="10" fontId="2" numFmtId="0" xfId="0" applyAlignment="1" applyFont="1">
      <alignment horizontal="center" shrinkToFit="0" vertical="center" wrapText="1"/>
    </xf>
    <xf borderId="0" fillId="15" fontId="2" numFmtId="0" xfId="0" applyAlignment="1" applyFont="1">
      <alignment horizontal="center" shrinkToFit="0" vertical="center" wrapText="1"/>
    </xf>
    <xf borderId="0" fillId="8" fontId="1" numFmtId="0" xfId="0" applyAlignment="1" applyFont="1">
      <alignment vertical="center"/>
    </xf>
    <xf borderId="0" fillId="24" fontId="2" numFmtId="0" xfId="0" applyAlignment="1" applyFont="1">
      <alignment horizontal="center" shrinkToFit="0" vertical="center" wrapText="1"/>
    </xf>
    <xf borderId="13" fillId="27" fontId="5" numFmtId="0" xfId="0" applyAlignment="1" applyBorder="1" applyFont="1">
      <alignment horizontal="center" readingOrder="0" shrinkToFit="0" vertical="center" wrapText="1"/>
    </xf>
    <xf borderId="13" fillId="27" fontId="1" numFmtId="0" xfId="0" applyAlignment="1" applyBorder="1" applyFont="1">
      <alignment horizontal="center" shrinkToFit="0" vertical="center" wrapText="1"/>
    </xf>
    <xf borderId="13" fillId="27" fontId="1" numFmtId="0" xfId="0" applyAlignment="1" applyBorder="1" applyFont="1">
      <alignment horizontal="center" readingOrder="0" shrinkToFit="0" vertical="center" wrapText="1"/>
    </xf>
    <xf borderId="0" fillId="10" fontId="1" numFmtId="0" xfId="0" applyAlignment="1" applyFont="1">
      <alignment horizontal="center" readingOrder="0" shrinkToFit="0" vertical="center" wrapText="1"/>
    </xf>
    <xf borderId="0" fillId="5" fontId="6" numFmtId="0" xfId="0" applyAlignment="1" applyFont="1">
      <alignment horizontal="center" vertical="center"/>
    </xf>
    <xf borderId="0" fillId="15" fontId="6" numFmtId="0" xfId="0" applyAlignment="1" applyFont="1">
      <alignment horizontal="center" readingOrder="0" shrinkToFit="0" vertical="center" wrapText="1"/>
    </xf>
    <xf borderId="13" fillId="18" fontId="1" numFmtId="0" xfId="0" applyAlignment="1" applyBorder="1" applyFont="1">
      <alignment horizontal="center" shrinkToFit="0" vertical="center" wrapText="1"/>
    </xf>
    <xf borderId="9" fillId="27" fontId="1" numFmtId="0" xfId="0" applyAlignment="1" applyBorder="1" applyFont="1">
      <alignment horizontal="center" readingOrder="0" shrinkToFit="0" vertical="center" wrapText="1"/>
    </xf>
    <xf borderId="9" fillId="27" fontId="1" numFmtId="0" xfId="0" applyAlignment="1" applyBorder="1" applyFont="1">
      <alignment horizontal="center" shrinkToFit="0" vertical="center" wrapText="1"/>
    </xf>
    <xf borderId="18" fillId="10" fontId="1" numFmtId="0" xfId="0" applyAlignment="1" applyBorder="1" applyFont="1">
      <alignment horizontal="center" readingOrder="0" shrinkToFit="0" vertical="center" wrapText="1"/>
    </xf>
    <xf borderId="18" fillId="5" fontId="2" numFmtId="0" xfId="0" applyAlignment="1" applyBorder="1" applyFont="1">
      <alignment horizontal="center" readingOrder="0" shrinkToFit="0" vertical="center" wrapText="1"/>
    </xf>
    <xf borderId="9" fillId="0" fontId="4" numFmtId="0" xfId="0" applyBorder="1" applyFont="1"/>
    <xf borderId="7" fillId="27" fontId="2" numFmtId="0" xfId="0" applyAlignment="1" applyBorder="1" applyFont="1">
      <alignment horizontal="center" shrinkToFit="0" vertical="center" wrapText="1"/>
    </xf>
    <xf borderId="13" fillId="20" fontId="2" numFmtId="0" xfId="0" applyAlignment="1" applyBorder="1" applyFont="1">
      <alignment horizontal="center" shrinkToFit="0" vertical="center" wrapText="1"/>
    </xf>
    <xf borderId="0" fillId="10" fontId="1" numFmtId="0" xfId="0" applyAlignment="1" applyFont="1">
      <alignment horizontal="center" shrinkToFit="0" vertical="center" wrapText="1"/>
    </xf>
    <xf borderId="0" fillId="15" fontId="1" numFmtId="0" xfId="0" applyAlignment="1" applyFont="1">
      <alignment horizontal="center" readingOrder="0" shrinkToFit="0" vertical="center" wrapText="1"/>
    </xf>
    <xf borderId="13" fillId="20" fontId="6" numFmtId="0" xfId="0" applyAlignment="1" applyBorder="1" applyFont="1">
      <alignment horizontal="center" vertical="center"/>
    </xf>
    <xf borderId="9" fillId="20" fontId="1" numFmtId="0" xfId="0" applyAlignment="1" applyBorder="1" applyFont="1">
      <alignment horizontal="center" vertical="center"/>
    </xf>
    <xf borderId="13" fillId="10" fontId="2" numFmtId="0" xfId="0" applyAlignment="1" applyBorder="1" applyFont="1">
      <alignment horizontal="center" shrinkToFit="0" vertical="center" wrapText="1"/>
    </xf>
    <xf borderId="1" fillId="27" fontId="9" numFmtId="0" xfId="0" applyAlignment="1" applyBorder="1" applyFont="1">
      <alignment horizontal="center" readingOrder="0" vertical="center"/>
    </xf>
    <xf borderId="13" fillId="20" fontId="2" numFmtId="0" xfId="0" applyAlignment="1" applyBorder="1" applyFont="1">
      <alignment horizontal="center" shrinkToFit="0" vertical="center" wrapText="1"/>
    </xf>
    <xf borderId="1" fillId="10" fontId="2" numFmtId="0" xfId="0" applyAlignment="1" applyBorder="1" applyFont="1">
      <alignment horizontal="center" readingOrder="0" vertical="center"/>
    </xf>
    <xf borderId="13" fillId="10" fontId="1" numFmtId="0" xfId="0" applyAlignment="1" applyBorder="1" applyFont="1">
      <alignment horizontal="center" readingOrder="0" vertical="center"/>
    </xf>
    <xf borderId="12" fillId="27" fontId="1" numFmtId="0" xfId="0" applyAlignment="1" applyBorder="1" applyFont="1">
      <alignment horizontal="center" readingOrder="0" vertical="center"/>
    </xf>
    <xf borderId="13" fillId="20" fontId="1" numFmtId="0" xfId="0" applyAlignment="1" applyBorder="1" applyFont="1">
      <alignment horizontal="center" readingOrder="0" vertical="center"/>
    </xf>
    <xf borderId="12" fillId="10" fontId="1" numFmtId="0" xfId="0" applyAlignment="1" applyBorder="1" applyFont="1">
      <alignment horizontal="center" readingOrder="0" vertical="center"/>
    </xf>
    <xf borderId="9" fillId="10" fontId="1" numFmtId="0" xfId="0" applyAlignment="1" applyBorder="1" applyFont="1">
      <alignment horizontal="center" readingOrder="0" vertical="center"/>
    </xf>
    <xf borderId="18" fillId="0" fontId="4" numFmtId="0" xfId="0" applyBorder="1" applyFont="1"/>
    <xf borderId="14" fillId="27" fontId="1" numFmtId="0" xfId="0" applyAlignment="1" applyBorder="1" applyFont="1">
      <alignment horizontal="center" readingOrder="0" vertical="center"/>
    </xf>
    <xf borderId="14" fillId="10" fontId="1" numFmtId="0" xfId="0" applyAlignment="1" applyBorder="1" applyFont="1">
      <alignment horizontal="center" readingOrder="0" vertical="center"/>
    </xf>
    <xf borderId="13" fillId="27" fontId="9" numFmtId="0" xfId="0" applyAlignment="1" applyBorder="1" applyFont="1">
      <alignment horizontal="center" readingOrder="0" vertical="center"/>
    </xf>
    <xf borderId="0" fillId="15" fontId="8" numFmtId="0" xfId="0" applyAlignment="1" applyFont="1">
      <alignment horizontal="left" readingOrder="0" shrinkToFit="0" vertical="center" wrapText="1"/>
    </xf>
    <xf borderId="13" fillId="0" fontId="10" numFmtId="0" xfId="0" applyAlignment="1" applyBorder="1" applyFont="1">
      <alignment horizontal="center" shrinkToFit="0" vertical="center" wrapText="1"/>
    </xf>
    <xf borderId="12" fillId="27" fontId="4" numFmtId="0" xfId="0" applyAlignment="1" applyBorder="1" applyFont="1">
      <alignment horizontal="center" readingOrder="0" vertical="center"/>
    </xf>
    <xf borderId="9" fillId="15" fontId="2" numFmtId="0" xfId="0" applyAlignment="1" applyBorder="1" applyFont="1">
      <alignment horizontal="center" readingOrder="0" shrinkToFit="0" vertical="center" wrapText="1"/>
    </xf>
    <xf borderId="0" fillId="12" fontId="11" numFmtId="0" xfId="0" applyAlignment="1" applyFont="1">
      <alignment horizontal="center" shrinkToFit="0" vertical="center" wrapText="1"/>
    </xf>
    <xf borderId="0" fillId="12" fontId="11" numFmtId="0" xfId="0" applyAlignment="1" applyFont="1">
      <alignment horizontal="center" readingOrder="0" shrinkToFit="0" vertical="center" wrapText="1"/>
    </xf>
    <xf borderId="13" fillId="10" fontId="1" numFmtId="0" xfId="0" applyAlignment="1" applyBorder="1" applyFont="1">
      <alignment horizontal="center" vertical="center"/>
    </xf>
    <xf borderId="9" fillId="10" fontId="1" numFmtId="0" xfId="0" applyAlignment="1" applyBorder="1" applyFont="1">
      <alignment horizontal="center" readingOrder="0" shrinkToFit="0" vertical="center" wrapText="1"/>
    </xf>
    <xf borderId="0" fillId="23" fontId="2" numFmtId="0" xfId="0" applyAlignment="1" applyFont="1">
      <alignment horizontal="center" shrinkToFit="0" vertical="center" wrapText="1"/>
    </xf>
    <xf borderId="0" fillId="29" fontId="2" numFmtId="0" xfId="0" applyAlignment="1" applyFill="1" applyFont="1">
      <alignment horizontal="center" shrinkToFit="0" vertical="center" wrapText="1"/>
    </xf>
    <xf borderId="13" fillId="19" fontId="2" numFmtId="0" xfId="0" applyAlignment="1" applyBorder="1" applyFont="1">
      <alignment horizontal="center" readingOrder="0" shrinkToFit="0" vertical="center" wrapText="1"/>
    </xf>
    <xf borderId="13" fillId="22" fontId="2" numFmtId="0" xfId="0" applyAlignment="1" applyBorder="1" applyFont="1">
      <alignment horizontal="center" shrinkToFit="0" vertical="center" wrapText="1"/>
    </xf>
    <xf borderId="13" fillId="10" fontId="1" numFmtId="0" xfId="0" applyAlignment="1" applyBorder="1" applyFont="1">
      <alignment horizontal="center" readingOrder="0" shrinkToFit="0" vertical="center" wrapText="1"/>
    </xf>
    <xf borderId="13" fillId="10" fontId="1" numFmtId="0" xfId="0" applyAlignment="1" applyBorder="1" applyFont="1">
      <alignment horizontal="center" shrinkToFit="0" vertical="center" wrapText="1"/>
    </xf>
    <xf borderId="0" fillId="23" fontId="6" numFmtId="0" xfId="0" applyAlignment="1" applyFont="1">
      <alignment horizontal="center" vertical="center"/>
    </xf>
    <xf borderId="0" fillId="29" fontId="6" numFmtId="0" xfId="0" applyAlignment="1" applyFont="1">
      <alignment horizontal="center" vertical="center"/>
    </xf>
    <xf borderId="13" fillId="22" fontId="6" numFmtId="0" xfId="0" applyAlignment="1" applyBorder="1" applyFont="1">
      <alignment horizontal="center" readingOrder="0" vertical="center"/>
    </xf>
    <xf borderId="18" fillId="23" fontId="1" numFmtId="0" xfId="0" applyAlignment="1" applyBorder="1" applyFont="1">
      <alignment horizontal="center" readingOrder="0" shrinkToFit="0" vertical="center" wrapText="1"/>
    </xf>
    <xf borderId="18" fillId="29" fontId="2" numFmtId="0" xfId="0" applyAlignment="1" applyBorder="1" applyFont="1">
      <alignment horizontal="center" shrinkToFit="0" vertical="center" wrapText="1"/>
    </xf>
    <xf borderId="9" fillId="22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vertical="center"/>
    </xf>
    <xf borderId="1" fillId="10" fontId="2" numFmtId="0" xfId="0" applyAlignment="1" applyBorder="1" applyFont="1">
      <alignment horizontal="center" shrinkToFit="0" vertical="center" wrapText="1"/>
    </xf>
    <xf borderId="16" fillId="10" fontId="2" numFmtId="0" xfId="0" applyAlignment="1" applyBorder="1" applyFont="1">
      <alignment horizontal="center" readingOrder="0" shrinkToFit="0" vertical="center" wrapText="1"/>
    </xf>
    <xf borderId="13" fillId="23" fontId="2" numFmtId="0" xfId="0" applyAlignment="1" applyBorder="1" applyFont="1">
      <alignment horizontal="center" shrinkToFit="0" vertical="center" wrapText="1"/>
    </xf>
    <xf borderId="13" fillId="29" fontId="2" numFmtId="0" xfId="0" applyAlignment="1" applyBorder="1" applyFont="1">
      <alignment horizontal="center" shrinkToFit="0" vertical="center" wrapText="1"/>
    </xf>
    <xf borderId="12" fillId="10" fontId="2" numFmtId="0" xfId="0" applyAlignment="1" applyBorder="1" applyFont="1">
      <alignment horizontal="center" shrinkToFit="0" vertical="center" wrapText="1"/>
    </xf>
    <xf borderId="13" fillId="14" fontId="2" numFmtId="0" xfId="0" applyAlignment="1" applyBorder="1" applyFont="1">
      <alignment horizontal="center" shrinkToFit="0" vertical="center" wrapText="1"/>
    </xf>
    <xf borderId="13" fillId="0" fontId="8" numFmtId="0" xfId="0" applyAlignment="1" applyBorder="1" applyFont="1">
      <alignment horizontal="center" readingOrder="0" shrinkToFit="0" vertical="center" wrapText="1"/>
    </xf>
    <xf borderId="0" fillId="6" fontId="6" numFmtId="0" xfId="0" applyAlignment="1" applyFont="1">
      <alignment horizontal="center" readingOrder="0" shrinkToFit="0" vertical="center" wrapText="1"/>
    </xf>
    <xf borderId="12" fillId="10" fontId="1" numFmtId="0" xfId="0" applyAlignment="1" applyBorder="1" applyFont="1">
      <alignment horizontal="center" vertical="center"/>
    </xf>
    <xf borderId="16" fillId="10" fontId="1" numFmtId="0" xfId="0" applyAlignment="1" applyBorder="1" applyFont="1">
      <alignment horizontal="center" readingOrder="0" vertical="center"/>
    </xf>
    <xf borderId="13" fillId="23" fontId="1" numFmtId="0" xfId="0" applyAlignment="1" applyBorder="1" applyFont="1">
      <alignment horizontal="center" vertical="center"/>
    </xf>
    <xf borderId="13" fillId="29" fontId="1" numFmtId="0" xfId="0" applyAlignment="1" applyBorder="1" applyFont="1">
      <alignment horizontal="center" vertical="center"/>
    </xf>
    <xf borderId="12" fillId="10" fontId="1" numFmtId="0" xfId="0" applyAlignment="1" applyBorder="1" applyFont="1">
      <alignment horizontal="center" readingOrder="0" shrinkToFit="0" vertical="center" wrapText="1"/>
    </xf>
    <xf borderId="13" fillId="22" fontId="1" numFmtId="0" xfId="0" applyAlignment="1" applyBorder="1" applyFont="1">
      <alignment horizontal="center" vertical="center"/>
    </xf>
    <xf borderId="13" fillId="14" fontId="6" numFmtId="0" xfId="0" applyAlignment="1" applyBorder="1" applyFont="1">
      <alignment horizontal="center" shrinkToFit="0" vertical="center" wrapText="1"/>
    </xf>
    <xf borderId="14" fillId="10" fontId="1" numFmtId="0" xfId="0" applyAlignment="1" applyBorder="1" applyFont="1">
      <alignment horizontal="center" readingOrder="0" shrinkToFit="0" vertical="center" wrapText="1"/>
    </xf>
    <xf borderId="17" fillId="10" fontId="2" numFmtId="0" xfId="0" applyAlignment="1" applyBorder="1" applyFont="1">
      <alignment horizontal="center" readingOrder="0" shrinkToFit="0" vertical="center" wrapText="1"/>
    </xf>
    <xf borderId="9" fillId="23" fontId="1" numFmtId="0" xfId="0" applyAlignment="1" applyBorder="1" applyFont="1">
      <alignment horizontal="center" shrinkToFit="0" vertical="center" wrapText="1"/>
    </xf>
    <xf borderId="9" fillId="29" fontId="1" numFmtId="0" xfId="0" applyAlignment="1" applyBorder="1" applyFont="1">
      <alignment horizontal="center" readingOrder="0" shrinkToFit="0" vertical="center" wrapText="1"/>
    </xf>
    <xf borderId="14" fillId="10" fontId="2" numFmtId="0" xfId="0" applyAlignment="1" applyBorder="1" applyFont="1">
      <alignment horizontal="center" readingOrder="0" shrinkToFit="0" vertical="center" wrapText="1"/>
    </xf>
    <xf borderId="9" fillId="14" fontId="2" numFmtId="0" xfId="0" applyAlignment="1" applyBorder="1" applyFont="1">
      <alignment horizontal="center" readingOrder="0" shrinkToFit="0" vertical="center" wrapText="1"/>
    </xf>
    <xf borderId="13" fillId="30" fontId="2" numFmtId="0" xfId="0" applyAlignment="1" applyBorder="1" applyFill="1" applyFont="1">
      <alignment horizontal="center" shrinkToFit="0" vertical="center" wrapText="1"/>
    </xf>
    <xf borderId="13" fillId="28" fontId="2" numFmtId="0" xfId="0" applyAlignment="1" applyBorder="1" applyFont="1">
      <alignment horizontal="center" shrinkToFit="0" vertical="center" wrapText="1"/>
    </xf>
    <xf borderId="12" fillId="14" fontId="2" numFmtId="0" xfId="0" applyAlignment="1" applyBorder="1" applyFont="1">
      <alignment horizontal="center" shrinkToFit="0" vertical="center" wrapText="1"/>
    </xf>
    <xf borderId="13" fillId="30" fontId="2" numFmtId="0" xfId="0" applyAlignment="1" applyBorder="1" applyFont="1">
      <alignment horizontal="center" readingOrder="0" vertical="center"/>
    </xf>
    <xf borderId="13" fillId="30" fontId="1" numFmtId="0" xfId="0" applyAlignment="1" applyBorder="1" applyFont="1">
      <alignment horizontal="center" shrinkToFit="0" vertical="center" wrapText="1"/>
    </xf>
    <xf borderId="0" fillId="15" fontId="1" numFmtId="0" xfId="0" applyAlignment="1" applyFont="1">
      <alignment horizontal="center" vertical="center"/>
    </xf>
    <xf borderId="12" fillId="14" fontId="1" numFmtId="0" xfId="0" applyAlignment="1" applyBorder="1" applyFont="1">
      <alignment horizontal="center" shrinkToFit="0" vertical="center" wrapText="1"/>
    </xf>
    <xf borderId="13" fillId="30" fontId="1" numFmtId="0" xfId="0" applyAlignment="1" applyBorder="1" applyFont="1">
      <alignment horizontal="center" readingOrder="0" vertical="center"/>
    </xf>
    <xf borderId="9" fillId="6" fontId="1" numFmtId="0" xfId="0" applyAlignment="1" applyBorder="1" applyFont="1">
      <alignment horizontal="center" shrinkToFit="0" vertical="center" wrapText="1"/>
    </xf>
    <xf borderId="9" fillId="30" fontId="1" numFmtId="0" xfId="0" applyAlignment="1" applyBorder="1" applyFont="1">
      <alignment horizontal="center" readingOrder="0" shrinkToFit="0" vertical="center" wrapText="1"/>
    </xf>
    <xf borderId="18" fillId="15" fontId="1" numFmtId="0" xfId="0" applyAlignment="1" applyBorder="1" applyFont="1">
      <alignment horizontal="center" readingOrder="0" shrinkToFit="0" vertical="center" wrapText="1"/>
    </xf>
    <xf borderId="9" fillId="28" fontId="1" numFmtId="0" xfId="0" applyAlignment="1" applyBorder="1" applyFont="1">
      <alignment horizontal="center" readingOrder="0" shrinkToFit="0" vertical="center" wrapText="1"/>
    </xf>
    <xf borderId="14" fillId="14" fontId="1" numFmtId="0" xfId="0" applyAlignment="1" applyBorder="1" applyFont="1">
      <alignment horizontal="center" readingOrder="0" shrinkToFit="0" vertical="center" wrapText="1"/>
    </xf>
    <xf borderId="9" fillId="30" fontId="1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horizontal="center" readingOrder="0" shrinkToFit="0" vertical="center" wrapText="1"/>
    </xf>
    <xf borderId="13" fillId="28" fontId="1" numFmtId="0" xfId="0" applyAlignment="1" applyBorder="1" applyFont="1">
      <alignment horizontal="center" readingOrder="0" shrinkToFit="0" vertical="center" wrapText="1"/>
    </xf>
    <xf borderId="13" fillId="6" fontId="6" numFmtId="0" xfId="0" applyAlignment="1" applyBorder="1" applyFont="1">
      <alignment horizontal="center" shrinkToFit="0" vertical="center" wrapText="1"/>
    </xf>
    <xf borderId="9" fillId="6" fontId="2" numFmtId="0" xfId="0" applyAlignment="1" applyBorder="1" applyFont="1">
      <alignment horizontal="center" shrinkToFit="0" vertical="center" wrapText="1"/>
    </xf>
    <xf borderId="1" fillId="6" fontId="2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vertical="center"/>
    </xf>
    <xf borderId="9" fillId="6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readingOrder="0" shrinkToFit="0" vertical="center" wrapText="1"/>
    </xf>
    <xf borderId="14" fillId="6" fontId="1" numFmtId="0" xfId="0" applyAlignment="1" applyBorder="1" applyFont="1">
      <alignment horizontal="center" readingOrder="0" shrinkToFit="0" vertical="center" wrapText="1"/>
    </xf>
    <xf borderId="2" fillId="4" fontId="1" numFmtId="0" xfId="0" applyAlignment="1" applyBorder="1" applyFont="1">
      <alignment vertical="center"/>
    </xf>
    <xf borderId="0" fillId="14" fontId="2" numFmtId="0" xfId="0" applyAlignment="1" applyFont="1">
      <alignment horizontal="center" vertical="center"/>
    </xf>
    <xf borderId="13" fillId="15" fontId="2" numFmtId="0" xfId="0" applyAlignment="1" applyBorder="1" applyFont="1">
      <alignment horizontal="center" shrinkToFit="0" vertical="center" wrapText="1"/>
    </xf>
    <xf borderId="13" fillId="23" fontId="2" numFmtId="0" xfId="0" applyAlignment="1" applyBorder="1" applyFont="1">
      <alignment horizontal="center" shrinkToFit="0" wrapText="1"/>
    </xf>
    <xf borderId="0" fillId="14" fontId="6" numFmtId="0" xfId="0" applyAlignment="1" applyFont="1">
      <alignment horizontal="center" readingOrder="0" shrinkToFit="0" vertical="center" wrapText="1"/>
    </xf>
    <xf borderId="13" fillId="15" fontId="1" numFmtId="0" xfId="0" applyAlignment="1" applyBorder="1" applyFont="1">
      <alignment horizontal="center" shrinkToFit="0" vertical="center" wrapText="1"/>
    </xf>
    <xf borderId="13" fillId="23" fontId="1" numFmtId="0" xfId="0" applyAlignment="1" applyBorder="1" applyFont="1">
      <alignment horizontal="center"/>
    </xf>
    <xf borderId="18" fillId="14" fontId="1" numFmtId="0" xfId="0" applyAlignment="1" applyBorder="1" applyFont="1">
      <alignment horizontal="center" shrinkToFit="0" vertical="center" wrapText="1"/>
    </xf>
    <xf borderId="9" fillId="15" fontId="2" numFmtId="0" xfId="0" applyAlignment="1" applyBorder="1" applyFont="1">
      <alignment horizontal="center" shrinkToFit="0" vertical="center" wrapText="1"/>
    </xf>
    <xf borderId="9" fillId="23" fontId="1" numFmtId="0" xfId="0" applyAlignment="1" applyBorder="1" applyFont="1">
      <alignment horizontal="center" readingOrder="0" shrinkToFit="0" wrapText="1"/>
    </xf>
    <xf borderId="0" fillId="14" fontId="2" numFmtId="0" xfId="0" applyAlignment="1" applyFont="1">
      <alignment horizontal="center" readingOrder="0" vertical="center"/>
    </xf>
    <xf borderId="13" fillId="15" fontId="2" numFmtId="0" xfId="0" applyAlignment="1" applyBorder="1" applyFont="1">
      <alignment horizontal="center" shrinkToFit="0" vertical="center" wrapText="1"/>
    </xf>
    <xf borderId="13" fillId="19" fontId="2" numFmtId="0" xfId="0" applyAlignment="1" applyBorder="1" applyFont="1">
      <alignment horizontal="center" vertical="center"/>
    </xf>
    <xf borderId="0" fillId="14" fontId="1" numFmtId="0" xfId="0" applyAlignment="1" applyFont="1">
      <alignment horizontal="center" readingOrder="0" shrinkToFit="0" vertical="center" wrapText="1"/>
    </xf>
    <xf borderId="13" fillId="15" fontId="1" numFmtId="0" xfId="0" applyAlignment="1" applyBorder="1" applyFont="1">
      <alignment horizontal="center" shrinkToFit="0" vertical="center" wrapText="1"/>
    </xf>
    <xf borderId="13" fillId="19" fontId="6" numFmtId="0" xfId="0" applyAlignment="1" applyBorder="1" applyFont="1">
      <alignment horizontal="center" vertical="center"/>
    </xf>
    <xf borderId="18" fillId="17" fontId="5" numFmtId="0" xfId="0" applyAlignment="1" applyBorder="1" applyFont="1">
      <alignment horizontal="center" readingOrder="0" shrinkToFit="0" vertical="center" wrapText="1"/>
    </xf>
    <xf borderId="0" fillId="20" fontId="2" numFmtId="0" xfId="0" applyAlignment="1" applyFont="1">
      <alignment horizontal="center" shrinkToFit="0" vertical="center" wrapText="1"/>
    </xf>
    <xf borderId="13" fillId="14" fontId="1" numFmtId="0" xfId="0" applyAlignment="1" applyBorder="1" applyFont="1">
      <alignment horizontal="center" readingOrder="0" vertical="center"/>
    </xf>
    <xf borderId="12" fillId="0" fontId="10" numFmtId="0" xfId="0" applyAlignment="1" applyBorder="1" applyFont="1">
      <alignment horizontal="center" shrinkToFit="0" vertical="center" wrapText="1"/>
    </xf>
    <xf borderId="0" fillId="20" fontId="1" numFmtId="0" xfId="0" applyAlignment="1" applyFont="1">
      <alignment horizontal="center" shrinkToFit="0" vertical="center" wrapText="1"/>
    </xf>
    <xf borderId="0" fillId="17" fontId="1" numFmtId="0" xfId="0" applyAlignment="1" applyFont="1">
      <alignment horizontal="center" readingOrder="0" vertical="center"/>
    </xf>
    <xf borderId="13" fillId="19" fontId="1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9" fillId="14" fontId="1" numFmtId="0" xfId="0" applyAlignment="1" applyBorder="1" applyFont="1">
      <alignment horizontal="center" readingOrder="0" shrinkToFit="0" vertical="center" wrapText="1"/>
    </xf>
    <xf borderId="9" fillId="14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8" fillId="20" fontId="1" numFmtId="0" xfId="0" applyAlignment="1" applyBorder="1" applyFont="1">
      <alignment horizontal="center" readingOrder="0" shrinkToFit="0" vertical="center" wrapText="1"/>
    </xf>
    <xf borderId="1" fillId="14" fontId="2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horizontal="center" readingOrder="0" shrinkToFit="0" vertical="center" wrapText="1"/>
    </xf>
    <xf borderId="12" fillId="14" fontId="1" numFmtId="0" xfId="0" applyAlignment="1" applyBorder="1" applyFont="1">
      <alignment horizontal="center" readingOrder="0" vertical="center"/>
    </xf>
    <xf borderId="13" fillId="0" fontId="12" numFmtId="0" xfId="0" applyAlignment="1" applyBorder="1" applyFont="1">
      <alignment horizontal="center" shrinkToFit="0" vertical="center" wrapText="1"/>
    </xf>
    <xf borderId="9" fillId="16" fontId="13" numFmtId="0" xfId="0" applyAlignment="1" applyBorder="1" applyFont="1">
      <alignment horizontal="center" readingOrder="0" vertical="center"/>
    </xf>
    <xf borderId="13" fillId="20" fontId="2" numFmtId="0" xfId="0" applyAlignment="1" applyBorder="1" applyFont="1">
      <alignment horizontal="center" vertical="center"/>
    </xf>
    <xf borderId="12" fillId="1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center" readingOrder="0" vertical="center"/>
    </xf>
    <xf borderId="13" fillId="15" fontId="1" numFmtId="0" xfId="0" applyAlignment="1" applyBorder="1" applyFont="1">
      <alignment horizontal="center" readingOrder="0" shrinkToFit="0" vertical="center" wrapText="1"/>
    </xf>
    <xf borderId="9" fillId="20" fontId="1" numFmtId="0" xfId="0" applyAlignment="1" applyBorder="1" applyFont="1">
      <alignment horizontal="center" readingOrder="0" vertical="center"/>
    </xf>
    <xf borderId="9" fillId="15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2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readingOrder="0" shrinkToFit="0" vertical="center" wrapText="1"/>
    </xf>
    <xf borderId="12" fillId="20" fontId="1" numFmtId="0" xfId="0" applyAlignment="1" applyBorder="1" applyFont="1">
      <alignment horizontal="center" vertical="center"/>
    </xf>
    <xf borderId="13" fillId="20" fontId="1" numFmtId="0" xfId="0" applyAlignment="1" applyBorder="1" applyFont="1">
      <alignment horizontal="center" vertical="center"/>
    </xf>
    <xf borderId="9" fillId="15" fontId="1" numFmtId="0" xfId="0" applyAlignment="1" applyBorder="1" applyFont="1">
      <alignment horizontal="center" vertical="center"/>
    </xf>
    <xf borderId="14" fillId="21" fontId="4" numFmtId="0" xfId="0" applyAlignment="1" applyBorder="1" applyFont="1">
      <alignment horizontal="center" readingOrder="0" vertical="center"/>
    </xf>
    <xf borderId="13" fillId="8" fontId="2" numFmtId="0" xfId="0" applyAlignment="1" applyBorder="1" applyFont="1">
      <alignment readingOrder="0" vertical="center"/>
    </xf>
    <xf borderId="0" fillId="31" fontId="13" numFmtId="0" xfId="0" applyAlignment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vertical="center"/>
    </xf>
    <xf borderId="0" fillId="31" fontId="6" numFmtId="0" xfId="0" applyAlignment="1" applyFont="1">
      <alignment horizontal="center" readingOrder="0" vertical="center"/>
    </xf>
    <xf borderId="18" fillId="31" fontId="2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left" readingOrder="0" shrinkToFit="0" vertical="center" wrapText="1"/>
    </xf>
    <xf borderId="1" fillId="31" fontId="9" numFmtId="0" xfId="0" applyAlignment="1" applyBorder="1" applyFont="1">
      <alignment horizontal="center" readingOrder="0" vertical="center"/>
    </xf>
    <xf borderId="12" fillId="31" fontId="4" numFmtId="0" xfId="0" applyAlignment="1" applyBorder="1" applyFont="1">
      <alignment horizontal="center" readingOrder="0" vertical="center"/>
    </xf>
    <xf borderId="14" fillId="31" fontId="2" numFmtId="0" xfId="0" applyAlignment="1" applyBorder="1" applyFont="1">
      <alignment horizontal="center" readingOrder="0" shrinkToFit="0" vertical="center" wrapText="1"/>
    </xf>
    <xf borderId="0" fillId="16" fontId="7" numFmtId="0" xfId="0" applyAlignment="1" applyFont="1">
      <alignment horizontal="center" shrinkToFit="0" vertical="center" wrapText="1"/>
    </xf>
    <xf borderId="13" fillId="27" fontId="2" numFmtId="0" xfId="0" applyAlignment="1" applyBorder="1" applyFont="1">
      <alignment horizontal="center" readingOrder="0" vertical="center"/>
    </xf>
    <xf borderId="13" fillId="22" fontId="2" numFmtId="0" xfId="0" applyAlignment="1" applyBorder="1" applyFont="1">
      <alignment horizontal="center" readingOrder="0" vertical="center"/>
    </xf>
    <xf borderId="13" fillId="27" fontId="1" numFmtId="0" xfId="0" applyAlignment="1" applyBorder="1" applyFont="1">
      <alignment horizontal="center" readingOrder="0" vertical="center"/>
    </xf>
    <xf borderId="9" fillId="27" fontId="2" numFmtId="0" xfId="0" applyAlignment="1" applyBorder="1" applyFont="1">
      <alignment horizontal="center" readingOrder="0" vertical="center"/>
    </xf>
    <xf borderId="9" fillId="17" fontId="1" numFmtId="0" xfId="0" applyAlignment="1" applyBorder="1" applyFont="1">
      <alignment horizontal="center" shrinkToFit="0" vertical="center" wrapText="1"/>
    </xf>
    <xf borderId="13" fillId="26" fontId="2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13" fillId="7" fontId="2" numFmtId="0" xfId="0" applyAlignment="1" applyBorder="1" applyFont="1">
      <alignment horizontal="center" shrinkToFit="0" vertical="center" wrapText="1"/>
    </xf>
    <xf borderId="13" fillId="21" fontId="8" numFmtId="0" xfId="0" applyAlignment="1" applyBorder="1" applyFont="1">
      <alignment horizontal="center" readingOrder="0" shrinkToFit="0" vertical="center" wrapText="1"/>
    </xf>
    <xf borderId="18" fillId="17" fontId="1" numFmtId="0" xfId="0" applyAlignment="1" applyBorder="1" applyFont="1">
      <alignment horizontal="center" vertical="center"/>
    </xf>
    <xf borderId="18" fillId="27" fontId="1" numFmtId="0" xfId="0" applyAlignment="1" applyBorder="1" applyFont="1">
      <alignment horizontal="center" readingOrder="0" vertical="center"/>
    </xf>
    <xf borderId="18" fillId="27" fontId="1" numFmtId="0" xfId="0" applyAlignment="1" applyBorder="1" applyFont="1">
      <alignment horizontal="center" readingOrder="0" shrinkToFit="0" vertical="center" wrapText="1"/>
    </xf>
    <xf borderId="13" fillId="21" fontId="6" numFmtId="0" xfId="0" applyAlignment="1" applyBorder="1" applyFont="1">
      <alignment horizontal="center" readingOrder="0" vertical="center"/>
    </xf>
    <xf borderId="18" fillId="29" fontId="2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horizontal="center" shrinkToFit="0" vertical="center" wrapText="1"/>
    </xf>
    <xf borderId="18" fillId="17" fontId="7" numFmtId="0" xfId="0" applyAlignment="1" applyBorder="1" applyFont="1">
      <alignment horizontal="center" shrinkToFit="0" vertical="center" wrapText="1"/>
    </xf>
    <xf borderId="9" fillId="19" fontId="1" numFmtId="0" xfId="0" applyAlignment="1" applyBorder="1" applyFont="1">
      <alignment horizontal="center" shrinkToFit="0" vertical="center" wrapText="1"/>
    </xf>
    <xf borderId="13" fillId="26" fontId="2" numFmtId="0" xfId="0" applyAlignment="1" applyBorder="1" applyFont="1">
      <alignment vertical="center"/>
    </xf>
    <xf borderId="9" fillId="30" fontId="1" numFmtId="0" xfId="0" applyAlignment="1" applyBorder="1" applyFont="1">
      <alignment horizontal="center" readingOrder="0" vertical="center"/>
    </xf>
    <xf borderId="13" fillId="30" fontId="1" numFmtId="0" xfId="0" applyAlignment="1" applyBorder="1" applyFont="1">
      <alignment horizontal="center" readingOrder="0" shrinkToFit="0" vertical="center" wrapText="1"/>
    </xf>
    <xf borderId="13" fillId="7" fontId="6" numFmtId="0" xfId="0" applyAlignment="1" applyBorder="1" applyFont="1">
      <alignment horizontal="center" shrinkToFit="0" vertical="center" wrapText="1"/>
    </xf>
    <xf borderId="9" fillId="27" fontId="1" numFmtId="0" xfId="0" applyAlignment="1" applyBorder="1" applyFont="1">
      <alignment horizontal="center" readingOrder="0" vertical="center"/>
    </xf>
    <xf borderId="13" fillId="7" fontId="1" numFmtId="0" xfId="0" applyAlignment="1" applyBorder="1" applyFont="1">
      <alignment horizontal="center" shrinkToFit="0" vertical="center" wrapText="1"/>
    </xf>
    <xf borderId="9" fillId="3" fontId="14" numFmtId="0" xfId="0" applyAlignment="1" applyBorder="1" applyFont="1">
      <alignment horizontal="center" readingOrder="0" shrinkToFit="0" vertical="center" wrapText="1"/>
    </xf>
    <xf borderId="7" fillId="8" fontId="1" numFmtId="0" xfId="0" applyAlignment="1" applyBorder="1" applyFont="1">
      <alignment vertical="center"/>
    </xf>
    <xf borderId="7" fillId="8" fontId="6" numFmtId="0" xfId="0" applyAlignment="1" applyBorder="1" applyFont="1">
      <alignment vertical="center"/>
    </xf>
    <xf borderId="13" fillId="8" fontId="6" numFmtId="0" xfId="0" applyAlignment="1" applyBorder="1" applyFont="1">
      <alignment vertical="center"/>
    </xf>
    <xf borderId="9" fillId="8" fontId="6" numFmtId="0" xfId="0" applyAlignment="1" applyBorder="1" applyFont="1">
      <alignment vertical="center"/>
    </xf>
    <xf borderId="0" fillId="16" fontId="2" numFmtId="0" xfId="0" applyAlignment="1" applyFont="1">
      <alignment horizontal="center" readingOrder="0" vertical="center"/>
    </xf>
    <xf borderId="0" fillId="16" fontId="1" numFmtId="0" xfId="0" applyAlignment="1" applyFont="1">
      <alignment horizontal="center" readingOrder="0" vertical="center"/>
    </xf>
    <xf borderId="18" fillId="16" fontId="1" numFmtId="0" xfId="0" applyAlignment="1" applyBorder="1" applyFont="1">
      <alignment horizontal="center" readingOrder="0" vertical="center"/>
    </xf>
    <xf borderId="0" fillId="15" fontId="2" numFmtId="0" xfId="0" applyAlignment="1" applyFont="1">
      <alignment horizontal="center" readingOrder="0" vertical="center"/>
    </xf>
    <xf borderId="0" fillId="15" fontId="1" numFmtId="0" xfId="0" applyAlignment="1" applyFont="1">
      <alignment horizontal="center" readingOrder="0" vertical="center"/>
    </xf>
    <xf borderId="18" fillId="15" fontId="1" numFmtId="0" xfId="0" applyAlignment="1" applyBorder="1" applyFont="1">
      <alignment horizontal="center" readingOrder="0" vertical="center"/>
    </xf>
    <xf borderId="13" fillId="15" fontId="2" numFmtId="0" xfId="0" applyAlignment="1" applyBorder="1" applyFont="1">
      <alignment horizontal="center" readingOrder="0" shrinkToFit="0" vertical="center" wrapText="1"/>
    </xf>
    <xf borderId="7" fillId="18" fontId="14" numFmtId="0" xfId="0" applyAlignment="1" applyBorder="1" applyFont="1">
      <alignment horizontal="center" readingOrder="0" shrinkToFit="0" vertical="center" wrapText="1"/>
    </xf>
    <xf borderId="13" fillId="18" fontId="6" numFmtId="0" xfId="0" applyAlignment="1" applyBorder="1" applyFont="1">
      <alignment horizontal="center" readingOrder="0" vertical="center"/>
    </xf>
    <xf borderId="9" fillId="18" fontId="6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horizontal="center" readingOrder="0" shrinkToFit="0" vertical="center" wrapText="1"/>
    </xf>
    <xf borderId="13" fillId="16" fontId="2" numFmtId="0" xfId="0" applyAlignment="1" applyBorder="1" applyFont="1">
      <alignment horizontal="center" readingOrder="0" vertical="center"/>
    </xf>
    <xf borderId="13" fillId="8" fontId="6" numFmtId="0" xfId="0" applyAlignment="1" applyBorder="1" applyFont="1">
      <alignment vertical="center"/>
    </xf>
    <xf borderId="9" fillId="16" fontId="1" numFmtId="0" xfId="0" applyAlignment="1" applyBorder="1" applyFont="1">
      <alignment horizontal="center" readingOrder="0" vertical="center"/>
    </xf>
    <xf borderId="15" fillId="16" fontId="2" numFmtId="0" xfId="0" applyAlignment="1" applyBorder="1" applyFont="1">
      <alignment horizontal="center" readingOrder="0" vertical="center"/>
    </xf>
    <xf borderId="17" fillId="16" fontId="1" numFmtId="0" xfId="0" applyAlignment="1" applyBorder="1" applyFont="1">
      <alignment horizontal="center" readingOrder="0" vertical="center"/>
    </xf>
    <xf borderId="15" fillId="15" fontId="2" numFmtId="0" xfId="0" applyAlignment="1" applyBorder="1" applyFont="1">
      <alignment horizontal="center" readingOrder="0" shrinkToFit="0" vertical="center" wrapText="1"/>
    </xf>
    <xf borderId="17" fillId="15" fontId="1" numFmtId="0" xfId="0" applyAlignment="1" applyBorder="1" applyFont="1">
      <alignment horizontal="center" readingOrder="0" vertical="center"/>
    </xf>
    <xf borderId="13" fillId="14" fontId="2" numFmtId="0" xfId="0" applyAlignment="1" applyBorder="1" applyFont="1">
      <alignment horizontal="center" shrinkToFit="0" vertical="bottom" wrapText="1"/>
    </xf>
    <xf borderId="13" fillId="14" fontId="14" numFmtId="0" xfId="0" applyAlignment="1" applyBorder="1" applyFont="1">
      <alignment horizontal="center" shrinkToFit="0" vertical="bottom" wrapText="1"/>
    </xf>
    <xf borderId="13" fillId="14" fontId="1" numFmtId="0" xfId="0" applyAlignment="1" applyBorder="1" applyFont="1">
      <alignment horizontal="center" readingOrder="0" shrinkToFit="0" vertical="center" wrapText="1"/>
    </xf>
    <xf borderId="13" fillId="14" fontId="6" numFmtId="0" xfId="0" applyAlignment="1" applyBorder="1" applyFont="1">
      <alignment horizontal="center" readingOrder="0" shrinkToFit="0" vertical="center" wrapText="1"/>
    </xf>
    <xf borderId="9" fillId="14" fontId="1" numFmtId="0" xfId="0" applyAlignment="1" applyBorder="1" applyFont="1">
      <alignment horizontal="center" readingOrder="0" vertical="bottom"/>
    </xf>
    <xf borderId="9" fillId="14" fontId="6" numFmtId="0" xfId="0" applyAlignment="1" applyBorder="1" applyFont="1">
      <alignment horizontal="center" readingOrder="0" vertical="bottom"/>
    </xf>
    <xf borderId="13" fillId="6" fontId="14" numFmtId="0" xfId="0" applyAlignment="1" applyBorder="1" applyFont="1">
      <alignment horizontal="center" readingOrder="0" shrinkToFit="0" vertical="center" wrapText="1"/>
    </xf>
    <xf borderId="13" fillId="6" fontId="6" numFmtId="0" xfId="0" applyAlignment="1" applyBorder="1" applyFont="1">
      <alignment horizontal="center" readingOrder="0" vertical="center"/>
    </xf>
    <xf borderId="9" fillId="6" fontId="6" numFmtId="0" xfId="0" applyAlignment="1" applyBorder="1" applyFont="1">
      <alignment horizontal="center" readingOrder="0" vertical="center"/>
    </xf>
    <xf borderId="0" fillId="28" fontId="2" numFmtId="0" xfId="0" applyAlignment="1" applyFont="1">
      <alignment horizontal="center" readingOrder="0" vertical="center"/>
    </xf>
    <xf borderId="1" fillId="0" fontId="14" numFmtId="0" xfId="0" applyAlignment="1" applyBorder="1" applyFont="1">
      <alignment horizontal="center" readingOrder="0" vertical="center"/>
    </xf>
    <xf borderId="0" fillId="28" fontId="1" numFmtId="0" xfId="0" applyAlignment="1" applyFont="1">
      <alignment horizontal="center" readingOrder="0" shrinkToFit="0" vertical="center" wrapText="1"/>
    </xf>
    <xf borderId="12" fillId="0" fontId="6" numFmtId="0" xfId="0" applyAlignment="1" applyBorder="1" applyFont="1">
      <alignment horizontal="center" readingOrder="0" vertical="center"/>
    </xf>
    <xf borderId="18" fillId="28" fontId="1" numFmtId="0" xfId="0" applyAlignment="1" applyBorder="1" applyFont="1">
      <alignment horizontal="center" readingOrder="0" vertical="center"/>
    </xf>
    <xf borderId="14" fillId="0" fontId="6" numFmtId="0" xfId="0" applyAlignment="1" applyBorder="1" applyFont="1">
      <alignment horizontal="center" readingOrder="0" vertical="center"/>
    </xf>
    <xf borderId="13" fillId="27" fontId="14" numFmtId="0" xfId="0" applyAlignment="1" applyBorder="1" applyFont="1">
      <alignment horizontal="center" readingOrder="0" vertical="center"/>
    </xf>
    <xf borderId="13" fillId="27" fontId="6" numFmtId="0" xfId="0" applyAlignment="1" applyBorder="1" applyFont="1">
      <alignment horizontal="center" readingOrder="0" vertical="center"/>
    </xf>
    <xf borderId="9" fillId="27" fontId="6" numFmtId="0" xfId="0" applyAlignment="1" applyBorder="1" applyFont="1">
      <alignment horizontal="center" readingOrder="0" vertical="center"/>
    </xf>
    <xf borderId="0" fillId="20" fontId="2" numFmtId="0" xfId="0" applyAlignment="1" applyFont="1">
      <alignment horizontal="center" readingOrder="0"/>
    </xf>
    <xf borderId="0" fillId="20" fontId="1" numFmtId="0" xfId="0" applyAlignment="1" applyFont="1">
      <alignment horizontal="center" readingOrder="0"/>
    </xf>
    <xf borderId="18" fillId="20" fontId="1" numFmtId="0" xfId="0" applyAlignment="1" applyBorder="1" applyFont="1">
      <alignment horizontal="center" readingOrder="0"/>
    </xf>
    <xf borderId="1" fillId="20" fontId="2" numFmtId="0" xfId="0" applyAlignment="1" applyBorder="1" applyFont="1">
      <alignment horizontal="center" readingOrder="0" shrinkToFit="0" vertical="center" wrapText="1"/>
    </xf>
    <xf borderId="13" fillId="8" fontId="1" numFmtId="0" xfId="0" applyAlignment="1" applyBorder="1" applyFont="1">
      <alignment horizontal="center" vertical="center"/>
    </xf>
    <xf borderId="15" fillId="20" fontId="2" numFmtId="0" xfId="0" applyAlignment="1" applyBorder="1" applyFont="1">
      <alignment horizontal="center" readingOrder="0" shrinkToFit="0" vertical="center" wrapText="1"/>
    </xf>
    <xf borderId="12" fillId="20" fontId="1" numFmtId="0" xfId="0" applyAlignment="1" applyBorder="1" applyFont="1">
      <alignment horizontal="center" readingOrder="0" vertical="center"/>
    </xf>
    <xf borderId="13" fillId="8" fontId="1" numFmtId="0" xfId="0" applyAlignment="1" applyBorder="1" applyFont="1">
      <alignment horizontal="center" vertical="center"/>
    </xf>
    <xf borderId="0" fillId="20" fontId="1" numFmtId="0" xfId="0" applyAlignment="1" applyFont="1">
      <alignment horizontal="center" readingOrder="0" vertical="center"/>
    </xf>
    <xf borderId="14" fillId="20" fontId="1" numFmtId="0" xfId="0" applyAlignment="1" applyBorder="1" applyFont="1">
      <alignment horizontal="center" readingOrder="0" vertical="center"/>
    </xf>
    <xf borderId="9" fillId="8" fontId="1" numFmtId="0" xfId="0" applyAlignment="1" applyBorder="1" applyFont="1">
      <alignment horizontal="center" vertical="center"/>
    </xf>
    <xf borderId="18" fillId="20" fontId="1" numFmtId="0" xfId="0" applyAlignment="1" applyBorder="1" applyFont="1">
      <alignment horizontal="center" readingOrder="0" vertical="center"/>
    </xf>
    <xf borderId="13" fillId="8" fontId="6" numFmtId="0" xfId="0" applyAlignment="1" applyBorder="1" applyFont="1">
      <alignment horizontal="center" vertical="center"/>
    </xf>
    <xf borderId="13" fillId="8" fontId="6" numFmtId="0" xfId="0" applyAlignment="1" applyBorder="1" applyFont="1">
      <alignment horizontal="center" vertical="center"/>
    </xf>
    <xf borderId="9" fillId="8" fontId="6" numFmtId="0" xfId="0" applyAlignment="1" applyBorder="1" applyFont="1">
      <alignment horizontal="center" vertical="center"/>
    </xf>
    <xf borderId="0" fillId="28" fontId="6" numFmtId="0" xfId="0" applyAlignment="1" applyFont="1">
      <alignment horizontal="center" readingOrder="0" vertical="center"/>
    </xf>
    <xf borderId="13" fillId="0" fontId="6" numFmtId="0" xfId="0" applyAlignment="1" applyBorder="1" applyFont="1">
      <alignment vertical="center"/>
    </xf>
    <xf borderId="9" fillId="0" fontId="6" numFmtId="0" xfId="0" applyAlignment="1" applyBorder="1" applyFont="1">
      <alignment vertical="center"/>
    </xf>
    <xf borderId="0" fillId="25" fontId="2" numFmtId="0" xfId="0" applyAlignment="1" applyFont="1">
      <alignment horizontal="center" readingOrder="0" vertical="center"/>
    </xf>
    <xf borderId="0" fillId="25" fontId="6" numFmtId="0" xfId="0" applyAlignment="1" applyFont="1">
      <alignment horizontal="center" readingOrder="0" vertical="center"/>
    </xf>
    <xf borderId="18" fillId="25" fontId="1" numFmtId="0" xfId="0" applyAlignment="1" applyBorder="1" applyFont="1">
      <alignment horizontal="center" readingOrder="0" vertical="center"/>
    </xf>
    <xf borderId="0" fillId="25" fontId="1" numFmtId="0" xfId="0" applyAlignment="1" applyFont="1">
      <alignment horizontal="center" readingOrder="0" vertical="center"/>
    </xf>
    <xf borderId="0" fillId="25" fontId="2" numFmtId="0" xfId="0" applyAlignment="1" applyFont="1">
      <alignment horizontal="center" readingOrder="0" shrinkToFit="0" vertical="center" wrapText="1"/>
    </xf>
    <xf borderId="13" fillId="25" fontId="2" numFmtId="0" xfId="0" applyAlignment="1" applyBorder="1" applyFont="1">
      <alignment horizontal="center" readingOrder="0" shrinkToFit="0" vertical="center" wrapText="1"/>
    </xf>
    <xf borderId="13" fillId="25" fontId="1" numFmtId="0" xfId="0" applyAlignment="1" applyBorder="1" applyFont="1">
      <alignment horizontal="center" readingOrder="0" vertical="center"/>
    </xf>
    <xf borderId="9" fillId="25" fontId="1" numFmtId="0" xfId="0" applyAlignment="1" applyBorder="1" applyFont="1">
      <alignment horizontal="center" readingOrder="0" vertical="center"/>
    </xf>
    <xf borderId="13" fillId="9" fontId="14" numFmtId="0" xfId="0" applyAlignment="1" applyBorder="1" applyFont="1">
      <alignment horizontal="center" readingOrder="0" shrinkToFit="0" vertical="center" wrapText="1"/>
    </xf>
    <xf borderId="13" fillId="9" fontId="6" numFmtId="0" xfId="0" applyAlignment="1" applyBorder="1" applyFont="1">
      <alignment horizontal="center" readingOrder="0" vertical="center"/>
    </xf>
    <xf borderId="9" fillId="9" fontId="6" numFmtId="0" xfId="0" applyAlignment="1" applyBorder="1" applyFont="1">
      <alignment horizontal="center" readingOrder="0" shrinkToFit="0" vertical="center" wrapText="1"/>
    </xf>
    <xf borderId="0" fillId="0" fontId="4" numFmtId="0" xfId="0" applyFont="1"/>
    <xf borderId="14" fillId="10" fontId="1" numFmtId="0" xfId="0" applyAlignment="1" applyBorder="1" applyFont="1">
      <alignment vertical="center"/>
    </xf>
    <xf borderId="9" fillId="21" fontId="1" numFmtId="0" xfId="0" applyAlignment="1" applyBorder="1" applyFont="1">
      <alignment vertical="center"/>
    </xf>
    <xf borderId="15" fillId="10" fontId="2" numFmtId="0" xfId="0" applyAlignment="1" applyBorder="1" applyFont="1">
      <alignment horizontal="center" shrinkToFit="0" vertical="center" wrapText="1"/>
    </xf>
    <xf borderId="16" fillId="10" fontId="2" numFmtId="0" xfId="0" applyAlignment="1" applyBorder="1" applyFont="1">
      <alignment horizontal="center" shrinkToFit="0" vertical="center" wrapText="1"/>
    </xf>
    <xf borderId="16" fillId="10" fontId="1" numFmtId="0" xfId="0" applyAlignment="1" applyBorder="1" applyFont="1">
      <alignment horizontal="center" vertical="center"/>
    </xf>
    <xf borderId="9" fillId="21" fontId="1" numFmtId="0" xfId="0" applyAlignment="1" applyBorder="1" applyFont="1">
      <alignment vertical="center"/>
    </xf>
    <xf borderId="14" fillId="21" fontId="1" numFmtId="0" xfId="0" applyAlignment="1" applyBorder="1" applyFont="1">
      <alignment vertical="center"/>
    </xf>
    <xf borderId="18" fillId="27" fontId="1" numFmtId="0" xfId="0" applyAlignment="1" applyBorder="1" applyFont="1">
      <alignment horizontal="center" shrinkToFit="0" vertical="center" wrapText="1"/>
    </xf>
    <xf borderId="18" fillId="27" fontId="1" numFmtId="0" xfId="0" applyAlignment="1" applyBorder="1" applyFont="1">
      <alignment horizontal="center" shrinkToFit="0" vertical="center" wrapText="1"/>
    </xf>
    <xf borderId="13" fillId="21" fontId="1" numFmtId="0" xfId="0" applyAlignment="1" applyBorder="1" applyFont="1">
      <alignment vertical="center"/>
    </xf>
    <xf borderId="14" fillId="21" fontId="4" numFmtId="0" xfId="0" applyAlignment="1" applyBorder="1" applyFont="1">
      <alignment vertical="center"/>
    </xf>
    <xf borderId="13" fillId="7" fontId="6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3" fontId="14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3" fontId="14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11" fillId="3" fontId="14" numFmtId="0" xfId="0" applyAlignment="1" applyBorder="1" applyFont="1">
      <alignment horizontal="center" readingOrder="0" shrinkToFit="0" vertical="center" wrapText="1"/>
    </xf>
    <xf borderId="11" fillId="3" fontId="15" numFmtId="0" xfId="0" applyAlignment="1" applyBorder="1" applyFont="1">
      <alignment horizontal="center" readingOrder="0" shrinkToFit="0" vertical="center" wrapText="1"/>
    </xf>
    <xf borderId="11" fillId="3" fontId="2" numFmtId="0" xfId="0" applyAlignment="1" applyBorder="1" applyFont="1">
      <alignment horizontal="center" readingOrder="0" shrinkToFit="0" vertical="center" wrapText="1"/>
    </xf>
    <xf borderId="11" fillId="3" fontId="2" numFmtId="0" xfId="0" applyAlignment="1" applyBorder="1" applyFont="1">
      <alignment horizontal="center" shrinkToFit="0" vertical="center" wrapText="1"/>
    </xf>
    <xf borderId="11" fillId="4" fontId="2" numFmtId="0" xfId="0" applyAlignment="1" applyBorder="1" applyFont="1">
      <alignment horizontal="center" shrinkToFit="0" vertical="center" wrapText="1"/>
    </xf>
    <xf borderId="0" fillId="4" fontId="4" numFmtId="0" xfId="0" applyAlignment="1" applyFont="1">
      <alignment horizontal="center" shrinkToFit="0" vertical="center" wrapText="1"/>
    </xf>
    <xf borderId="18" fillId="4" fontId="4" numFmtId="0" xfId="0" applyAlignment="1" applyBorder="1" applyFont="1">
      <alignment horizontal="center"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6" fillId="16" fontId="2" numFmtId="0" xfId="0" applyAlignment="1" applyBorder="1" applyFont="1">
      <alignment horizontal="center" readingOrder="0" shrinkToFit="0" vertical="center" wrapText="1"/>
    </xf>
    <xf borderId="15" fillId="6" fontId="14" numFmtId="0" xfId="0" applyAlignment="1" applyBorder="1" applyFont="1">
      <alignment horizontal="center" readingOrder="0" shrinkToFit="0" vertical="center" wrapText="1"/>
    </xf>
    <xf borderId="15" fillId="18" fontId="14" numFmtId="0" xfId="0" applyAlignment="1" applyBorder="1" applyFont="1">
      <alignment horizontal="center" readingOrder="0" shrinkToFit="0" vertical="center" wrapText="1"/>
    </xf>
    <xf borderId="1" fillId="8" fontId="2" numFmtId="0" xfId="0" applyAlignment="1" applyBorder="1" applyFont="1">
      <alignment horizontal="center" readingOrder="0" shrinkToFit="0" vertical="center" wrapText="1"/>
    </xf>
    <xf borderId="7" fillId="8" fontId="2" numFmtId="0" xfId="0" applyAlignment="1" applyBorder="1" applyFont="1">
      <alignment horizontal="center" readingOrder="0" shrinkToFit="0" vertical="center" wrapText="1"/>
    </xf>
    <xf borderId="1" fillId="8" fontId="14" numFmtId="0" xfId="0" applyAlignment="1" applyBorder="1" applyFont="1">
      <alignment horizontal="center" readingOrder="0" shrinkToFit="0" vertical="center" wrapText="1"/>
    </xf>
    <xf borderId="6" fillId="13" fontId="2" numFmtId="0" xfId="0" applyAlignment="1" applyBorder="1" applyFont="1">
      <alignment horizontal="center" readingOrder="0" shrinkToFit="0" vertical="center" wrapText="1"/>
    </xf>
    <xf borderId="7" fillId="8" fontId="14" numFmtId="0" xfId="0" applyAlignment="1" applyBorder="1" applyFont="1">
      <alignment horizontal="center" shrinkToFit="0" vertical="center" wrapText="1"/>
    </xf>
    <xf borderId="1" fillId="8" fontId="1" numFmtId="0" xfId="0" applyAlignment="1" applyBorder="1" applyFont="1">
      <alignment horizontal="center" vertical="center"/>
    </xf>
    <xf borderId="1" fillId="8" fontId="14" numFmtId="0" xfId="0" applyAlignment="1" applyBorder="1" applyFont="1">
      <alignment horizontal="center" shrinkToFit="0" vertical="center" wrapText="1"/>
    </xf>
    <xf borderId="1" fillId="18" fontId="14" numFmtId="0" xfId="0" applyAlignment="1" applyBorder="1" applyFont="1">
      <alignment horizontal="center" readingOrder="0" vertical="center"/>
    </xf>
    <xf borderId="15" fillId="10" fontId="14" numFmtId="0" xfId="0" applyAlignment="1" applyBorder="1" applyFont="1">
      <alignment horizontal="center" readingOrder="0" vertical="center"/>
    </xf>
    <xf borderId="15" fillId="8" fontId="14" numFmtId="0" xfId="0" applyAlignment="1" applyBorder="1" applyFont="1">
      <alignment horizontal="center" readingOrder="0" shrinkToFit="0" vertical="center" wrapText="1"/>
    </xf>
    <xf borderId="15" fillId="8" fontId="6" numFmtId="0" xfId="0" applyAlignment="1" applyBorder="1" applyFont="1">
      <alignment horizontal="center" readingOrder="0" shrinkToFit="0" vertical="center" wrapText="1"/>
    </xf>
    <xf borderId="1" fillId="8" fontId="6" numFmtId="0" xfId="0" applyAlignment="1" applyBorder="1" applyFont="1">
      <alignment horizontal="center" readingOrder="0" shrinkToFit="0" vertical="center" wrapText="1"/>
    </xf>
    <xf borderId="0" fillId="16" fontId="16" numFmtId="0" xfId="0" applyAlignment="1" applyFont="1">
      <alignment horizontal="center" readingOrder="0" shrinkToFit="0" vertical="center" wrapText="1"/>
    </xf>
    <xf borderId="16" fillId="6" fontId="6" numFmtId="0" xfId="0" applyAlignment="1" applyBorder="1" applyFont="1">
      <alignment horizontal="center" readingOrder="0" shrinkToFit="0" vertical="center" wrapText="1"/>
    </xf>
    <xf borderId="16" fillId="18" fontId="1" numFmtId="0" xfId="0" applyAlignment="1" applyBorder="1" applyFont="1">
      <alignment horizontal="center" readingOrder="0" shrinkToFit="0" vertical="center" wrapText="1"/>
    </xf>
    <xf borderId="12" fillId="8" fontId="1" numFmtId="0" xfId="0" applyAlignment="1" applyBorder="1" applyFont="1">
      <alignment horizontal="center" readingOrder="0" shrinkToFit="0" vertical="center" wrapText="1"/>
    </xf>
    <xf borderId="12" fillId="8" fontId="6" numFmtId="0" xfId="0" applyAlignment="1" applyBorder="1" applyFont="1">
      <alignment horizontal="center" readingOrder="0" shrinkToFit="0" vertical="center" wrapText="1"/>
    </xf>
    <xf borderId="12" fillId="8" fontId="6" numFmtId="0" xfId="0" applyAlignment="1" applyBorder="1" applyFont="1">
      <alignment horizontal="center" readingOrder="0" shrinkToFit="0" vertical="center" wrapText="1"/>
    </xf>
    <xf borderId="12" fillId="8" fontId="6" numFmtId="0" xfId="0" applyAlignment="1" applyBorder="1" applyFont="1">
      <alignment horizontal="center" readingOrder="0" vertical="center"/>
    </xf>
    <xf borderId="16" fillId="13" fontId="6" numFmtId="0" xfId="0" applyAlignment="1" applyBorder="1" applyFont="1">
      <alignment horizontal="center" readingOrder="0" vertical="center"/>
    </xf>
    <xf borderId="12" fillId="8" fontId="1" numFmtId="0" xfId="0" applyAlignment="1" applyBorder="1" applyFont="1">
      <alignment horizontal="center" vertical="center"/>
    </xf>
    <xf borderId="12" fillId="18" fontId="6" numFmtId="0" xfId="0" applyAlignment="1" applyBorder="1" applyFont="1">
      <alignment horizontal="center" readingOrder="0" vertical="center"/>
    </xf>
    <xf borderId="16" fillId="10" fontId="6" numFmtId="0" xfId="0" applyAlignment="1" applyBorder="1" applyFont="1">
      <alignment horizontal="center" readingOrder="0" vertical="center"/>
    </xf>
    <xf borderId="16" fillId="8" fontId="1" numFmtId="0" xfId="0" applyAlignment="1" applyBorder="1" applyFont="1">
      <alignment horizontal="center" readingOrder="0" shrinkToFit="0" vertical="center" wrapText="1"/>
    </xf>
    <xf borderId="0" fillId="16" fontId="7" numFmtId="0" xfId="0" applyAlignment="1" applyFont="1">
      <alignment horizontal="center" readingOrder="0" shrinkToFit="0" vertical="center" wrapText="1"/>
    </xf>
    <xf borderId="17" fillId="6" fontId="6" numFmtId="0" xfId="0" applyAlignment="1" applyBorder="1" applyFont="1">
      <alignment horizontal="center" readingOrder="0" shrinkToFit="0" vertical="center" wrapText="1"/>
    </xf>
    <xf borderId="17" fillId="18" fontId="6" numFmtId="0" xfId="0" applyAlignment="1" applyBorder="1" applyFont="1">
      <alignment horizontal="center" readingOrder="0" shrinkToFit="0" vertical="center" wrapText="1"/>
    </xf>
    <xf borderId="14" fillId="8" fontId="2" numFmtId="0" xfId="0" applyAlignment="1" applyBorder="1" applyFont="1">
      <alignment horizontal="center" shrinkToFit="0" vertical="center" wrapText="1"/>
    </xf>
    <xf borderId="14" fillId="8" fontId="6" numFmtId="0" xfId="0" applyAlignment="1" applyBorder="1" applyFont="1">
      <alignment horizontal="center" readingOrder="0" shrinkToFit="0" vertical="center" wrapText="1"/>
    </xf>
    <xf borderId="14" fillId="8" fontId="2" numFmtId="0" xfId="0" applyAlignment="1" applyBorder="1" applyFont="1">
      <alignment horizontal="center" readingOrder="0" shrinkToFit="0" vertical="center" wrapText="1"/>
    </xf>
    <xf borderId="17" fillId="13" fontId="1" numFmtId="0" xfId="0" applyAlignment="1" applyBorder="1" applyFont="1">
      <alignment horizontal="center" readingOrder="0" shrinkToFit="0" vertical="center" wrapText="1"/>
    </xf>
    <xf borderId="9" fillId="8" fontId="6" numFmtId="0" xfId="0" applyAlignment="1" applyBorder="1" applyFont="1">
      <alignment horizontal="center" readingOrder="0" shrinkToFit="0" vertical="center" wrapText="1"/>
    </xf>
    <xf borderId="14" fillId="18" fontId="1" numFmtId="0" xfId="0" applyAlignment="1" applyBorder="1" applyFont="1">
      <alignment horizontal="center" readingOrder="0" shrinkToFit="0" vertical="center" wrapText="1"/>
    </xf>
    <xf borderId="17" fillId="10" fontId="1" numFmtId="0" xfId="0" applyAlignment="1" applyBorder="1" applyFont="1">
      <alignment horizontal="center" readingOrder="0" shrinkToFit="0" vertical="center" wrapText="1"/>
    </xf>
    <xf borderId="17" fillId="8" fontId="1" numFmtId="0" xfId="0" applyAlignment="1" applyBorder="1" applyFont="1">
      <alignment horizontal="center" readingOrder="0" shrinkToFit="0" vertical="center" wrapText="1"/>
    </xf>
    <xf borderId="14" fillId="8" fontId="1" numFmtId="0" xfId="0" applyAlignment="1" applyBorder="1" applyFont="1">
      <alignment horizontal="center" readingOrder="0" shrinkToFit="0" vertical="center" wrapText="1"/>
    </xf>
    <xf borderId="7" fillId="6" fontId="2" numFmtId="0" xfId="0" applyAlignment="1" applyBorder="1" applyFont="1">
      <alignment horizontal="center" readingOrder="0" shrinkToFit="0" vertical="center" wrapText="1"/>
    </xf>
    <xf borderId="1" fillId="19" fontId="14" numFmtId="0" xfId="0" applyAlignment="1" applyBorder="1" applyFont="1">
      <alignment horizontal="center" readingOrder="0" shrinkToFit="0" vertical="center" wrapText="1"/>
    </xf>
    <xf borderId="13" fillId="8" fontId="2" numFmtId="0" xfId="0" applyAlignment="1" applyBorder="1" applyFont="1">
      <alignment horizontal="center" readingOrder="0" shrinkToFit="0" vertical="center" wrapText="1"/>
    </xf>
    <xf borderId="7" fillId="13" fontId="2" numFmtId="0" xfId="0" applyAlignment="1" applyBorder="1" applyFont="1">
      <alignment horizontal="center" readingOrder="0" shrinkToFit="0" vertical="center" wrapText="1"/>
    </xf>
    <xf borderId="1" fillId="8" fontId="14" numFmtId="0" xfId="0" applyAlignment="1" applyBorder="1" applyFont="1">
      <alignment horizontal="center" shrinkToFit="0" vertical="center" wrapText="1"/>
    </xf>
    <xf borderId="1" fillId="18" fontId="2" numFmtId="0" xfId="0" applyAlignment="1" applyBorder="1" applyFont="1">
      <alignment horizontal="center" vertical="center"/>
    </xf>
    <xf borderId="1" fillId="19" fontId="14" numFmtId="0" xfId="0" applyAlignment="1" applyBorder="1" applyFont="1">
      <alignment horizontal="center" readingOrder="0" vertical="center"/>
    </xf>
    <xf borderId="12" fillId="19" fontId="6" numFmtId="0" xfId="0" applyAlignment="1" applyBorder="1" applyFont="1">
      <alignment horizontal="center" readingOrder="0" shrinkToFit="0" vertical="center" wrapText="1"/>
    </xf>
    <xf borderId="12" fillId="13" fontId="6" numFmtId="0" xfId="0" applyAlignment="1" applyBorder="1" applyFont="1">
      <alignment horizontal="center" readingOrder="0" vertical="center"/>
    </xf>
    <xf borderId="13" fillId="8" fontId="17" numFmtId="0" xfId="0" applyAlignment="1" applyBorder="1" applyFont="1">
      <alignment horizontal="center" vertical="center"/>
    </xf>
    <xf borderId="12" fillId="18" fontId="1" numFmtId="0" xfId="0" applyAlignment="1" applyBorder="1" applyFont="1">
      <alignment horizontal="center" readingOrder="0" vertical="center"/>
    </xf>
    <xf borderId="12" fillId="19" fontId="6" numFmtId="0" xfId="0" applyAlignment="1" applyBorder="1" applyFont="1">
      <alignment horizontal="center" readingOrder="0" vertical="center"/>
    </xf>
    <xf borderId="14" fillId="8" fontId="1" numFmtId="0" xfId="0" applyAlignment="1" applyBorder="1" applyFont="1">
      <alignment horizontal="center" readingOrder="0" vertical="center"/>
    </xf>
    <xf borderId="14" fillId="8" fontId="14" numFmtId="0" xfId="0" applyAlignment="1" applyBorder="1" applyFont="1">
      <alignment horizontal="center" readingOrder="0" shrinkToFit="0" vertical="center" wrapText="1"/>
    </xf>
    <xf borderId="14" fillId="19" fontId="6" numFmtId="0" xfId="0" applyAlignment="1" applyBorder="1" applyFont="1">
      <alignment horizontal="center" readingOrder="0" shrinkToFit="0" vertical="center" wrapText="1"/>
    </xf>
    <xf borderId="9" fillId="8" fontId="1" numFmtId="0" xfId="0" applyAlignment="1" applyBorder="1" applyFont="1">
      <alignment horizontal="center" readingOrder="0" shrinkToFit="0" vertical="center" wrapText="1"/>
    </xf>
    <xf borderId="14" fillId="13" fontId="1" numFmtId="0" xfId="0" applyAlignment="1" applyBorder="1" applyFont="1">
      <alignment horizontal="center" readingOrder="0" shrinkToFit="0" vertical="center" wrapText="1"/>
    </xf>
    <xf borderId="14" fillId="8" fontId="2" numFmtId="0" xfId="0" applyAlignment="1" applyBorder="1" applyFont="1">
      <alignment horizontal="center" shrinkToFit="0" vertical="center" wrapText="1"/>
    </xf>
    <xf borderId="1" fillId="16" fontId="2" numFmtId="0" xfId="0" applyAlignment="1" applyBorder="1" applyFont="1">
      <alignment horizontal="center" readingOrder="0" shrinkToFit="0" vertical="center" wrapText="1"/>
    </xf>
    <xf borderId="15" fillId="13" fontId="14" numFmtId="0" xfId="0" applyAlignment="1" applyBorder="1" applyFont="1">
      <alignment horizontal="center" readingOrder="0" shrinkToFit="0" vertical="center" wrapText="1"/>
    </xf>
    <xf borderId="15" fillId="6" fontId="2" numFmtId="0" xfId="0" applyAlignment="1" applyBorder="1" applyFont="1">
      <alignment horizontal="center" readingOrder="0" shrinkToFit="0" vertical="center" wrapText="1"/>
    </xf>
    <xf borderId="12" fillId="8" fontId="2" numFmtId="0" xfId="0" applyAlignment="1" applyBorder="1" applyFont="1">
      <alignment horizontal="center" readingOrder="0" shrinkToFit="0" vertical="center" wrapText="1"/>
    </xf>
    <xf borderId="1" fillId="8" fontId="14" numFmtId="0" xfId="0" applyAlignment="1" applyBorder="1" applyFont="1">
      <alignment horizontal="center" readingOrder="0" vertical="center"/>
    </xf>
    <xf borderId="1" fillId="13" fontId="2" numFmtId="0" xfId="0" applyAlignment="1" applyBorder="1" applyFont="1">
      <alignment horizontal="center" readingOrder="0" shrinkToFit="0" vertical="center" wrapText="1"/>
    </xf>
    <xf borderId="1" fillId="8" fontId="2" numFmtId="0" xfId="0" applyAlignment="1" applyBorder="1" applyFont="1">
      <alignment horizontal="center" shrinkToFit="0" vertical="center" wrapText="1"/>
    </xf>
    <xf borderId="12" fillId="8" fontId="1" numFmtId="0" xfId="0" applyAlignment="1" applyBorder="1" applyFont="1">
      <alignment horizontal="center" shrinkToFit="0" vertical="center" wrapText="1"/>
    </xf>
    <xf borderId="0" fillId="16" fontId="4" numFmtId="0" xfId="0" applyAlignment="1" applyFont="1">
      <alignment horizontal="center" vertical="center"/>
    </xf>
    <xf borderId="0" fillId="16" fontId="1" numFmtId="0" xfId="0" applyAlignment="1" applyFont="1">
      <alignment horizontal="center" shrinkToFit="0" vertical="center" wrapText="1"/>
    </xf>
    <xf borderId="12" fillId="16" fontId="1" numFmtId="0" xfId="0" applyAlignment="1" applyBorder="1" applyFont="1">
      <alignment horizontal="center" readingOrder="0" shrinkToFit="0" vertical="center" wrapText="1"/>
    </xf>
    <xf borderId="12" fillId="16" fontId="1" numFmtId="0" xfId="0" applyAlignment="1" applyBorder="1" applyFont="1">
      <alignment horizontal="center" readingOrder="0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2" fillId="18" fontId="1" numFmtId="0" xfId="0" applyAlignment="1" applyBorder="1" applyFont="1">
      <alignment horizontal="center" vertical="center"/>
    </xf>
    <xf borderId="16" fillId="13" fontId="1" numFmtId="0" xfId="0" applyAlignment="1" applyBorder="1" applyFont="1">
      <alignment horizontal="center" readingOrder="0" shrinkToFit="0" vertical="center" wrapText="1"/>
    </xf>
    <xf borderId="16" fillId="6" fontId="1" numFmtId="0" xfId="0" applyAlignment="1" applyBorder="1" applyFont="1">
      <alignment horizontal="center" vertical="center"/>
    </xf>
    <xf borderId="12" fillId="8" fontId="17" numFmtId="0" xfId="0" applyAlignment="1" applyBorder="1" applyFont="1">
      <alignment horizontal="center" vertical="center"/>
    </xf>
    <xf borderId="12" fillId="8" fontId="5" numFmtId="0" xfId="0" applyAlignment="1" applyBorder="1" applyFont="1">
      <alignment horizontal="center" readingOrder="0" shrinkToFit="0" vertical="center" wrapText="1"/>
    </xf>
    <xf borderId="12" fillId="8" fontId="1" numFmtId="0" xfId="0" applyAlignment="1" applyBorder="1" applyFont="1">
      <alignment horizontal="center" vertical="center"/>
    </xf>
    <xf borderId="14" fillId="8" fontId="18" numFmtId="0" xfId="0" applyAlignment="1" applyBorder="1" applyFont="1">
      <alignment horizontal="center" readingOrder="0" vertical="center"/>
    </xf>
    <xf borderId="14" fillId="16" fontId="1" numFmtId="0" xfId="0" applyAlignment="1" applyBorder="1" applyFont="1">
      <alignment horizontal="center" readingOrder="0" shrinkToFit="0" vertical="center" wrapText="1"/>
    </xf>
    <xf borderId="0" fillId="8" fontId="18" numFmtId="0" xfId="0" applyAlignment="1" applyFont="1">
      <alignment horizontal="center" readingOrder="0" vertical="center"/>
    </xf>
    <xf borderId="14" fillId="18" fontId="1" numFmtId="0" xfId="0" applyAlignment="1" applyBorder="1" applyFont="1">
      <alignment horizontal="center" shrinkToFit="0" vertical="center" wrapText="1"/>
    </xf>
    <xf borderId="17" fillId="6" fontId="1" numFmtId="0" xfId="0" applyAlignment="1" applyBorder="1" applyFont="1">
      <alignment horizontal="center" shrinkToFit="0" vertical="center" wrapText="1"/>
    </xf>
    <xf borderId="14" fillId="8" fontId="15" numFmtId="0" xfId="0" applyAlignment="1" applyBorder="1" applyFont="1">
      <alignment horizontal="center" readingOrder="0" shrinkToFit="0" vertical="center" wrapText="1"/>
    </xf>
    <xf borderId="14" fillId="13" fontId="2" numFmtId="0" xfId="0" applyAlignment="1" applyBorder="1" applyFont="1">
      <alignment horizontal="center" readingOrder="0" shrinkToFit="0" vertical="center" wrapText="1"/>
    </xf>
    <xf borderId="1" fillId="6" fontId="2" numFmtId="0" xfId="0" applyAlignment="1" applyBorder="1" applyFont="1">
      <alignment horizontal="center" readingOrder="0" shrinkToFit="0" vertical="center" wrapText="1"/>
    </xf>
    <xf borderId="1" fillId="8" fontId="2" numFmtId="0" xfId="0" applyAlignment="1" applyBorder="1" applyFont="1">
      <alignment horizontal="center" vertical="center"/>
    </xf>
    <xf borderId="7" fillId="8" fontId="14" numFmtId="0" xfId="0" applyAlignment="1" applyBorder="1" applyFont="1">
      <alignment horizontal="center" readingOrder="0" shrinkToFit="0" vertical="center" wrapText="1"/>
    </xf>
    <xf borderId="13" fillId="6" fontId="2" numFmtId="0" xfId="0" applyAlignment="1" applyBorder="1" applyFont="1">
      <alignment horizontal="center" readingOrder="0" shrinkToFit="0" vertical="center" wrapText="1"/>
    </xf>
    <xf borderId="7" fillId="20" fontId="2" numFmtId="0" xfId="0" applyAlignment="1" applyBorder="1" applyFont="1">
      <alignment horizontal="center" readingOrder="0" shrinkToFit="0" vertical="center" wrapText="1"/>
    </xf>
    <xf borderId="12" fillId="16" fontId="1" numFmtId="0" xfId="0" applyAlignment="1" applyBorder="1" applyFont="1">
      <alignment horizontal="center" shrinkToFit="0" vertical="center" wrapText="1"/>
    </xf>
    <xf borderId="0" fillId="8" fontId="1" numFmtId="0" xfId="0" applyAlignment="1" applyFont="1">
      <alignment horizontal="center" readingOrder="0" shrinkToFit="0" vertical="center" wrapText="1"/>
    </xf>
    <xf borderId="12" fillId="6" fontId="1" numFmtId="0" xfId="0" applyAlignment="1" applyBorder="1" applyFont="1">
      <alignment horizontal="center" vertical="center"/>
    </xf>
    <xf borderId="12" fillId="20" fontId="6" numFmtId="0" xfId="0" applyAlignment="1" applyBorder="1" applyFont="1">
      <alignment horizontal="center" readingOrder="0" vertical="center"/>
    </xf>
    <xf borderId="12" fillId="19" fontId="1" numFmtId="0" xfId="0" applyAlignment="1" applyBorder="1" applyFont="1">
      <alignment horizontal="center" readingOrder="0" shrinkToFit="0" vertical="center" wrapText="1"/>
    </xf>
    <xf borderId="14" fillId="8" fontId="1" numFmtId="0" xfId="0" applyAlignment="1" applyBorder="1" applyFont="1">
      <alignment horizontal="center" shrinkToFit="0" vertical="center" wrapText="1"/>
    </xf>
    <xf borderId="14" fillId="20" fontId="1" numFmtId="0" xfId="0" applyAlignment="1" applyBorder="1" applyFont="1">
      <alignment horizontal="center" readingOrder="0" shrinkToFit="0" vertical="center" wrapText="1"/>
    </xf>
    <xf borderId="7" fillId="8" fontId="2" numFmtId="0" xfId="0" applyAlignment="1" applyBorder="1" applyFont="1">
      <alignment horizontal="center" shrinkToFit="0" vertical="center" wrapText="1"/>
    </xf>
    <xf borderId="1" fillId="8" fontId="2" numFmtId="0" xfId="0" applyAlignment="1" applyBorder="1" applyFont="1">
      <alignment horizontal="center" shrinkToFit="0" vertical="center" wrapText="1"/>
    </xf>
    <xf borderId="1" fillId="8" fontId="1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vertical="center"/>
    </xf>
    <xf borderId="7" fillId="32" fontId="2" numFmtId="0" xfId="0" applyAlignment="1" applyBorder="1" applyFill="1" applyFont="1">
      <alignment horizontal="center" readingOrder="0" shrinkToFit="0" vertical="center" wrapText="1"/>
    </xf>
    <xf borderId="1" fillId="20" fontId="2" numFmtId="0" xfId="0" applyAlignment="1" applyBorder="1" applyFont="1">
      <alignment horizontal="center" shrinkToFit="0" vertical="center" wrapText="1"/>
    </xf>
    <xf borderId="12" fillId="8" fontId="1" numFmtId="0" xfId="0" applyAlignment="1" applyBorder="1" applyFont="1">
      <alignment horizontal="center" shrinkToFit="0" vertical="center" wrapText="1"/>
    </xf>
    <xf borderId="13" fillId="32" fontId="17" numFmtId="0" xfId="0" applyAlignment="1" applyBorder="1" applyFont="1">
      <alignment horizontal="center" vertical="center"/>
    </xf>
    <xf borderId="12" fillId="20" fontId="1" numFmtId="0" xfId="0" applyAlignment="1" applyBorder="1" applyFont="1">
      <alignment horizontal="center" vertical="center"/>
    </xf>
    <xf borderId="9" fillId="8" fontId="1" numFmtId="0" xfId="0" applyAlignment="1" applyBorder="1" applyFont="1">
      <alignment horizontal="center" shrinkToFit="0" vertical="center" wrapText="1"/>
    </xf>
    <xf borderId="14" fillId="8" fontId="1" numFmtId="0" xfId="0" applyAlignment="1" applyBorder="1" applyFont="1">
      <alignment horizontal="center" shrinkToFit="0" vertical="center" wrapText="1"/>
    </xf>
    <xf borderId="14" fillId="32" fontId="1" numFmtId="0" xfId="0" applyAlignment="1" applyBorder="1" applyFont="1">
      <alignment horizontal="center" readingOrder="0" shrinkToFit="0" vertical="center" wrapText="1"/>
    </xf>
    <xf borderId="12" fillId="20" fontId="2" numFmtId="0" xfId="0" applyAlignment="1" applyBorder="1" applyFont="1">
      <alignment horizontal="center" shrinkToFit="0" vertical="center" wrapText="1"/>
    </xf>
    <xf borderId="12" fillId="8" fontId="4" numFmtId="0" xfId="0" applyAlignment="1" applyBorder="1" applyFont="1">
      <alignment horizontal="center" readingOrder="0" shrinkToFit="0" vertical="center" wrapText="1"/>
    </xf>
    <xf borderId="13" fillId="8" fontId="1" numFmtId="0" xfId="0" applyAlignment="1" applyBorder="1" applyFont="1">
      <alignment horizontal="center" readingOrder="0" shrinkToFit="0" vertical="center" wrapText="1"/>
    </xf>
    <xf borderId="12" fillId="13" fontId="1" numFmtId="0" xfId="0" applyAlignment="1" applyBorder="1" applyFont="1">
      <alignment horizontal="center" readingOrder="0" shrinkToFit="0" vertical="center" wrapText="1"/>
    </xf>
    <xf borderId="6" fillId="4" fontId="1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16" fillId="4" fontId="6" numFmtId="0" xfId="0" applyAlignment="1" applyBorder="1" applyFont="1">
      <alignment horizontal="center" readingOrder="0" vertical="center"/>
    </xf>
    <xf borderId="6" fillId="27" fontId="14" numFmtId="0" xfId="0" applyAlignment="1" applyBorder="1" applyFont="1">
      <alignment horizontal="center" readingOrder="0" shrinkToFit="0" vertical="center" wrapText="1"/>
    </xf>
    <xf borderId="15" fillId="17" fontId="14" numFmtId="0" xfId="0" applyAlignment="1" applyBorder="1" applyFont="1">
      <alignment horizontal="center" readingOrder="0" shrinkToFit="0" vertical="center" wrapText="1"/>
    </xf>
    <xf borderId="6" fillId="3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6" fillId="26" fontId="2" numFmtId="0" xfId="0" applyAlignment="1" applyBorder="1" applyFont="1">
      <alignment horizontal="center" readingOrder="0" shrinkToFit="0" vertical="center" wrapText="1"/>
    </xf>
    <xf borderId="0" fillId="27" fontId="6" numFmtId="0" xfId="0" applyAlignment="1" applyFont="1">
      <alignment horizontal="center" readingOrder="0" shrinkToFit="0" vertical="center" wrapText="1"/>
    </xf>
    <xf borderId="16" fillId="17" fontId="6" numFmtId="0" xfId="0" applyAlignment="1" applyBorder="1" applyFont="1">
      <alignment horizontal="center" readingOrder="0" shrinkToFit="0" vertical="center" wrapText="1"/>
    </xf>
    <xf borderId="16" fillId="30" fontId="6" numFmtId="0" xfId="0" applyAlignment="1" applyBorder="1" applyFont="1">
      <alignment horizontal="center" readingOrder="0" vertical="center"/>
    </xf>
    <xf borderId="0" fillId="26" fontId="1" numFmtId="0" xfId="0" applyAlignment="1" applyFont="1">
      <alignment horizontal="center" readingOrder="0" shrinkToFit="0" vertical="center" wrapText="1"/>
    </xf>
    <xf borderId="13" fillId="8" fontId="6" numFmtId="0" xfId="0" applyAlignment="1" applyBorder="1" applyFont="1">
      <alignment horizontal="center" readingOrder="0" vertical="center"/>
    </xf>
    <xf borderId="18" fillId="27" fontId="6" numFmtId="0" xfId="0" applyAlignment="1" applyBorder="1" applyFont="1">
      <alignment horizontal="center" shrinkToFit="0" vertical="center" wrapText="1"/>
    </xf>
    <xf borderId="17" fillId="17" fontId="14" numFmtId="0" xfId="0" applyAlignment="1" applyBorder="1" applyFont="1">
      <alignment horizontal="center" readingOrder="0" shrinkToFit="0" vertical="center" wrapText="1"/>
    </xf>
    <xf borderId="17" fillId="30" fontId="1" numFmtId="0" xfId="0" applyAlignment="1" applyBorder="1" applyFont="1">
      <alignment horizontal="center" readingOrder="0" shrinkToFit="0" vertical="center" wrapText="1"/>
    </xf>
    <xf borderId="18" fillId="26" fontId="2" numFmtId="0" xfId="0" applyAlignment="1" applyBorder="1" applyFont="1">
      <alignment horizontal="center" readingOrder="0" shrinkToFit="0" vertical="center" wrapText="1"/>
    </xf>
    <xf borderId="0" fillId="27" fontId="14" numFmtId="0" xfId="0" applyAlignment="1" applyFont="1">
      <alignment horizontal="center" readingOrder="0" shrinkToFit="0" vertical="center" wrapText="1"/>
    </xf>
    <xf borderId="7" fillId="17" fontId="2" numFmtId="0" xfId="0" applyAlignment="1" applyBorder="1" applyFont="1">
      <alignment horizontal="center" readingOrder="0" shrinkToFit="0" vertical="center" wrapText="1"/>
    </xf>
    <xf borderId="1" fillId="17" fontId="2" numFmtId="0" xfId="0" applyAlignment="1" applyBorder="1" applyFont="1">
      <alignment horizontal="center" readingOrder="0" shrinkToFit="0" vertical="center" wrapText="1"/>
    </xf>
    <xf borderId="1" fillId="24" fontId="2" numFmtId="0" xfId="0" applyAlignment="1" applyBorder="1" applyFont="1">
      <alignment horizontal="center" shrinkToFit="0" vertical="center" wrapText="1"/>
    </xf>
    <xf borderId="1" fillId="17" fontId="2" numFmtId="0" xfId="0" applyAlignment="1" applyBorder="1" applyFont="1">
      <alignment horizontal="center" shrinkToFit="0" vertical="center" wrapText="1"/>
    </xf>
    <xf borderId="15" fillId="17" fontId="2" numFmtId="0" xfId="0" applyAlignment="1" applyBorder="1" applyFont="1">
      <alignment horizontal="center" shrinkToFit="0" vertical="center" wrapText="1"/>
    </xf>
    <xf borderId="7" fillId="30" fontId="2" numFmtId="0" xfId="0" applyAlignment="1" applyBorder="1" applyFont="1">
      <alignment horizontal="center" readingOrder="0" shrinkToFit="0" vertical="center" wrapText="1"/>
    </xf>
    <xf borderId="1" fillId="32" fontId="2" numFmtId="0" xfId="0" applyAlignment="1" applyBorder="1" applyFont="1">
      <alignment horizontal="center" shrinkToFit="0" wrapText="1"/>
    </xf>
    <xf borderId="15" fillId="10" fontId="2" numFmtId="0" xfId="0" applyAlignment="1" applyBorder="1" applyFont="1">
      <alignment horizontal="center" readingOrder="0" shrinkToFit="0" vertical="center" wrapText="1"/>
    </xf>
    <xf borderId="0" fillId="8" fontId="6" numFmtId="0" xfId="0" applyAlignment="1" applyFont="1">
      <alignment horizontal="center" readingOrder="0" vertical="center"/>
    </xf>
    <xf borderId="12" fillId="17" fontId="6" numFmtId="0" xfId="0" applyAlignment="1" applyBorder="1" applyFont="1">
      <alignment horizontal="center" readingOrder="0" vertical="center"/>
    </xf>
    <xf borderId="12" fillId="24" fontId="1" numFmtId="0" xfId="0" applyAlignment="1" applyBorder="1" applyFont="1">
      <alignment horizontal="center" shrinkToFit="0" vertical="center" wrapText="1"/>
    </xf>
    <xf borderId="12" fillId="17" fontId="1" numFmtId="0" xfId="0" applyAlignment="1" applyBorder="1" applyFont="1">
      <alignment horizontal="center" readingOrder="0" vertical="center"/>
    </xf>
    <xf borderId="16" fillId="17" fontId="1" numFmtId="0" xfId="0" applyAlignment="1" applyBorder="1" applyFont="1">
      <alignment horizontal="center" readingOrder="0" vertical="center"/>
    </xf>
    <xf borderId="0" fillId="30" fontId="1" numFmtId="0" xfId="0" applyAlignment="1" applyFont="1">
      <alignment horizontal="center" readingOrder="0" vertical="center"/>
    </xf>
    <xf borderId="12" fillId="32" fontId="17" numFmtId="0" xfId="0" applyAlignment="1" applyBorder="1" applyFont="1">
      <alignment horizontal="center"/>
    </xf>
    <xf borderId="18" fillId="27" fontId="6" numFmtId="0" xfId="0" applyAlignment="1" applyBorder="1" applyFont="1">
      <alignment horizontal="center" readingOrder="0" shrinkToFit="0" vertical="center" wrapText="1"/>
    </xf>
    <xf borderId="14" fillId="17" fontId="1" numFmtId="0" xfId="0" applyAlignment="1" applyBorder="1" applyFont="1">
      <alignment horizontal="center" readingOrder="0" shrinkToFit="0" vertical="center" wrapText="1"/>
    </xf>
    <xf borderId="14" fillId="24" fontId="2" numFmtId="0" xfId="0" applyAlignment="1" applyBorder="1" applyFont="1">
      <alignment horizontal="center" readingOrder="0" shrinkToFit="0" vertical="center" wrapText="1"/>
    </xf>
    <xf borderId="14" fillId="17" fontId="1" numFmtId="0" xfId="0" applyAlignment="1" applyBorder="1" applyFont="1">
      <alignment horizontal="center" readingOrder="0" vertical="center"/>
    </xf>
    <xf borderId="14" fillId="13" fontId="1" numFmtId="0" xfId="0" applyAlignment="1" applyBorder="1" applyFont="1">
      <alignment horizontal="center" readingOrder="0" vertical="center"/>
    </xf>
    <xf borderId="17" fillId="17" fontId="1" numFmtId="0" xfId="0" applyAlignment="1" applyBorder="1" applyFont="1">
      <alignment horizontal="center" readingOrder="0" vertical="center"/>
    </xf>
    <xf borderId="14" fillId="30" fontId="1" numFmtId="0" xfId="0" applyAlignment="1" applyBorder="1" applyFont="1">
      <alignment horizontal="center" readingOrder="0" shrinkToFit="0" vertical="center" wrapText="1"/>
    </xf>
    <xf borderId="14" fillId="32" fontId="1" numFmtId="0" xfId="0" applyAlignment="1" applyBorder="1" applyFont="1">
      <alignment horizontal="center" readingOrder="0" shrinkToFit="0" wrapText="1"/>
    </xf>
    <xf borderId="7" fillId="27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1" fillId="17" fontId="2" numFmtId="0" xfId="0" applyAlignment="1" applyBorder="1" applyFont="1">
      <alignment horizontal="center" shrinkToFit="0" vertical="center" wrapText="1"/>
    </xf>
    <xf borderId="1" fillId="26" fontId="14" numFmtId="0" xfId="0" applyAlignment="1" applyBorder="1" applyFont="1">
      <alignment horizontal="center" readingOrder="0" shrinkToFit="0" vertical="center" wrapText="1"/>
    </xf>
    <xf borderId="15" fillId="15" fontId="2" numFmtId="0" xfId="0" applyAlignment="1" applyBorder="1" applyFont="1">
      <alignment horizontal="center" shrinkToFit="0" vertical="center" wrapText="1"/>
    </xf>
    <xf borderId="15" fillId="15" fontId="14" numFmtId="0" xfId="0" applyAlignment="1" applyBorder="1" applyFont="1">
      <alignment horizontal="center" readingOrder="0" shrinkToFit="0" vertical="center" wrapText="1"/>
    </xf>
    <xf borderId="1" fillId="23" fontId="14" numFmtId="0" xfId="0" applyAlignment="1" applyBorder="1" applyFont="1">
      <alignment horizontal="center" readingOrder="0" shrinkToFit="0" vertical="center" wrapText="1"/>
    </xf>
    <xf borderId="13" fillId="20" fontId="10" numFmtId="0" xfId="0" applyAlignment="1" applyBorder="1" applyFont="1">
      <alignment horizontal="center" readingOrder="0" shrinkToFit="0" vertical="center" wrapText="1"/>
    </xf>
    <xf borderId="12" fillId="14" fontId="1" numFmtId="0" xfId="0" applyAlignment="1" applyBorder="1" applyFont="1">
      <alignment horizontal="center" vertical="center"/>
    </xf>
    <xf borderId="12" fillId="17" fontId="1" numFmtId="0" xfId="0" applyAlignment="1" applyBorder="1" applyFont="1">
      <alignment horizontal="center" readingOrder="0" shrinkToFit="0" vertical="center" wrapText="1"/>
    </xf>
    <xf borderId="12" fillId="26" fontId="6" numFmtId="0" xfId="0" applyAlignment="1" applyBorder="1" applyFont="1">
      <alignment horizontal="center" readingOrder="0" vertical="center"/>
    </xf>
    <xf borderId="16" fillId="15" fontId="1" numFmtId="0" xfId="0" applyAlignment="1" applyBorder="1" applyFont="1">
      <alignment horizontal="center" vertical="center"/>
    </xf>
    <xf borderId="0" fillId="30" fontId="1" numFmtId="0" xfId="0" applyAlignment="1" applyFont="1">
      <alignment horizontal="center" vertical="center"/>
    </xf>
    <xf borderId="16" fillId="15" fontId="1" numFmtId="0" xfId="0" applyAlignment="1" applyBorder="1" applyFont="1">
      <alignment horizontal="center" readingOrder="0" shrinkToFit="0" vertical="center" wrapText="1"/>
    </xf>
    <xf borderId="12" fillId="23" fontId="6" numFmtId="0" xfId="0" applyAlignment="1" applyBorder="1" applyFont="1">
      <alignment horizontal="center" readingOrder="0" vertical="center"/>
    </xf>
    <xf borderId="14" fillId="26" fontId="1" numFmtId="0" xfId="0" applyAlignment="1" applyBorder="1" applyFont="1">
      <alignment horizontal="center" readingOrder="0" shrinkToFit="0" vertical="center" wrapText="1"/>
    </xf>
    <xf borderId="17" fillId="15" fontId="1" numFmtId="0" xfId="0" applyAlignment="1" applyBorder="1" applyFont="1">
      <alignment horizontal="center" readingOrder="0" shrinkToFit="0" vertical="center" wrapText="1"/>
    </xf>
    <xf borderId="17" fillId="15" fontId="2" numFmtId="0" xfId="0" applyAlignment="1" applyBorder="1" applyFont="1">
      <alignment horizontal="center" readingOrder="0" shrinkToFit="0" vertical="center" wrapText="1"/>
    </xf>
    <xf borderId="14" fillId="23" fontId="1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vertical="center"/>
    </xf>
    <xf borderId="7" fillId="8" fontId="14" numFmtId="0" xfId="0" applyAlignment="1" applyBorder="1" applyFont="1">
      <alignment horizontal="center" readingOrder="0" vertical="center"/>
    </xf>
    <xf borderId="12" fillId="8" fontId="14" numFmtId="0" xfId="0" applyAlignment="1" applyBorder="1" applyFont="1">
      <alignment horizontal="center" shrinkToFit="0" vertical="center" wrapText="1"/>
    </xf>
    <xf borderId="12" fillId="17" fontId="6" numFmtId="0" xfId="0" applyAlignment="1" applyBorder="1" applyFont="1">
      <alignment horizontal="center" readingOrder="0" shrinkToFit="0" vertical="center" wrapText="1"/>
    </xf>
    <xf borderId="17" fillId="10" fontId="14" numFmtId="0" xfId="0" applyAlignment="1" applyBorder="1" applyFont="1">
      <alignment horizontal="center" readingOrder="0" shrinkToFit="0" vertical="center" wrapText="1"/>
    </xf>
    <xf borderId="14" fillId="0" fontId="6" numFmtId="0" xfId="0" applyAlignment="1" applyBorder="1" applyFont="1">
      <alignment horizontal="center" readingOrder="0" shrinkToFit="0" vertical="center" wrapText="1"/>
    </xf>
    <xf borderId="15" fillId="7" fontId="2" numFmtId="0" xfId="0" applyAlignment="1" applyBorder="1" applyFont="1">
      <alignment horizontal="center" readingOrder="0" shrinkToFit="0" vertical="center" wrapText="1"/>
    </xf>
    <xf borderId="16" fillId="7" fontId="1" numFmtId="0" xfId="0" applyAlignment="1" applyBorder="1" applyFont="1">
      <alignment horizontal="center" readingOrder="0" shrinkToFit="0" vertical="center" wrapText="1"/>
    </xf>
    <xf borderId="0" fillId="7" fontId="18" numFmtId="0" xfId="0" applyAlignment="1" applyFont="1">
      <alignment horizontal="center" readingOrder="0" vertical="center"/>
    </xf>
    <xf borderId="17" fillId="7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27" fontId="2" numFmtId="0" xfId="0" applyAlignment="1" applyBorder="1" applyFont="1">
      <alignment horizontal="center" readingOrder="0" shrinkToFit="0" vertical="center" wrapText="1"/>
    </xf>
    <xf borderId="12" fillId="27" fontId="1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4" fillId="27" fontId="1" numFmtId="0" xfId="0" applyAlignment="1" applyBorder="1" applyFont="1">
      <alignment horizontal="center" readingOrder="0" shrinkToFit="0" vertical="center" wrapText="1"/>
    </xf>
    <xf borderId="15" fillId="12" fontId="11" numFmtId="0" xfId="0" applyAlignment="1" applyBorder="1" applyFont="1">
      <alignment horizontal="center" readingOrder="0" shrinkToFit="0" vertical="center" wrapText="1"/>
    </xf>
    <xf borderId="6" fillId="12" fontId="11" numFmtId="0" xfId="0" applyAlignment="1" applyBorder="1" applyFont="1">
      <alignment horizontal="center" readingOrder="0" shrinkToFit="0" vertical="center" wrapText="1"/>
    </xf>
    <xf borderId="16" fillId="12" fontId="11" numFmtId="0" xfId="0" applyAlignment="1" applyBorder="1" applyFont="1">
      <alignment horizontal="center" readingOrder="0" shrinkToFit="0" vertical="center" wrapText="1"/>
    </xf>
    <xf borderId="1" fillId="5" fontId="2" numFmtId="0" xfId="0" applyAlignment="1" applyBorder="1" applyFont="1">
      <alignment horizontal="center" readingOrder="0" shrinkToFit="0" vertical="center" wrapText="1"/>
    </xf>
    <xf borderId="13" fillId="8" fontId="6" numFmtId="0" xfId="0" applyAlignment="1" applyBorder="1" applyFont="1">
      <alignment horizontal="center" readingOrder="0" shrinkToFit="0" vertical="center" wrapText="1"/>
    </xf>
    <xf borderId="12" fillId="5" fontId="1" numFmtId="0" xfId="0" applyAlignment="1" applyBorder="1" applyFont="1">
      <alignment horizontal="center" readingOrder="0" vertical="center"/>
    </xf>
    <xf borderId="14" fillId="5" fontId="1" numFmtId="0" xfId="0" applyAlignment="1" applyBorder="1" applyFont="1">
      <alignment horizontal="center" readingOrder="0" vertical="center"/>
    </xf>
    <xf borderId="0" fillId="13" fontId="2" numFmtId="0" xfId="0" applyAlignment="1" applyFont="1">
      <alignment horizontal="center" readingOrder="0" shrinkToFit="0" vertical="center" wrapText="1"/>
    </xf>
    <xf borderId="6" fillId="10" fontId="14" numFmtId="0" xfId="0" applyAlignment="1" applyBorder="1" applyFont="1">
      <alignment horizontal="center" readingOrder="0" shrinkToFit="0" vertical="center" wrapText="1"/>
    </xf>
    <xf borderId="0" fillId="13" fontId="6" numFmtId="0" xfId="0" applyAlignment="1" applyFont="1">
      <alignment horizontal="center" readingOrder="0" shrinkToFit="0" vertical="center" wrapText="1"/>
    </xf>
    <xf borderId="0" fillId="10" fontId="6" numFmtId="0" xfId="0" applyAlignment="1" applyFont="1">
      <alignment horizontal="center" readingOrder="0" shrinkToFit="0" vertical="center" wrapText="1"/>
    </xf>
    <xf borderId="0" fillId="8" fontId="19" numFmtId="0" xfId="0" applyAlignment="1" applyFont="1">
      <alignment horizontal="center" readingOrder="0" vertical="center"/>
    </xf>
    <xf borderId="18" fillId="10" fontId="6" numFmtId="0" xfId="0" applyAlignment="1" applyBorder="1" applyFont="1">
      <alignment horizontal="center" readingOrder="0" shrinkToFit="0" vertical="center" wrapText="1"/>
    </xf>
    <xf borderId="15" fillId="10" fontId="14" numFmtId="0" xfId="0" applyAlignment="1" applyBorder="1" applyFont="1">
      <alignment horizontal="center" readingOrder="0" shrinkToFit="0" vertical="center" wrapText="1"/>
    </xf>
    <xf borderId="1" fillId="8" fontId="6" numFmtId="0" xfId="0" applyAlignment="1" applyBorder="1" applyFont="1">
      <alignment horizontal="center" readingOrder="0" vertical="center"/>
    </xf>
    <xf borderId="15" fillId="8" fontId="1" numFmtId="0" xfId="0" applyAlignment="1" applyBorder="1" applyFont="1">
      <alignment horizontal="center" readingOrder="0" shrinkToFit="0" vertical="center" wrapText="1"/>
    </xf>
    <xf borderId="16" fillId="10" fontId="6" numFmtId="0" xfId="0" applyAlignment="1" applyBorder="1" applyFont="1">
      <alignment horizontal="center" readingOrder="0" shrinkToFit="0" vertical="center" wrapText="1"/>
    </xf>
    <xf borderId="17" fillId="10" fontId="6" numFmtId="0" xfId="0" applyAlignment="1" applyBorder="1" applyFont="1">
      <alignment horizontal="center" readingOrder="0" shrinkToFit="0" vertical="center" wrapText="1"/>
    </xf>
    <xf borderId="1" fillId="10" fontId="2" numFmtId="0" xfId="0" applyAlignment="1" applyBorder="1" applyFont="1">
      <alignment horizontal="center" readingOrder="0" shrinkToFit="0" vertical="center" wrapText="1"/>
    </xf>
    <xf borderId="0" fillId="17" fontId="15" numFmtId="0" xfId="0" applyAlignment="1" applyFont="1">
      <alignment horizontal="center" readingOrder="0" vertical="center"/>
    </xf>
    <xf borderId="1" fillId="18" fontId="14" numFmtId="0" xfId="0" applyAlignment="1" applyBorder="1" applyFont="1">
      <alignment horizontal="center" readingOrder="0" shrinkToFit="0" vertical="center" wrapText="1"/>
    </xf>
    <xf borderId="1" fillId="24" fontId="2" numFmtId="0" xfId="0" applyAlignment="1" applyBorder="1" applyFont="1">
      <alignment horizontal="center" shrinkToFit="0" vertical="center" wrapText="1"/>
    </xf>
    <xf borderId="12" fillId="13" fontId="1" numFmtId="0" xfId="0" applyAlignment="1" applyBorder="1" applyFont="1">
      <alignment horizontal="center" readingOrder="0" vertical="center"/>
    </xf>
    <xf borderId="16" fillId="10" fontId="1" numFmtId="0" xfId="0" applyAlignment="1" applyBorder="1" applyFont="1">
      <alignment horizontal="center" readingOrder="0" shrinkToFit="0" vertical="center" wrapText="1"/>
    </xf>
    <xf borderId="12" fillId="8" fontId="1" numFmtId="0" xfId="0" applyAlignment="1" applyBorder="1" applyFont="1">
      <alignment horizontal="center" readingOrder="0" vertical="center"/>
    </xf>
    <xf borderId="12" fillId="8" fontId="6" numFmtId="0" xfId="0" applyAlignment="1" applyBorder="1" applyFont="1">
      <alignment horizontal="center" vertical="center"/>
    </xf>
    <xf borderId="0" fillId="17" fontId="6" numFmtId="0" xfId="0" applyAlignment="1" applyFont="1">
      <alignment horizontal="center" readingOrder="0" vertical="center"/>
    </xf>
    <xf borderId="12" fillId="24" fontId="1" numFmtId="0" xfId="0" applyAlignment="1" applyBorder="1" applyFont="1">
      <alignment horizontal="center" shrinkToFit="0" vertical="center" wrapText="1"/>
    </xf>
    <xf borderId="14" fillId="13" fontId="6" numFmtId="0" xfId="0" applyAlignment="1" applyBorder="1" applyFont="1">
      <alignment horizontal="center" readingOrder="0" shrinkToFit="0" vertical="center" wrapText="1"/>
    </xf>
    <xf borderId="14" fillId="24" fontId="1" numFmtId="0" xfId="0" applyAlignment="1" applyBorder="1" applyFont="1">
      <alignment horizontal="center" shrinkToFit="0" vertical="center" wrapText="1"/>
    </xf>
    <xf borderId="12" fillId="18" fontId="1" numFmtId="0" xfId="0" applyAlignment="1" applyBorder="1" applyFont="1">
      <alignment horizontal="center" readingOrder="0" shrinkToFit="0" vertical="center" wrapText="1"/>
    </xf>
    <xf borderId="1" fillId="7" fontId="2" numFmtId="0" xfId="0" applyAlignment="1" applyBorder="1" applyFont="1">
      <alignment horizontal="center" shrinkToFit="0" vertical="center" wrapText="1"/>
    </xf>
    <xf borderId="1" fillId="16" fontId="2" numFmtId="0" xfId="0" applyAlignment="1" applyBorder="1" applyFont="1">
      <alignment horizontal="center" shrinkToFit="0" vertical="center" wrapText="1"/>
    </xf>
    <xf borderId="12" fillId="8" fontId="16" numFmtId="0" xfId="0" applyAlignment="1" applyBorder="1" applyFont="1">
      <alignment horizontal="center" readingOrder="0" vertical="center"/>
    </xf>
    <xf borderId="12" fillId="16" fontId="1" numFmtId="0" xfId="0" applyAlignment="1" applyBorder="1" applyFont="1">
      <alignment horizontal="center" vertical="center"/>
    </xf>
    <xf borderId="9" fillId="27" fontId="2" numFmtId="0" xfId="0" applyAlignment="1" applyBorder="1" applyFont="1">
      <alignment horizontal="center" readingOrder="0" shrinkToFit="0" vertical="center" wrapText="1"/>
    </xf>
    <xf borderId="14" fillId="7" fontId="1" numFmtId="0" xfId="0" applyAlignment="1" applyBorder="1" applyFont="1">
      <alignment horizontal="center" readingOrder="0" vertical="center"/>
    </xf>
    <xf borderId="14" fillId="16" fontId="7" numFmtId="0" xfId="0" applyAlignment="1" applyBorder="1" applyFont="1">
      <alignment horizontal="center" readingOrder="0" vertical="center"/>
    </xf>
    <xf borderId="0" fillId="4" fontId="4" numFmtId="0" xfId="0" applyAlignment="1" applyFont="1">
      <alignment vertical="center"/>
    </xf>
    <xf borderId="16" fillId="4" fontId="1" numFmtId="0" xfId="0" applyAlignment="1" applyBorder="1" applyFont="1">
      <alignment horizontal="center" shrinkToFit="0" vertical="center" wrapText="1"/>
    </xf>
    <xf borderId="15" fillId="17" fontId="15" numFmtId="0" xfId="0" applyAlignment="1" applyBorder="1" applyFont="1">
      <alignment horizontal="center" readingOrder="0" vertical="center"/>
    </xf>
    <xf borderId="1" fillId="19" fontId="2" numFmtId="0" xfId="0" applyAlignment="1" applyBorder="1" applyFont="1">
      <alignment horizontal="center" readingOrder="0" shrinkToFit="0" vertical="center" wrapText="1"/>
    </xf>
    <xf borderId="15" fillId="8" fontId="15" numFmtId="0" xfId="0" applyAlignment="1" applyBorder="1" applyFont="1">
      <alignment horizontal="center" readingOrder="0" shrinkToFit="0" vertical="center" wrapText="1"/>
    </xf>
    <xf borderId="16" fillId="17" fontId="6" numFmtId="0" xfId="0" applyAlignment="1" applyBorder="1" applyFont="1">
      <alignment horizontal="center" readingOrder="0" vertical="center"/>
    </xf>
    <xf borderId="16" fillId="6" fontId="1" numFmtId="0" xfId="0" applyAlignment="1" applyBorder="1" applyFont="1">
      <alignment horizontal="center" readingOrder="0" shrinkToFit="0" vertical="center" wrapText="1"/>
    </xf>
    <xf borderId="16" fillId="8" fontId="6" numFmtId="0" xfId="0" applyAlignment="1" applyBorder="1" applyFont="1">
      <alignment horizontal="center" readingOrder="0" vertical="center"/>
    </xf>
    <xf borderId="17" fillId="17" fontId="7" numFmtId="0" xfId="0" applyAlignment="1" applyBorder="1" applyFont="1">
      <alignment horizontal="center" readingOrder="0" shrinkToFit="0" vertical="center" wrapText="1"/>
    </xf>
    <xf borderId="17" fillId="6" fontId="2" numFmtId="0" xfId="0" applyAlignment="1" applyBorder="1" applyFont="1">
      <alignment horizontal="center" readingOrder="0" shrinkToFit="0" vertical="center" wrapText="1"/>
    </xf>
    <xf borderId="17" fillId="19" fontId="1" numFmtId="0" xfId="0" applyAlignment="1" applyBorder="1" applyFont="1">
      <alignment horizontal="center" readingOrder="0" shrinkToFit="0" vertical="center" wrapText="1"/>
    </xf>
    <xf borderId="17" fillId="8" fontId="20" numFmtId="0" xfId="0" applyAlignment="1" applyBorder="1" applyFont="1">
      <alignment horizontal="center" readingOrder="0" vertical="center"/>
    </xf>
    <xf borderId="17" fillId="6" fontId="1" numFmtId="0" xfId="0" applyAlignment="1" applyBorder="1" applyFont="1">
      <alignment horizontal="center" readingOrder="0" shrinkToFit="0" vertical="center" wrapText="1"/>
    </xf>
    <xf borderId="15" fillId="6" fontId="2" numFmtId="0" xfId="0" applyAlignment="1" applyBorder="1" applyFont="1">
      <alignment horizontal="center" shrinkToFit="0" vertical="center" wrapText="1"/>
    </xf>
    <xf borderId="7" fillId="25" fontId="2" numFmtId="0" xfId="0" applyAlignment="1" applyBorder="1" applyFont="1">
      <alignment horizontal="center" readingOrder="0" shrinkToFit="0" vertical="center" wrapText="1"/>
    </xf>
    <xf borderId="1" fillId="28" fontId="14" numFmtId="0" xfId="0" applyAlignment="1" applyBorder="1" applyFont="1">
      <alignment horizontal="center" readingOrder="0" vertical="center"/>
    </xf>
    <xf borderId="15" fillId="5" fontId="2" numFmtId="0" xfId="0" applyAlignment="1" applyBorder="1" applyFont="1">
      <alignment horizontal="center" readingOrder="0" shrinkToFit="0" vertical="center" wrapText="1"/>
    </xf>
    <xf borderId="7" fillId="22" fontId="2" numFmtId="0" xfId="0" applyAlignment="1" applyBorder="1" applyFont="1">
      <alignment horizontal="center" readingOrder="0" shrinkToFit="0" vertical="center" wrapText="1"/>
    </xf>
    <xf borderId="1" fillId="30" fontId="2" numFmtId="0" xfId="0" applyAlignment="1" applyBorder="1" applyFont="1">
      <alignment horizontal="center" readingOrder="0" shrinkToFit="0" vertical="center" wrapText="1"/>
    </xf>
    <xf borderId="1" fillId="14" fontId="14" numFmtId="0" xfId="0" applyAlignment="1" applyBorder="1" applyFont="1">
      <alignment horizontal="center" readingOrder="0" shrinkToFit="0" vertical="center" wrapText="1"/>
    </xf>
    <xf borderId="15" fillId="8" fontId="6" numFmtId="0" xfId="0" applyAlignment="1" applyBorder="1" applyFont="1">
      <alignment horizontal="center" readingOrder="0" vertical="center"/>
    </xf>
    <xf borderId="16" fillId="6" fontId="1" numFmtId="0" xfId="0" applyAlignment="1" applyBorder="1" applyFont="1">
      <alignment horizontal="center" shrinkToFit="0" vertical="center" wrapText="1"/>
    </xf>
    <xf borderId="12" fillId="25" fontId="1" numFmtId="0" xfId="0" applyAlignment="1" applyBorder="1" applyFont="1">
      <alignment horizontal="center" readingOrder="0" shrinkToFit="0" vertical="center" wrapText="1"/>
    </xf>
    <xf borderId="12" fillId="28" fontId="6" numFmtId="0" xfId="0" applyAlignment="1" applyBorder="1" applyFont="1">
      <alignment horizontal="center" readingOrder="0" shrinkToFit="0" vertical="center" wrapText="1"/>
    </xf>
    <xf borderId="16" fillId="5" fontId="6" numFmtId="0" xfId="0" applyAlignment="1" applyBorder="1" applyFont="1">
      <alignment horizontal="center" readingOrder="0" vertical="center"/>
    </xf>
    <xf borderId="12" fillId="16" fontId="1" numFmtId="0" xfId="0" applyAlignment="1" applyBorder="1" applyFont="1">
      <alignment horizontal="center" readingOrder="0" vertical="center"/>
    </xf>
    <xf borderId="12" fillId="22" fontId="6" numFmtId="0" xfId="0" applyAlignment="1" applyBorder="1" applyFont="1">
      <alignment horizontal="center" readingOrder="0" vertical="center"/>
    </xf>
    <xf borderId="12" fillId="30" fontId="6" numFmtId="0" xfId="0" applyAlignment="1" applyBorder="1" applyFont="1">
      <alignment horizontal="center" readingOrder="0" shrinkToFit="0" vertical="center" wrapText="1"/>
    </xf>
    <xf borderId="12" fillId="14" fontId="1" numFmtId="0" xfId="0" applyAlignment="1" applyBorder="1" applyFont="1">
      <alignment horizontal="center" readingOrder="0" shrinkToFit="0" vertical="center" wrapText="1"/>
    </xf>
    <xf borderId="14" fillId="25" fontId="1" numFmtId="0" xfId="0" applyAlignment="1" applyBorder="1" applyFont="1">
      <alignment horizontal="center" readingOrder="0" shrinkToFit="0" vertical="center" wrapText="1"/>
    </xf>
    <xf borderId="14" fillId="28" fontId="6" numFmtId="0" xfId="0" applyAlignment="1" applyBorder="1" applyFont="1">
      <alignment horizontal="center" readingOrder="0" shrinkToFit="0" vertical="center" wrapText="1"/>
    </xf>
    <xf borderId="17" fillId="5" fontId="2" numFmtId="0" xfId="0" applyAlignment="1" applyBorder="1" applyFont="1">
      <alignment horizontal="center" readingOrder="0" shrinkToFit="0" vertical="center" wrapText="1"/>
    </xf>
    <xf borderId="14" fillId="16" fontId="2" numFmtId="0" xfId="0" applyAlignment="1" applyBorder="1" applyFont="1">
      <alignment horizontal="center" readingOrder="0" vertical="center"/>
    </xf>
    <xf borderId="14" fillId="22" fontId="1" numFmtId="0" xfId="0" applyAlignment="1" applyBorder="1" applyFont="1">
      <alignment horizontal="center" readingOrder="0" shrinkToFit="0" vertical="center" wrapText="1"/>
    </xf>
    <xf borderId="14" fillId="14" fontId="2" numFmtId="0" xfId="0" applyAlignment="1" applyBorder="1" applyFont="1">
      <alignment horizontal="center" readingOrder="0" shrinkToFit="0" vertical="center" wrapText="1"/>
    </xf>
    <xf borderId="16" fillId="6" fontId="2" numFmtId="0" xfId="0" applyAlignment="1" applyBorder="1" applyFont="1">
      <alignment horizontal="center" shrinkToFit="0" vertical="center" wrapText="1"/>
    </xf>
    <xf borderId="1" fillId="8" fontId="2" numFmtId="0" xfId="0" applyAlignment="1" applyBorder="1" applyFont="1">
      <alignment horizontal="center" readingOrder="0" vertical="center"/>
    </xf>
    <xf borderId="6" fillId="29" fontId="2" numFmtId="0" xfId="0" applyAlignment="1" applyBorder="1" applyFont="1">
      <alignment horizontal="center" readingOrder="0" shrinkToFit="0" vertical="center" wrapText="1"/>
    </xf>
    <xf borderId="1" fillId="6" fontId="2" numFmtId="0" xfId="0" applyAlignment="1" applyBorder="1" applyFont="1">
      <alignment horizontal="center" shrinkToFit="0" vertical="bottom" wrapText="1"/>
    </xf>
    <xf borderId="16" fillId="29" fontId="6" numFmtId="0" xfId="0" applyAlignment="1" applyBorder="1" applyFont="1">
      <alignment horizontal="center" readingOrder="0" vertical="center"/>
    </xf>
    <xf borderId="14" fillId="7" fontId="1" numFmtId="0" xfId="0" applyAlignment="1" applyBorder="1" applyFont="1">
      <alignment horizontal="center" readingOrder="0" shrinkToFit="0" vertical="center" wrapText="1"/>
    </xf>
    <xf borderId="9" fillId="5" fontId="1" numFmtId="0" xfId="0" applyAlignment="1" applyBorder="1" applyFont="1">
      <alignment horizontal="center" shrinkToFit="0" vertical="center" wrapText="1"/>
    </xf>
    <xf borderId="17" fillId="29" fontId="2" numFmtId="0" xfId="0" applyAlignment="1" applyBorder="1" applyFont="1">
      <alignment horizontal="center" readingOrder="0" shrinkToFit="0" vertical="center" wrapText="1"/>
    </xf>
    <xf borderId="7" fillId="8" fontId="2" numFmtId="0" xfId="0" applyAlignment="1" applyBorder="1" applyFont="1">
      <alignment horizontal="center" readingOrder="0" vertical="center"/>
    </xf>
    <xf borderId="1" fillId="25" fontId="14" numFmtId="0" xfId="0" applyAlignment="1" applyBorder="1" applyFont="1">
      <alignment horizontal="center" readingOrder="0" shrinkToFit="0" vertical="center" wrapText="1"/>
    </xf>
    <xf borderId="7" fillId="15" fontId="2" numFmtId="0" xfId="0" applyAlignment="1" applyBorder="1" applyFont="1">
      <alignment horizontal="center" readingOrder="0" shrinkToFit="0" vertical="center" wrapText="1"/>
    </xf>
    <xf borderId="7" fillId="29" fontId="2" numFmtId="0" xfId="0" applyAlignment="1" applyBorder="1" applyFont="1">
      <alignment horizontal="center" readingOrder="0" shrinkToFit="0" vertical="center" wrapText="1"/>
    </xf>
    <xf borderId="12" fillId="14" fontId="2" numFmtId="0" xfId="0" applyAlignment="1" applyBorder="1" applyFont="1">
      <alignment horizontal="center" shrinkToFit="0" vertical="bottom" wrapText="1"/>
    </xf>
    <xf borderId="15" fillId="24" fontId="1" numFmtId="0" xfId="0" applyAlignment="1" applyBorder="1" applyFont="1">
      <alignment horizontal="center" readingOrder="0" shrinkToFit="0" vertical="center" wrapText="1"/>
    </xf>
    <xf borderId="12" fillId="6" fontId="1" numFmtId="0" xfId="0" applyAlignment="1" applyBorder="1" applyFont="1">
      <alignment horizontal="center" readingOrder="0" vertical="center"/>
    </xf>
    <xf borderId="13" fillId="6" fontId="1" numFmtId="0" xfId="0" applyAlignment="1" applyBorder="1" applyFont="1">
      <alignment horizontal="center" readingOrder="0" shrinkToFit="0" vertical="center" wrapText="1"/>
    </xf>
    <xf borderId="12" fillId="6" fontId="6" numFmtId="0" xfId="0" applyAlignment="1" applyBorder="1" applyFont="1">
      <alignment horizontal="center" readingOrder="0" vertical="center"/>
    </xf>
    <xf borderId="12" fillId="25" fontId="6" numFmtId="0" xfId="0" applyAlignment="1" applyBorder="1" applyFont="1">
      <alignment horizontal="center" readingOrder="0" vertical="center"/>
    </xf>
    <xf borderId="0" fillId="15" fontId="21" numFmtId="0" xfId="0" applyAlignment="1" applyFont="1">
      <alignment horizontal="center" readingOrder="0" vertical="center"/>
    </xf>
    <xf borderId="12" fillId="29" fontId="6" numFmtId="0" xfId="0" applyAlignment="1" applyBorder="1" applyFont="1">
      <alignment horizontal="center" readingOrder="0" vertical="center"/>
    </xf>
    <xf borderId="12" fillId="14" fontId="1" numFmtId="0" xfId="0" applyAlignment="1" applyBorder="1" applyFont="1">
      <alignment horizontal="center" shrinkToFit="0" vertical="bottom" wrapText="1"/>
    </xf>
    <xf borderId="16" fillId="24" fontId="1" numFmtId="0" xfId="0" applyAlignment="1" applyBorder="1" applyFont="1">
      <alignment horizontal="center" readingOrder="0" shrinkToFit="0" vertical="center" wrapText="1"/>
    </xf>
    <xf borderId="14" fillId="20" fontId="2" numFmtId="0" xfId="0" applyAlignment="1" applyBorder="1" applyFont="1">
      <alignment horizontal="center" readingOrder="0" vertical="center"/>
    </xf>
    <xf borderId="14" fillId="15" fontId="1" numFmtId="0" xfId="0" applyAlignment="1" applyBorder="1" applyFont="1">
      <alignment horizontal="center" readingOrder="0" shrinkToFit="0" vertical="center" wrapText="1"/>
    </xf>
    <xf borderId="14" fillId="29" fontId="1" numFmtId="0" xfId="0" applyAlignment="1" applyBorder="1" applyFont="1">
      <alignment horizontal="center" readingOrder="0" shrinkToFit="0" vertical="center" wrapText="1"/>
    </xf>
    <xf borderId="14" fillId="14" fontId="1" numFmtId="0" xfId="0" applyAlignment="1" applyBorder="1" applyFont="1">
      <alignment horizontal="center" readingOrder="0" shrinkToFit="0" wrapText="1"/>
    </xf>
    <xf borderId="17" fillId="24" fontId="1" numFmtId="0" xfId="0" applyAlignment="1" applyBorder="1" applyFont="1">
      <alignment horizontal="center" readingOrder="0" shrinkToFit="0" vertical="center" wrapText="1"/>
    </xf>
    <xf borderId="1" fillId="8" fontId="1" numFmtId="0" xfId="0" applyAlignment="1" applyBorder="1" applyFont="1">
      <alignment horizontal="center" readingOrder="0" shrinkToFit="0" vertical="center" wrapText="1"/>
    </xf>
    <xf borderId="16" fillId="0" fontId="4" numFmtId="0" xfId="0" applyAlignment="1" applyBorder="1" applyFont="1">
      <alignment vertical="center"/>
    </xf>
    <xf borderId="12" fillId="15" fontId="6" numFmtId="0" xfId="0" applyAlignment="1" applyBorder="1" applyFont="1">
      <alignment horizontal="center" readingOrder="0" vertical="center"/>
    </xf>
    <xf borderId="12" fillId="29" fontId="1" numFmtId="0" xfId="0" applyAlignment="1" applyBorder="1" applyFont="1">
      <alignment horizontal="center" readingOrder="0" vertical="center"/>
    </xf>
    <xf borderId="17" fillId="0" fontId="4" numFmtId="0" xfId="0" applyAlignment="1" applyBorder="1" applyFont="1">
      <alignment vertical="center"/>
    </xf>
    <xf borderId="1" fillId="24" fontId="2" numFmtId="0" xfId="0" applyAlignment="1" applyBorder="1" applyFont="1">
      <alignment horizontal="center" readingOrder="0" shrinkToFit="0" vertical="center" wrapText="1"/>
    </xf>
    <xf borderId="12" fillId="24" fontId="1" numFmtId="0" xfId="0" applyAlignment="1" applyBorder="1" applyFont="1">
      <alignment horizontal="center" readingOrder="0" shrinkToFit="0" vertical="center" wrapText="1"/>
    </xf>
    <xf borderId="14" fillId="6" fontId="1" numFmtId="0" xfId="0" applyAlignment="1" applyBorder="1" applyFont="1">
      <alignment horizontal="center" readingOrder="0" vertical="center"/>
    </xf>
    <xf borderId="14" fillId="24" fontId="2" numFmtId="0" xfId="0" applyAlignment="1" applyBorder="1" applyFont="1">
      <alignment horizontal="center" shrinkToFit="0" vertical="center" wrapText="1"/>
    </xf>
    <xf borderId="4" fillId="4" fontId="1" numFmtId="0" xfId="0" applyAlignment="1" applyBorder="1" applyFont="1">
      <alignment horizontal="center" shrinkToFit="0" vertical="center" wrapText="1"/>
    </xf>
    <xf borderId="0" fillId="14" fontId="14" numFmtId="0" xfId="0" applyAlignment="1" applyFont="1">
      <alignment horizontal="center" readingOrder="0" vertical="center"/>
    </xf>
    <xf borderId="1" fillId="15" fontId="2" numFmtId="0" xfId="0" applyAlignment="1" applyBorder="1" applyFont="1">
      <alignment horizontal="center" shrinkToFit="0" vertical="center" wrapText="1"/>
    </xf>
    <xf borderId="13" fillId="16" fontId="2" numFmtId="0" xfId="0" applyAlignment="1" applyBorder="1" applyFont="1">
      <alignment horizontal="center" readingOrder="0" shrinkToFit="0" vertical="center" wrapText="1"/>
    </xf>
    <xf borderId="16" fillId="17" fontId="2" numFmtId="0" xfId="0" applyAlignment="1" applyBorder="1" applyFont="1">
      <alignment horizontal="center" readingOrder="0" shrinkToFit="0" vertical="center" wrapText="1"/>
    </xf>
    <xf borderId="1" fillId="8" fontId="1" numFmtId="0" xfId="0" applyAlignment="1" applyBorder="1" applyFont="1">
      <alignment horizontal="center" shrinkToFit="0" vertical="center" wrapText="1"/>
    </xf>
    <xf borderId="15" fillId="16" fontId="15" numFmtId="0" xfId="0" applyAlignment="1" applyBorder="1" applyFont="1">
      <alignment horizontal="center" readingOrder="0" shrinkToFit="0" vertical="center" wrapText="1"/>
    </xf>
    <xf borderId="7" fillId="8" fontId="6" numFmtId="0" xfId="0" applyAlignment="1" applyBorder="1" applyFont="1">
      <alignment horizontal="center" readingOrder="0" shrinkToFit="0" vertical="center" wrapText="1"/>
    </xf>
    <xf borderId="16" fillId="15" fontId="1" numFmtId="0" xfId="0" applyAlignment="1" applyBorder="1" applyFont="1">
      <alignment horizontal="center" shrinkToFit="0" vertical="center" wrapText="1"/>
    </xf>
    <xf borderId="12" fillId="15" fontId="1" numFmtId="0" xfId="0" applyAlignment="1" applyBorder="1" applyFont="1">
      <alignment horizontal="center" shrinkToFit="0" vertical="center" wrapText="1"/>
    </xf>
    <xf borderId="16" fillId="17" fontId="1" numFmtId="0" xfId="0" applyAlignment="1" applyBorder="1" applyFont="1">
      <alignment horizontal="center" readingOrder="0" shrinkToFit="0" vertical="center" wrapText="1"/>
    </xf>
    <xf borderId="16" fillId="16" fontId="6" numFmtId="0" xfId="0" applyAlignment="1" applyBorder="1" applyFont="1">
      <alignment horizontal="center" readingOrder="0" vertical="center"/>
    </xf>
    <xf borderId="18" fillId="14" fontId="6" numFmtId="0" xfId="0" applyAlignment="1" applyBorder="1" applyFont="1">
      <alignment horizontal="center" readingOrder="0" shrinkToFit="0" vertical="center" wrapText="1"/>
    </xf>
    <xf borderId="17" fillId="15" fontId="1" numFmtId="0" xfId="0" applyAlignment="1" applyBorder="1" applyFont="1">
      <alignment horizontal="center" shrinkToFit="0" vertical="center" wrapText="1"/>
    </xf>
    <xf borderId="14" fillId="15" fontId="1" numFmtId="0" xfId="0" applyAlignment="1" applyBorder="1" applyFont="1">
      <alignment horizontal="center" shrinkToFit="0" vertical="center" wrapText="1"/>
    </xf>
    <xf borderId="9" fillId="16" fontId="2" numFmtId="0" xfId="0" applyAlignment="1" applyBorder="1" applyFont="1">
      <alignment horizontal="center" readingOrder="0" shrinkToFit="0" vertical="center" wrapText="1"/>
    </xf>
    <xf borderId="17" fillId="17" fontId="1" numFmtId="0" xfId="0" applyAlignment="1" applyBorder="1" applyFont="1">
      <alignment horizontal="center" readingOrder="0" shrinkToFit="0" vertical="center" wrapText="1"/>
    </xf>
    <xf borderId="16" fillId="16" fontId="16" numFmtId="0" xfId="0" applyAlignment="1" applyBorder="1" applyFont="1">
      <alignment horizontal="center" readingOrder="0" vertical="center"/>
    </xf>
    <xf borderId="15" fillId="20" fontId="14" numFmtId="0" xfId="0" applyAlignment="1" applyBorder="1" applyFont="1">
      <alignment horizontal="center" readingOrder="0" shrinkToFit="0" vertical="center" wrapText="1"/>
    </xf>
    <xf borderId="0" fillId="28" fontId="9" numFmtId="0" xfId="0" applyAlignment="1" applyFont="1">
      <alignment horizontal="center" readingOrder="0" shrinkToFit="0" vertical="center" wrapText="1"/>
    </xf>
    <xf borderId="16" fillId="20" fontId="6" numFmtId="0" xfId="0" applyAlignment="1" applyBorder="1" applyFont="1">
      <alignment horizontal="center" readingOrder="0" shrinkToFit="0" vertical="center" wrapText="1"/>
    </xf>
    <xf borderId="12" fillId="15" fontId="1" numFmtId="0" xfId="0" applyAlignment="1" applyBorder="1" applyFont="1">
      <alignment horizontal="center" readingOrder="0" shrinkToFit="0" vertical="center" wrapText="1"/>
    </xf>
    <xf borderId="12" fillId="28" fontId="1" numFmtId="0" xfId="0" applyAlignment="1" applyBorder="1" applyFont="1">
      <alignment horizontal="center" readingOrder="0" shrinkToFit="0" vertical="center" wrapText="1"/>
    </xf>
    <xf borderId="17" fillId="20" fontId="6" numFmtId="0" xfId="0" applyAlignment="1" applyBorder="1" applyFont="1">
      <alignment horizontal="center" readingOrder="0" shrinkToFit="0" vertical="center" wrapText="1"/>
    </xf>
    <xf borderId="14" fillId="28" fontId="1" numFmtId="0" xfId="0" applyAlignment="1" applyBorder="1" applyFont="1">
      <alignment horizontal="center" readingOrder="0" shrinkToFit="0" vertical="center" wrapText="1"/>
    </xf>
    <xf borderId="1" fillId="14" fontId="2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5" fillId="31" fontId="14" numFmtId="0" xfId="0" applyAlignment="1" applyBorder="1" applyFont="1">
      <alignment horizontal="center" readingOrder="0" shrinkToFit="0" vertical="center" wrapText="1"/>
    </xf>
    <xf borderId="12" fillId="20" fontId="10" numFmtId="0" xfId="0" applyAlignment="1" applyBorder="1" applyFont="1">
      <alignment horizontal="center" readingOrder="0" shrinkToFit="0" vertical="center" wrapText="1"/>
    </xf>
    <xf borderId="12" fillId="14" fontId="6" numFmtId="0" xfId="0" applyAlignment="1" applyBorder="1" applyFont="1">
      <alignment horizontal="center" readingOrder="0" vertical="center"/>
    </xf>
    <xf borderId="16" fillId="31" fontId="1" numFmtId="0" xfId="0" applyAlignment="1" applyBorder="1" applyFont="1">
      <alignment horizontal="center" readingOrder="0" shrinkToFit="0" vertical="center" wrapText="1"/>
    </xf>
    <xf borderId="14" fillId="14" fontId="6" numFmtId="0" xfId="0" applyAlignment="1" applyBorder="1" applyFont="1">
      <alignment horizontal="center" readingOrder="0" shrinkToFit="0" vertical="center" wrapText="1"/>
    </xf>
    <xf borderId="18" fillId="0" fontId="4" numFmtId="0" xfId="0" applyAlignment="1" applyBorder="1" applyFont="1">
      <alignment vertical="center"/>
    </xf>
    <xf borderId="17" fillId="31" fontId="1" numFmtId="0" xfId="0" applyAlignment="1" applyBorder="1" applyFont="1">
      <alignment horizontal="center" readingOrder="0" shrinkToFit="0" vertical="center" wrapText="1"/>
    </xf>
    <xf borderId="1" fillId="20" fontId="2" numFmtId="0" xfId="0" applyAlignment="1" applyBorder="1" applyFont="1">
      <alignment horizontal="center" readingOrder="0" vertical="center"/>
    </xf>
    <xf borderId="1" fillId="15" fontId="2" numFmtId="0" xfId="0" applyAlignment="1" applyBorder="1" applyFont="1">
      <alignment horizontal="center" readingOrder="0" shrinkToFit="0" vertical="center" wrapText="1"/>
    </xf>
    <xf borderId="7" fillId="20" fontId="2" numFmtId="0" xfId="0" applyAlignment="1" applyBorder="1" applyFont="1">
      <alignment horizontal="center" readingOrder="0" vertical="center"/>
    </xf>
    <xf borderId="7" fillId="10" fontId="2" numFmtId="0" xfId="0" applyAlignment="1" applyBorder="1" applyFont="1">
      <alignment horizontal="center" readingOrder="0" shrinkToFit="0" vertical="center" wrapText="1"/>
    </xf>
    <xf borderId="12" fillId="17" fontId="2" numFmtId="0" xfId="0" applyAlignment="1" applyBorder="1" applyFont="1">
      <alignment horizontal="center" readingOrder="0" shrinkToFit="0" vertical="center" wrapText="1"/>
    </xf>
    <xf borderId="1" fillId="31" fontId="14" numFmtId="0" xfId="0" applyAlignment="1" applyBorder="1" applyFont="1">
      <alignment horizontal="center" readingOrder="0" shrinkToFit="0" vertical="center" wrapText="1"/>
    </xf>
    <xf borderId="12" fillId="8" fontId="1" numFmtId="0" xfId="0" applyAlignment="1" applyBorder="1" applyFont="1">
      <alignment readingOrder="0" vertical="center"/>
    </xf>
    <xf borderId="12" fillId="20" fontId="4" numFmtId="0" xfId="0" applyAlignment="1" applyBorder="1" applyFont="1">
      <alignment horizontal="center" vertical="center"/>
    </xf>
    <xf borderId="12" fillId="10" fontId="6" numFmtId="0" xfId="0" applyAlignment="1" applyBorder="1" applyFont="1">
      <alignment horizontal="center" readingOrder="0" shrinkToFit="0" vertical="center" wrapText="1"/>
    </xf>
    <xf borderId="12" fillId="31" fontId="1" numFmtId="0" xfId="0" applyAlignment="1" applyBorder="1" applyFont="1">
      <alignment horizontal="center" readingOrder="0" shrinkToFit="0" vertical="center" wrapText="1"/>
    </xf>
    <xf borderId="14" fillId="15" fontId="1" numFmtId="0" xfId="0" applyAlignment="1" applyBorder="1" applyFont="1">
      <alignment horizontal="center" readingOrder="0" vertical="center"/>
    </xf>
    <xf borderId="14" fillId="10" fontId="6" numFmtId="0" xfId="0" applyAlignment="1" applyBorder="1" applyFont="1">
      <alignment horizontal="center" readingOrder="0" shrinkToFit="0" vertical="center" wrapText="1"/>
    </xf>
    <xf borderId="0" fillId="20" fontId="4" numFmtId="0" xfId="0" applyAlignment="1" applyFont="1">
      <alignment horizontal="center" vertical="center"/>
    </xf>
    <xf borderId="18" fillId="4" fontId="1" numFmtId="0" xfId="0" applyAlignment="1" applyBorder="1" applyFont="1">
      <alignment horizontal="center" shrinkToFit="0" vertical="center" wrapText="1"/>
    </xf>
    <xf borderId="1" fillId="20" fontId="2" numFmtId="0" xfId="0" applyAlignment="1" applyBorder="1" applyFont="1">
      <alignment horizontal="center" shrinkToFit="0" vertical="center" wrapText="1"/>
    </xf>
    <xf borderId="14" fillId="2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5">
    <dxf>
      <font/>
      <fill>
        <patternFill patternType="solid">
          <fgColor rgb="FFCC0000"/>
          <bgColor rgb="FFCC00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5">
    <tableStyle count="3" pivot="0" name="2nd block common (since 1703)-style">
      <tableStyleElement dxfId="2" type="headerRow"/>
      <tableStyleElement dxfId="3" type="firstRowStripe"/>
      <tableStyleElement dxfId="4" type="secondRowStripe"/>
    </tableStyle>
    <tableStyle count="3" pivot="0" name="1st block common (since 2001)-style">
      <tableStyleElement dxfId="2" type="headerRow"/>
      <tableStyleElement dxfId="3" type="firstRowStripe"/>
      <tableStyleElement dxfId="4" type="secondRowStripe"/>
    </tableStyle>
    <tableStyle count="3" pivot="0" name="draft-style">
      <tableStyleElement dxfId="2" type="headerRow"/>
      <tableStyleElement dxfId="3" type="firstRowStripe"/>
      <tableStyleElement dxfId="4" type="secondRowStripe"/>
    </tableStyle>
    <tableStyle count="3" pivot="0" name="PhD-style">
      <tableStyleElement dxfId="2" type="headerRow"/>
      <tableStyleElement dxfId="3" type="firstRowStripe"/>
      <tableStyleElement dxfId="4" type="secondRowStripe"/>
    </tableStyle>
    <tableStyle count="3" pivot="0" name="2nd block common (since 1803)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U25:AW25" displayName="Table_1" name="Table_1" id="1">
  <tableColumns count="3">
    <tableColumn name="Column1" id="1"/>
    <tableColumn name="Column2" id="2"/>
    <tableColumn name="Column3" id="3"/>
  </tableColumns>
  <tableStyleInfo name="2nd block common (since 1703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U25:AW25" displayName="Table_2" name="Table_2" id="2">
  <tableColumns count="3">
    <tableColumn name="Column1" id="1"/>
    <tableColumn name="Column2" id="2"/>
    <tableColumn name="Column3" id="3"/>
  </tableColumns>
  <tableStyleInfo name="1st block common (since 2001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U25:AW25" displayName="Table_3" name="Table_3" id="3">
  <tableColumns count="3">
    <tableColumn name="Column1" id="1"/>
    <tableColumn name="Column2" id="2"/>
    <tableColumn name="Column3" id="3"/>
  </tableColumns>
  <tableStyleInfo name="draf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C25" displayName="Table_4" name="Table_4" id="4">
  <tableColumns count="1">
    <tableColumn name="Column1" id="1"/>
  </tableColumns>
  <tableStyleInfo name="Ph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V25" displayName="Table_5" name="Table_5" id="5">
  <tableColumns count="1">
    <tableColumn name="Column1" id="1"/>
  </tableColumns>
  <tableStyleInfo name="2nd block common (since 1803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3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3" Type="http://schemas.openxmlformats.org/officeDocument/2006/relationships/table" Target="../tables/table4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3" Type="http://schemas.openxmlformats.org/officeDocument/2006/relationships/table" Target="../tables/table5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6" width="20.38"/>
    <col customWidth="1" min="7" max="7" width="14.13"/>
    <col customWidth="1" min="8" max="19" width="21.13"/>
    <col customWidth="1" min="20" max="20" width="14.75"/>
    <col customWidth="1" min="21" max="31" width="22.13"/>
    <col customWidth="1" min="32" max="32" width="12.88"/>
    <col customWidth="1" min="33" max="39" width="20.25"/>
  </cols>
  <sheetData>
    <row r="1">
      <c r="A1" s="1"/>
      <c r="B1" s="2" t="s">
        <v>0</v>
      </c>
      <c r="C1" s="3"/>
      <c r="D1" s="3"/>
      <c r="E1" s="3"/>
      <c r="F1" s="4"/>
      <c r="G1" s="1"/>
      <c r="H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5"/>
      <c r="U1" s="6" t="s">
        <v>1</v>
      </c>
      <c r="V1" s="7"/>
      <c r="W1" s="7"/>
      <c r="X1" s="7"/>
      <c r="Y1" s="7"/>
      <c r="Z1" s="7"/>
      <c r="AA1" s="7"/>
      <c r="AB1" s="7"/>
      <c r="AC1" s="7"/>
      <c r="AD1" s="8"/>
      <c r="AE1" s="9"/>
      <c r="AF1" s="10"/>
      <c r="AG1" s="11" t="s">
        <v>2</v>
      </c>
      <c r="AH1" s="3"/>
      <c r="AI1" s="3"/>
      <c r="AJ1" s="3"/>
      <c r="AK1" s="3"/>
      <c r="AL1" s="3"/>
      <c r="AM1" s="4"/>
    </row>
    <row r="2">
      <c r="A2" s="12"/>
      <c r="B2" s="13" t="s">
        <v>3</v>
      </c>
      <c r="C2" s="13" t="s">
        <v>4</v>
      </c>
      <c r="D2" s="13" t="s">
        <v>5</v>
      </c>
      <c r="E2" s="13" t="s">
        <v>6</v>
      </c>
      <c r="F2" s="13" t="s">
        <v>7</v>
      </c>
      <c r="G2" s="12"/>
      <c r="H2" s="14" t="s">
        <v>8</v>
      </c>
      <c r="I2" s="14" t="s">
        <v>9</v>
      </c>
      <c r="J2" s="14" t="s">
        <v>10</v>
      </c>
      <c r="K2" s="14" t="s">
        <v>11</v>
      </c>
      <c r="L2" s="15" t="s">
        <v>12</v>
      </c>
      <c r="M2" s="14" t="s">
        <v>13</v>
      </c>
      <c r="N2" s="14" t="s">
        <v>14</v>
      </c>
      <c r="O2" s="14" t="s">
        <v>15</v>
      </c>
      <c r="P2" s="14" t="s">
        <v>16</v>
      </c>
      <c r="Q2" s="14" t="s">
        <v>17</v>
      </c>
      <c r="R2" s="14" t="s">
        <v>18</v>
      </c>
      <c r="S2" s="14" t="s">
        <v>19</v>
      </c>
      <c r="T2" s="16"/>
      <c r="U2" s="17" t="s">
        <v>20</v>
      </c>
      <c r="V2" s="18" t="s">
        <v>21</v>
      </c>
      <c r="W2" s="18" t="s">
        <v>22</v>
      </c>
      <c r="X2" s="19" t="s">
        <v>23</v>
      </c>
      <c r="Y2" s="18" t="s">
        <v>24</v>
      </c>
      <c r="Z2" s="18" t="s">
        <v>25</v>
      </c>
      <c r="AA2" s="18" t="s">
        <v>26</v>
      </c>
      <c r="AB2" s="18" t="s">
        <v>27</v>
      </c>
      <c r="AC2" s="18" t="s">
        <v>28</v>
      </c>
      <c r="AD2" s="18" t="s">
        <v>29</v>
      </c>
      <c r="AE2" s="18" t="s">
        <v>30</v>
      </c>
      <c r="AF2" s="12"/>
      <c r="AG2" s="13" t="s">
        <v>31</v>
      </c>
      <c r="AH2" s="13" t="s">
        <v>32</v>
      </c>
      <c r="AI2" s="13" t="s">
        <v>33</v>
      </c>
      <c r="AJ2" s="20" t="s">
        <v>34</v>
      </c>
      <c r="AK2" s="20" t="s">
        <v>35</v>
      </c>
      <c r="AL2" s="13" t="s">
        <v>36</v>
      </c>
      <c r="AM2" s="13" t="s">
        <v>37</v>
      </c>
    </row>
    <row r="3">
      <c r="A3" s="21" t="s">
        <v>38</v>
      </c>
      <c r="B3" s="22"/>
      <c r="C3" s="22"/>
      <c r="D3" s="22"/>
      <c r="E3" s="22"/>
      <c r="F3" s="22"/>
      <c r="G3" s="21" t="s">
        <v>38</v>
      </c>
      <c r="H3" s="22"/>
      <c r="O3" s="23"/>
      <c r="P3" s="24"/>
      <c r="Q3" s="25"/>
      <c r="R3" s="22"/>
      <c r="S3" s="22"/>
      <c r="T3" s="26" t="s">
        <v>38</v>
      </c>
      <c r="U3" s="27"/>
      <c r="V3" s="3"/>
      <c r="W3" s="3"/>
      <c r="X3" s="3"/>
      <c r="Y3" s="3"/>
      <c r="Z3" s="3"/>
      <c r="AA3" s="3"/>
      <c r="AB3" s="3"/>
      <c r="AC3" s="3"/>
      <c r="AD3" s="3"/>
      <c r="AE3" s="4"/>
      <c r="AF3" s="28" t="s">
        <v>38</v>
      </c>
      <c r="AG3" s="29"/>
      <c r="AH3" s="3"/>
      <c r="AI3" s="3"/>
      <c r="AJ3" s="3"/>
      <c r="AK3" s="3"/>
      <c r="AL3" s="3"/>
      <c r="AM3" s="4"/>
    </row>
    <row r="4">
      <c r="A4" s="30" t="s">
        <v>39</v>
      </c>
      <c r="B4" s="31" t="s">
        <v>40</v>
      </c>
      <c r="C4" s="7"/>
      <c r="D4" s="7"/>
      <c r="E4" s="8"/>
      <c r="F4" s="32"/>
      <c r="G4" s="33" t="s">
        <v>39</v>
      </c>
      <c r="H4" s="34" t="s">
        <v>41</v>
      </c>
      <c r="I4" s="7"/>
      <c r="J4" s="7"/>
      <c r="K4" s="7"/>
      <c r="L4" s="7"/>
      <c r="M4" s="7"/>
      <c r="N4" s="7"/>
      <c r="O4" s="7"/>
      <c r="P4" s="7"/>
      <c r="Q4" s="7"/>
      <c r="R4" s="7"/>
      <c r="S4" s="8"/>
      <c r="T4" s="30" t="s">
        <v>39</v>
      </c>
      <c r="U4" s="35" t="s">
        <v>42</v>
      </c>
      <c r="V4" s="7"/>
      <c r="W4" s="7"/>
      <c r="X4" s="7"/>
      <c r="Y4" s="7"/>
      <c r="Z4" s="7"/>
      <c r="AA4" s="7"/>
      <c r="AB4" s="7"/>
      <c r="AC4" s="7"/>
      <c r="AD4" s="7"/>
      <c r="AE4" s="8"/>
      <c r="AF4" s="36" t="s">
        <v>39</v>
      </c>
      <c r="AG4" s="37"/>
      <c r="AH4" s="37"/>
      <c r="AI4" s="37"/>
      <c r="AJ4" s="37"/>
      <c r="AK4" s="37"/>
      <c r="AL4" s="37"/>
      <c r="AM4" s="37"/>
    </row>
    <row r="5">
      <c r="A5" s="38"/>
      <c r="B5" s="39" t="s">
        <v>43</v>
      </c>
      <c r="E5" s="23"/>
      <c r="F5" s="40"/>
      <c r="G5" s="38"/>
      <c r="H5" s="41" t="s">
        <v>44</v>
      </c>
      <c r="S5" s="23"/>
      <c r="T5" s="38"/>
      <c r="U5" s="42" t="s">
        <v>45</v>
      </c>
      <c r="AE5" s="23"/>
      <c r="AF5" s="38"/>
      <c r="AG5" s="43"/>
      <c r="AH5" s="43"/>
      <c r="AI5" s="43"/>
      <c r="AJ5" s="43"/>
      <c r="AK5" s="43"/>
      <c r="AL5" s="43"/>
      <c r="AM5" s="43"/>
    </row>
    <row r="6">
      <c r="A6" s="44"/>
      <c r="B6" s="45" t="s">
        <v>46</v>
      </c>
      <c r="C6" s="46"/>
      <c r="D6" s="46"/>
      <c r="E6" s="47"/>
      <c r="F6" s="48"/>
      <c r="G6" s="44"/>
      <c r="H6" s="49" t="s">
        <v>47</v>
      </c>
      <c r="S6" s="23"/>
      <c r="T6" s="44"/>
      <c r="U6" s="50" t="s">
        <v>48</v>
      </c>
      <c r="V6" s="46"/>
      <c r="W6" s="46"/>
      <c r="X6" s="46"/>
      <c r="Y6" s="46"/>
      <c r="Z6" s="46"/>
      <c r="AA6" s="46"/>
      <c r="AB6" s="46"/>
      <c r="AC6" s="46"/>
      <c r="AD6" s="46"/>
      <c r="AE6" s="47"/>
      <c r="AF6" s="44"/>
      <c r="AG6" s="51"/>
      <c r="AH6" s="51"/>
      <c r="AI6" s="51"/>
      <c r="AJ6" s="51"/>
      <c r="AK6" s="51"/>
      <c r="AL6" s="51"/>
      <c r="AM6" s="51"/>
    </row>
    <row r="7">
      <c r="A7" s="30" t="s">
        <v>49</v>
      </c>
      <c r="B7" s="31" t="s">
        <v>40</v>
      </c>
      <c r="C7" s="7"/>
      <c r="D7" s="7"/>
      <c r="E7" s="8"/>
      <c r="F7" s="32"/>
      <c r="G7" s="30" t="s">
        <v>49</v>
      </c>
      <c r="H7" s="52" t="s">
        <v>50</v>
      </c>
      <c r="I7" s="7"/>
      <c r="J7" s="7"/>
      <c r="K7" s="7"/>
      <c r="L7" s="7"/>
      <c r="M7" s="7"/>
      <c r="N7" s="7"/>
      <c r="O7" s="7"/>
      <c r="P7" s="7"/>
      <c r="Q7" s="7"/>
      <c r="R7" s="7"/>
      <c r="S7" s="8"/>
      <c r="T7" s="30" t="s">
        <v>49</v>
      </c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36" t="s">
        <v>49</v>
      </c>
      <c r="AG7" s="37"/>
      <c r="AH7" s="37"/>
      <c r="AI7" s="37"/>
      <c r="AJ7" s="37"/>
      <c r="AK7" s="37"/>
      <c r="AL7" s="37"/>
      <c r="AM7" s="37"/>
    </row>
    <row r="8">
      <c r="A8" s="38"/>
      <c r="B8" s="39" t="s">
        <v>43</v>
      </c>
      <c r="E8" s="23"/>
      <c r="F8" s="40"/>
      <c r="G8" s="38"/>
      <c r="H8" s="54" t="s">
        <v>44</v>
      </c>
      <c r="S8" s="23"/>
      <c r="T8" s="38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38"/>
      <c r="AG8" s="43"/>
      <c r="AH8" s="43"/>
      <c r="AI8" s="43"/>
      <c r="AJ8" s="43"/>
      <c r="AK8" s="43"/>
      <c r="AL8" s="43"/>
      <c r="AM8" s="43"/>
    </row>
    <row r="9">
      <c r="A9" s="44"/>
      <c r="B9" s="45" t="s">
        <v>46</v>
      </c>
      <c r="C9" s="46"/>
      <c r="D9" s="46"/>
      <c r="E9" s="47"/>
      <c r="F9" s="48"/>
      <c r="G9" s="44"/>
      <c r="H9" s="56" t="s">
        <v>47</v>
      </c>
      <c r="I9" s="46"/>
      <c r="J9" s="46"/>
      <c r="K9" s="46"/>
      <c r="L9" s="46"/>
      <c r="M9" s="46"/>
      <c r="N9" s="46"/>
      <c r="O9" s="46"/>
      <c r="P9" s="46"/>
      <c r="Q9" s="46"/>
      <c r="R9" s="46"/>
      <c r="S9" s="47"/>
      <c r="T9" s="44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44"/>
      <c r="AG9" s="51"/>
      <c r="AH9" s="51"/>
      <c r="AI9" s="51"/>
      <c r="AJ9" s="51"/>
      <c r="AK9" s="51"/>
      <c r="AL9" s="51"/>
      <c r="AM9" s="51"/>
    </row>
    <row r="10" ht="18.0" customHeight="1">
      <c r="A10" s="30" t="s">
        <v>51</v>
      </c>
      <c r="B10" s="58"/>
      <c r="C10" s="58"/>
      <c r="D10" s="58"/>
      <c r="E10" s="58"/>
      <c r="F10" s="58"/>
      <c r="G10" s="30" t="s">
        <v>51</v>
      </c>
      <c r="I10" s="59" t="s">
        <v>52</v>
      </c>
      <c r="J10" s="58"/>
      <c r="K10" s="60"/>
      <c r="L10" s="59" t="s">
        <v>52</v>
      </c>
      <c r="M10" s="60"/>
      <c r="N10" s="61"/>
      <c r="O10" s="59" t="s">
        <v>52</v>
      </c>
      <c r="P10" s="60"/>
      <c r="Q10" s="59" t="s">
        <v>52</v>
      </c>
      <c r="R10" s="62"/>
      <c r="S10" s="63"/>
      <c r="T10" s="30" t="s">
        <v>51</v>
      </c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36" t="s">
        <v>51</v>
      </c>
      <c r="AG10" s="37"/>
      <c r="AH10" s="37"/>
      <c r="AI10" s="37"/>
      <c r="AJ10" s="37"/>
      <c r="AK10" s="37"/>
      <c r="AL10" s="37"/>
      <c r="AM10" s="37"/>
    </row>
    <row r="11" ht="17.25" customHeight="1">
      <c r="A11" s="38"/>
      <c r="B11" s="64"/>
      <c r="C11" s="64"/>
      <c r="D11" s="64"/>
      <c r="E11" s="64"/>
      <c r="F11" s="64"/>
      <c r="G11" s="38"/>
      <c r="I11" s="65" t="s">
        <v>53</v>
      </c>
      <c r="J11" s="66"/>
      <c r="K11" s="60"/>
      <c r="L11" s="67" t="s">
        <v>54</v>
      </c>
      <c r="M11" s="60"/>
      <c r="N11" s="66"/>
      <c r="O11" s="67" t="s">
        <v>55</v>
      </c>
      <c r="P11" s="60"/>
      <c r="Q11" s="67" t="s">
        <v>56</v>
      </c>
      <c r="R11" s="68"/>
      <c r="S11" s="69"/>
      <c r="T11" s="38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38"/>
      <c r="AG11" s="43"/>
      <c r="AH11" s="43"/>
      <c r="AI11" s="43"/>
      <c r="AJ11" s="43"/>
      <c r="AK11" s="43"/>
      <c r="AL11" s="43"/>
      <c r="AM11" s="43"/>
    </row>
    <row r="12">
      <c r="A12" s="44"/>
      <c r="B12" s="70"/>
      <c r="C12" s="70"/>
      <c r="D12" s="70"/>
      <c r="E12" s="70"/>
      <c r="F12" s="70"/>
      <c r="G12" s="44"/>
      <c r="I12" s="71">
        <v>461.0</v>
      </c>
      <c r="J12" s="70"/>
      <c r="K12" s="72"/>
      <c r="L12" s="73">
        <v>460.0</v>
      </c>
      <c r="M12" s="60"/>
      <c r="N12" s="74"/>
      <c r="O12" s="73" t="s">
        <v>57</v>
      </c>
      <c r="P12" s="60"/>
      <c r="Q12" s="73" t="s">
        <v>58</v>
      </c>
      <c r="R12" s="75"/>
      <c r="S12" s="76"/>
      <c r="T12" s="44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44"/>
      <c r="AG12" s="51"/>
      <c r="AH12" s="51"/>
      <c r="AI12" s="51"/>
      <c r="AJ12" s="51"/>
      <c r="AK12" s="51"/>
      <c r="AL12" s="51"/>
      <c r="AM12" s="51"/>
    </row>
    <row r="13">
      <c r="A13" s="30" t="s">
        <v>59</v>
      </c>
      <c r="B13" s="77" t="s">
        <v>60</v>
      </c>
      <c r="C13" s="7"/>
      <c r="D13" s="7"/>
      <c r="E13" s="8"/>
      <c r="F13" s="78"/>
      <c r="G13" s="30" t="s">
        <v>59</v>
      </c>
      <c r="H13" s="59" t="s">
        <v>52</v>
      </c>
      <c r="I13" s="62"/>
      <c r="J13" s="59" t="s">
        <v>52</v>
      </c>
      <c r="K13" s="62"/>
      <c r="L13" s="60"/>
      <c r="M13" s="59" t="s">
        <v>52</v>
      </c>
      <c r="N13" s="53"/>
      <c r="O13" s="60"/>
      <c r="P13" s="59" t="s">
        <v>52</v>
      </c>
      <c r="Q13" s="53"/>
      <c r="R13" s="59" t="s">
        <v>52</v>
      </c>
      <c r="T13" s="30" t="s">
        <v>59</v>
      </c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36" t="s">
        <v>59</v>
      </c>
      <c r="AG13" s="37"/>
      <c r="AH13" s="37"/>
      <c r="AI13" s="37"/>
      <c r="AJ13" s="37"/>
      <c r="AK13" s="37"/>
      <c r="AL13" s="37"/>
      <c r="AM13" s="37"/>
    </row>
    <row r="14">
      <c r="A14" s="38"/>
      <c r="B14" s="79" t="s">
        <v>61</v>
      </c>
      <c r="E14" s="23"/>
      <c r="F14" s="80"/>
      <c r="G14" s="38"/>
      <c r="H14" s="65" t="s">
        <v>62</v>
      </c>
      <c r="I14" s="68"/>
      <c r="J14" s="67" t="s">
        <v>53</v>
      </c>
      <c r="K14" s="68"/>
      <c r="L14" s="60"/>
      <c r="M14" s="67" t="s">
        <v>54</v>
      </c>
      <c r="N14" s="55"/>
      <c r="O14" s="60"/>
      <c r="P14" s="67" t="s">
        <v>55</v>
      </c>
      <c r="Q14" s="55"/>
      <c r="R14" s="67" t="s">
        <v>56</v>
      </c>
      <c r="T14" s="38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38"/>
      <c r="AG14" s="43"/>
      <c r="AH14" s="43"/>
      <c r="AI14" s="43"/>
      <c r="AJ14" s="43"/>
      <c r="AK14" s="43"/>
      <c r="AL14" s="43"/>
      <c r="AM14" s="43"/>
    </row>
    <row r="15" ht="17.25" customHeight="1">
      <c r="A15" s="44"/>
      <c r="B15" s="81" t="s">
        <v>63</v>
      </c>
      <c r="C15" s="46"/>
      <c r="D15" s="46"/>
      <c r="E15" s="47"/>
      <c r="F15" s="82"/>
      <c r="G15" s="44"/>
      <c r="H15" s="71">
        <v>209.0</v>
      </c>
      <c r="I15" s="75"/>
      <c r="J15" s="73">
        <v>461.0</v>
      </c>
      <c r="K15" s="75"/>
      <c r="L15" s="60"/>
      <c r="M15" s="73">
        <v>460.0</v>
      </c>
      <c r="N15" s="57"/>
      <c r="O15" s="60"/>
      <c r="P15" s="73" t="s">
        <v>57</v>
      </c>
      <c r="Q15" s="57"/>
      <c r="R15" s="73" t="s">
        <v>58</v>
      </c>
      <c r="T15" s="44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44"/>
      <c r="AG15" s="51"/>
      <c r="AH15" s="51"/>
      <c r="AI15" s="51"/>
      <c r="AJ15" s="51"/>
      <c r="AK15" s="51"/>
      <c r="AL15" s="51"/>
      <c r="AM15" s="51"/>
    </row>
    <row r="16">
      <c r="A16" s="30" t="s">
        <v>64</v>
      </c>
      <c r="B16" s="58"/>
      <c r="C16" s="58"/>
      <c r="D16" s="58"/>
      <c r="E16" s="58"/>
      <c r="F16" s="58"/>
      <c r="G16" s="33" t="s">
        <v>64</v>
      </c>
      <c r="H16" s="61"/>
      <c r="I16" s="62"/>
      <c r="J16" s="62"/>
      <c r="K16" s="83" t="s">
        <v>52</v>
      </c>
      <c r="L16" s="62"/>
      <c r="M16" s="62"/>
      <c r="N16" s="59" t="s">
        <v>52</v>
      </c>
      <c r="O16" s="62"/>
      <c r="P16" s="62"/>
      <c r="Q16" s="60"/>
      <c r="R16" s="61"/>
      <c r="S16" s="59" t="s">
        <v>52</v>
      </c>
      <c r="T16" s="30" t="s">
        <v>64</v>
      </c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36" t="s">
        <v>64</v>
      </c>
      <c r="AG16" s="37"/>
      <c r="AH16" s="37"/>
      <c r="AI16" s="37"/>
      <c r="AJ16" s="37"/>
      <c r="AK16" s="37"/>
      <c r="AL16" s="37"/>
      <c r="AM16" s="37"/>
    </row>
    <row r="17">
      <c r="A17" s="38"/>
      <c r="B17" s="64"/>
      <c r="C17" s="64"/>
      <c r="D17" s="64"/>
      <c r="E17" s="64"/>
      <c r="F17" s="64"/>
      <c r="G17" s="38"/>
      <c r="H17" s="66"/>
      <c r="I17" s="68"/>
      <c r="J17" s="68"/>
      <c r="K17" s="84" t="s">
        <v>53</v>
      </c>
      <c r="L17" s="68"/>
      <c r="M17" s="68"/>
      <c r="N17" s="67" t="s">
        <v>54</v>
      </c>
      <c r="O17" s="68"/>
      <c r="P17" s="68"/>
      <c r="Q17" s="60"/>
      <c r="R17" s="66"/>
      <c r="S17" s="67" t="s">
        <v>65</v>
      </c>
      <c r="T17" s="38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38"/>
      <c r="AG17" s="43"/>
      <c r="AH17" s="43"/>
      <c r="AI17" s="43"/>
      <c r="AJ17" s="43"/>
      <c r="AK17" s="43"/>
      <c r="AL17" s="43"/>
      <c r="AM17" s="43"/>
    </row>
    <row r="18">
      <c r="A18" s="44"/>
      <c r="B18" s="85"/>
      <c r="C18" s="85"/>
      <c r="D18" s="85"/>
      <c r="E18" s="85"/>
      <c r="F18" s="85"/>
      <c r="G18" s="44"/>
      <c r="H18" s="74"/>
      <c r="I18" s="75"/>
      <c r="J18" s="75"/>
      <c r="K18" s="71">
        <v>461.0</v>
      </c>
      <c r="L18" s="75"/>
      <c r="M18" s="75"/>
      <c r="N18" s="73">
        <v>460.0</v>
      </c>
      <c r="O18" s="75"/>
      <c r="P18" s="75"/>
      <c r="Q18" s="60"/>
      <c r="R18" s="74"/>
      <c r="S18" s="73">
        <v>209.0</v>
      </c>
      <c r="T18" s="44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44"/>
      <c r="AG18" s="51"/>
      <c r="AH18" s="51"/>
      <c r="AI18" s="51"/>
      <c r="AJ18" s="51"/>
      <c r="AK18" s="51"/>
      <c r="AL18" s="51"/>
      <c r="AM18" s="51"/>
    </row>
    <row r="19">
      <c r="A19" s="30" t="s">
        <v>66</v>
      </c>
      <c r="B19" s="58"/>
      <c r="C19" s="58"/>
      <c r="D19" s="58"/>
      <c r="E19" s="58"/>
      <c r="F19" s="58"/>
      <c r="G19" s="30" t="s">
        <v>66</v>
      </c>
      <c r="H19" s="86" t="s">
        <v>67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8"/>
      <c r="T19" s="30" t="s">
        <v>66</v>
      </c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36" t="s">
        <v>66</v>
      </c>
      <c r="AG19" s="43"/>
      <c r="AH19" s="43"/>
      <c r="AI19" s="43"/>
      <c r="AJ19" s="43"/>
      <c r="AK19" s="43"/>
      <c r="AL19" s="43"/>
      <c r="AM19" s="43"/>
    </row>
    <row r="20">
      <c r="A20" s="38"/>
      <c r="B20" s="64"/>
      <c r="C20" s="64"/>
      <c r="D20" s="64"/>
      <c r="E20" s="64"/>
      <c r="F20" s="64"/>
      <c r="G20" s="38"/>
      <c r="H20" s="87" t="s">
        <v>68</v>
      </c>
      <c r="S20" s="23"/>
      <c r="T20" s="38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38"/>
      <c r="AG20" s="43"/>
      <c r="AH20" s="43"/>
      <c r="AI20" s="43"/>
      <c r="AJ20" s="43"/>
      <c r="AK20" s="43"/>
      <c r="AL20" s="43"/>
      <c r="AM20" s="43"/>
    </row>
    <row r="21">
      <c r="A21" s="44"/>
      <c r="B21" s="85"/>
      <c r="C21" s="85"/>
      <c r="D21" s="85"/>
      <c r="E21" s="85"/>
      <c r="F21" s="85"/>
      <c r="G21" s="44"/>
      <c r="H21" s="88" t="s">
        <v>69</v>
      </c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7"/>
      <c r="T21" s="44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44"/>
      <c r="AG21" s="43"/>
      <c r="AH21" s="43"/>
      <c r="AI21" s="43"/>
      <c r="AJ21" s="43"/>
      <c r="AK21" s="43"/>
      <c r="AL21" s="43"/>
      <c r="AM21" s="43"/>
    </row>
    <row r="22">
      <c r="A22" s="30" t="s">
        <v>70</v>
      </c>
      <c r="B22" s="58"/>
      <c r="C22" s="58"/>
      <c r="D22" s="58"/>
      <c r="E22" s="58"/>
      <c r="F22" s="58"/>
      <c r="G22" s="30" t="s">
        <v>70</v>
      </c>
      <c r="H22" s="86" t="s">
        <v>71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8"/>
      <c r="T22" s="30" t="s">
        <v>70</v>
      </c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36" t="s">
        <v>70</v>
      </c>
      <c r="AG22" s="37"/>
      <c r="AH22" s="37"/>
      <c r="AI22" s="37"/>
      <c r="AJ22" s="37"/>
      <c r="AK22" s="37"/>
      <c r="AL22" s="37"/>
      <c r="AM22" s="37"/>
    </row>
    <row r="23">
      <c r="A23" s="38"/>
      <c r="B23" s="64"/>
      <c r="C23" s="64"/>
      <c r="D23" s="64"/>
      <c r="E23" s="64"/>
      <c r="F23" s="64"/>
      <c r="G23" s="38"/>
      <c r="H23" s="89" t="s">
        <v>72</v>
      </c>
      <c r="S23" s="23"/>
      <c r="T23" s="38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38"/>
      <c r="AG23" s="43"/>
      <c r="AH23" s="43"/>
      <c r="AI23" s="43"/>
      <c r="AJ23" s="43"/>
      <c r="AK23" s="43"/>
      <c r="AL23" s="43"/>
      <c r="AM23" s="43"/>
    </row>
    <row r="24">
      <c r="A24" s="44"/>
      <c r="B24" s="85"/>
      <c r="C24" s="85"/>
      <c r="D24" s="85"/>
      <c r="E24" s="85"/>
      <c r="F24" s="85"/>
      <c r="G24" s="44"/>
      <c r="H24" s="88" t="s">
        <v>73</v>
      </c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7"/>
      <c r="T24" s="44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44"/>
      <c r="AG24" s="51"/>
      <c r="AH24" s="51"/>
      <c r="AI24" s="51"/>
      <c r="AJ24" s="51"/>
      <c r="AK24" s="51"/>
      <c r="AL24" s="51"/>
      <c r="AM24" s="51"/>
    </row>
    <row r="25">
      <c r="A25" s="90" t="s">
        <v>74</v>
      </c>
      <c r="B25" s="22"/>
      <c r="C25" s="22"/>
      <c r="D25" s="22"/>
      <c r="E25" s="22"/>
      <c r="F25" s="22"/>
      <c r="G25" s="90" t="s">
        <v>74</v>
      </c>
      <c r="H25" s="91"/>
      <c r="I25" s="7"/>
      <c r="J25" s="7"/>
      <c r="K25" s="7"/>
      <c r="L25" s="7"/>
      <c r="M25" s="7"/>
      <c r="N25" s="7"/>
      <c r="O25" s="7"/>
      <c r="P25" s="7"/>
      <c r="Q25" s="8"/>
      <c r="R25" s="91"/>
      <c r="S25" s="91"/>
      <c r="T25" s="92" t="s">
        <v>74</v>
      </c>
      <c r="U25" s="27"/>
      <c r="V25" s="3"/>
      <c r="W25" s="3"/>
      <c r="X25" s="3"/>
      <c r="Y25" s="3"/>
      <c r="Z25" s="3"/>
      <c r="AA25" s="3"/>
      <c r="AB25" s="3"/>
      <c r="AC25" s="3"/>
      <c r="AD25" s="3"/>
      <c r="AE25" s="4"/>
      <c r="AF25" s="28" t="s">
        <v>74</v>
      </c>
      <c r="AG25" s="29"/>
      <c r="AH25" s="3"/>
      <c r="AI25" s="3"/>
      <c r="AJ25" s="3"/>
      <c r="AK25" s="3"/>
      <c r="AL25" s="3"/>
      <c r="AM25" s="4"/>
    </row>
    <row r="26">
      <c r="A26" s="30" t="s">
        <v>39</v>
      </c>
      <c r="B26" s="31" t="s">
        <v>40</v>
      </c>
      <c r="C26" s="7"/>
      <c r="D26" s="7"/>
      <c r="E26" s="8"/>
      <c r="F26" s="32"/>
      <c r="G26" s="30" t="s">
        <v>39</v>
      </c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30" t="s">
        <v>39</v>
      </c>
      <c r="U26" s="53"/>
      <c r="V26" s="53"/>
      <c r="W26" s="62"/>
      <c r="X26" s="93"/>
      <c r="Y26" s="53"/>
      <c r="Z26" s="62"/>
      <c r="AA26" s="93"/>
      <c r="AB26" s="53"/>
      <c r="AC26" s="53"/>
      <c r="AD26" s="94"/>
      <c r="AE26" s="94"/>
      <c r="AF26" s="95" t="s">
        <v>39</v>
      </c>
      <c r="AG26" s="96"/>
      <c r="AH26" s="96"/>
      <c r="AI26" s="96"/>
      <c r="AJ26" s="96"/>
      <c r="AK26" s="96"/>
      <c r="AL26" s="96"/>
      <c r="AM26" s="96"/>
    </row>
    <row r="27">
      <c r="A27" s="38"/>
      <c r="B27" s="39" t="s">
        <v>43</v>
      </c>
      <c r="E27" s="23"/>
      <c r="F27" s="40"/>
      <c r="G27" s="38"/>
      <c r="H27" s="43"/>
      <c r="I27" s="43"/>
      <c r="J27" s="43"/>
      <c r="K27" s="43"/>
      <c r="L27" s="97"/>
      <c r="M27" s="43"/>
      <c r="N27" s="43"/>
      <c r="O27" s="43"/>
      <c r="P27" s="43"/>
      <c r="Q27" s="43"/>
      <c r="R27" s="43"/>
      <c r="S27" s="43"/>
      <c r="T27" s="38"/>
      <c r="U27" s="55"/>
      <c r="V27" s="55"/>
      <c r="W27" s="68"/>
      <c r="X27" s="98"/>
      <c r="Y27" s="55"/>
      <c r="Z27" s="68"/>
      <c r="AA27" s="98"/>
      <c r="AB27" s="55"/>
      <c r="AC27" s="55"/>
      <c r="AD27" s="99"/>
      <c r="AE27" s="99"/>
      <c r="AF27" s="38"/>
      <c r="AG27" s="100"/>
      <c r="AH27" s="100"/>
      <c r="AI27" s="100"/>
      <c r="AJ27" s="100"/>
      <c r="AK27" s="100"/>
      <c r="AL27" s="100"/>
      <c r="AM27" s="100"/>
    </row>
    <row r="28">
      <c r="A28" s="44"/>
      <c r="B28" s="45" t="s">
        <v>75</v>
      </c>
      <c r="C28" s="46"/>
      <c r="D28" s="46"/>
      <c r="E28" s="47"/>
      <c r="F28" s="48"/>
      <c r="G28" s="44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44"/>
      <c r="U28" s="55"/>
      <c r="V28" s="55"/>
      <c r="W28" s="68"/>
      <c r="X28" s="98"/>
      <c r="Y28" s="55"/>
      <c r="Z28" s="68"/>
      <c r="AA28" s="98"/>
      <c r="AB28" s="55"/>
      <c r="AC28" s="55"/>
      <c r="AD28" s="55"/>
      <c r="AE28" s="55"/>
      <c r="AF28" s="44"/>
      <c r="AG28" s="51"/>
      <c r="AH28" s="51"/>
      <c r="AI28" s="51"/>
      <c r="AJ28" s="51"/>
      <c r="AK28" s="51"/>
      <c r="AL28" s="51"/>
      <c r="AM28" s="51"/>
    </row>
    <row r="29">
      <c r="A29" s="30" t="s">
        <v>49</v>
      </c>
      <c r="B29" s="31" t="s">
        <v>40</v>
      </c>
      <c r="C29" s="7"/>
      <c r="D29" s="7"/>
      <c r="E29" s="8"/>
      <c r="F29" s="32"/>
      <c r="G29" s="30" t="s">
        <v>49</v>
      </c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30" t="s">
        <v>49</v>
      </c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101" t="s">
        <v>49</v>
      </c>
      <c r="AG29" s="37"/>
      <c r="AH29" s="60"/>
      <c r="AI29" s="102" t="s">
        <v>76</v>
      </c>
      <c r="AJ29" s="37"/>
      <c r="AK29" s="37"/>
      <c r="AL29" s="37"/>
      <c r="AM29" s="103" t="s">
        <v>77</v>
      </c>
    </row>
    <row r="30">
      <c r="A30" s="38"/>
      <c r="B30" s="39" t="s">
        <v>43</v>
      </c>
      <c r="E30" s="23"/>
      <c r="F30" s="40"/>
      <c r="G30" s="38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38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23"/>
      <c r="AG30" s="43"/>
      <c r="AH30" s="60"/>
      <c r="AI30" s="104" t="s">
        <v>78</v>
      </c>
      <c r="AJ30" s="43"/>
      <c r="AK30" s="43"/>
      <c r="AL30" s="43"/>
      <c r="AM30" s="105" t="s">
        <v>79</v>
      </c>
    </row>
    <row r="31">
      <c r="A31" s="44"/>
      <c r="B31" s="45" t="s">
        <v>75</v>
      </c>
      <c r="C31" s="46"/>
      <c r="D31" s="46"/>
      <c r="E31" s="47"/>
      <c r="F31" s="48"/>
      <c r="G31" s="44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44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47"/>
      <c r="AG31" s="51"/>
      <c r="AH31" s="60"/>
      <c r="AI31" s="106" t="s">
        <v>80</v>
      </c>
      <c r="AJ31" s="51"/>
      <c r="AK31" s="51"/>
      <c r="AL31" s="51"/>
      <c r="AM31" s="107" t="s">
        <v>81</v>
      </c>
    </row>
    <row r="32">
      <c r="A32" s="30" t="s">
        <v>51</v>
      </c>
      <c r="B32" s="58"/>
      <c r="C32" s="58"/>
      <c r="D32" s="58"/>
      <c r="E32" s="58"/>
      <c r="F32" s="58"/>
      <c r="G32" s="30" t="s">
        <v>51</v>
      </c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30" t="s">
        <v>51</v>
      </c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36" t="s">
        <v>51</v>
      </c>
      <c r="AG32" s="37"/>
      <c r="AH32" s="37"/>
      <c r="AI32" s="37"/>
      <c r="AJ32" s="37"/>
      <c r="AK32" s="37"/>
      <c r="AL32" s="37"/>
      <c r="AM32" s="37"/>
    </row>
    <row r="33">
      <c r="A33" s="38"/>
      <c r="B33" s="64"/>
      <c r="C33" s="64"/>
      <c r="D33" s="64"/>
      <c r="E33" s="64"/>
      <c r="F33" s="64"/>
      <c r="G33" s="38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38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38"/>
      <c r="AG33" s="43"/>
      <c r="AH33" s="43"/>
      <c r="AI33" s="43"/>
      <c r="AJ33" s="43"/>
      <c r="AK33" s="43"/>
      <c r="AL33" s="43"/>
      <c r="AM33" s="43"/>
    </row>
    <row r="34">
      <c r="A34" s="44"/>
      <c r="B34" s="85"/>
      <c r="C34" s="85"/>
      <c r="D34" s="85"/>
      <c r="E34" s="85"/>
      <c r="F34" s="85"/>
      <c r="G34" s="44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44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44"/>
      <c r="AG34" s="51"/>
      <c r="AH34" s="51"/>
      <c r="AI34" s="51"/>
      <c r="AJ34" s="51"/>
      <c r="AK34" s="51"/>
      <c r="AL34" s="51"/>
      <c r="AM34" s="51"/>
    </row>
    <row r="35">
      <c r="A35" s="30" t="s">
        <v>59</v>
      </c>
      <c r="B35" s="58"/>
      <c r="C35" s="58"/>
      <c r="D35" s="58"/>
      <c r="E35" s="58"/>
      <c r="F35" s="58"/>
      <c r="G35" s="30" t="s">
        <v>59</v>
      </c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30" t="s">
        <v>59</v>
      </c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36" t="s">
        <v>59</v>
      </c>
      <c r="AG35" s="37"/>
      <c r="AH35" s="37"/>
      <c r="AI35" s="37"/>
      <c r="AJ35" s="37"/>
      <c r="AK35" s="37"/>
      <c r="AL35" s="37"/>
      <c r="AM35" s="37"/>
    </row>
    <row r="36">
      <c r="A36" s="38"/>
      <c r="B36" s="64"/>
      <c r="C36" s="64"/>
      <c r="D36" s="64"/>
      <c r="E36" s="64"/>
      <c r="F36" s="64"/>
      <c r="G36" s="38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38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38"/>
      <c r="AG36" s="43"/>
      <c r="AH36" s="43"/>
      <c r="AI36" s="43"/>
      <c r="AJ36" s="43"/>
      <c r="AK36" s="43"/>
      <c r="AL36" s="43"/>
      <c r="AM36" s="43"/>
    </row>
    <row r="37">
      <c r="A37" s="44"/>
      <c r="B37" s="85"/>
      <c r="C37" s="85"/>
      <c r="D37" s="85"/>
      <c r="E37" s="85"/>
      <c r="F37" s="85"/>
      <c r="G37" s="44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44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44"/>
      <c r="AG37" s="51"/>
      <c r="AH37" s="51"/>
      <c r="AI37" s="51"/>
      <c r="AJ37" s="51"/>
      <c r="AK37" s="51"/>
      <c r="AL37" s="51"/>
      <c r="AM37" s="51"/>
    </row>
    <row r="38">
      <c r="A38" s="30" t="s">
        <v>64</v>
      </c>
      <c r="B38" s="58"/>
      <c r="C38" s="58"/>
      <c r="D38" s="58"/>
      <c r="E38" s="58"/>
      <c r="F38" s="58"/>
      <c r="G38" s="30" t="s">
        <v>64</v>
      </c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30" t="s">
        <v>64</v>
      </c>
      <c r="U38" s="53"/>
      <c r="V38" s="53"/>
      <c r="W38" s="53"/>
      <c r="X38" s="53"/>
      <c r="Y38" s="53"/>
      <c r="Z38" s="53"/>
      <c r="AA38" s="53"/>
      <c r="AB38" s="53"/>
      <c r="AC38" s="53"/>
      <c r="AD38" s="94"/>
      <c r="AE38" s="94"/>
      <c r="AF38" s="95" t="s">
        <v>64</v>
      </c>
      <c r="AG38" s="96"/>
      <c r="AH38" s="96"/>
      <c r="AI38" s="96"/>
      <c r="AJ38" s="96"/>
      <c r="AK38" s="96"/>
      <c r="AL38" s="96"/>
      <c r="AM38" s="96"/>
    </row>
    <row r="39">
      <c r="A39" s="38"/>
      <c r="B39" s="64"/>
      <c r="C39" s="64"/>
      <c r="D39" s="64"/>
      <c r="E39" s="64"/>
      <c r="F39" s="64"/>
      <c r="G39" s="38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38"/>
      <c r="U39" s="55"/>
      <c r="V39" s="55"/>
      <c r="W39" s="55"/>
      <c r="X39" s="55"/>
      <c r="Y39" s="55"/>
      <c r="Z39" s="55"/>
      <c r="AA39" s="55"/>
      <c r="AB39" s="55"/>
      <c r="AC39" s="55"/>
      <c r="AD39" s="99"/>
      <c r="AE39" s="99"/>
      <c r="AF39" s="38"/>
      <c r="AG39" s="100"/>
      <c r="AH39" s="100"/>
      <c r="AI39" s="100"/>
      <c r="AJ39" s="100"/>
      <c r="AK39" s="100"/>
      <c r="AL39" s="100"/>
      <c r="AM39" s="100"/>
    </row>
    <row r="40">
      <c r="A40" s="44"/>
      <c r="B40" s="85"/>
      <c r="C40" s="85"/>
      <c r="D40" s="85"/>
      <c r="E40" s="85"/>
      <c r="F40" s="85"/>
      <c r="G40" s="44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44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44"/>
      <c r="AG40" s="51"/>
      <c r="AH40" s="51"/>
      <c r="AI40" s="51"/>
      <c r="AJ40" s="51"/>
      <c r="AK40" s="51"/>
      <c r="AL40" s="51"/>
      <c r="AM40" s="51"/>
    </row>
    <row r="41">
      <c r="A41" s="30" t="s">
        <v>66</v>
      </c>
      <c r="B41" s="58"/>
      <c r="C41" s="58"/>
      <c r="D41" s="58"/>
      <c r="E41" s="58"/>
      <c r="F41" s="58"/>
      <c r="G41" s="30" t="s">
        <v>66</v>
      </c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30" t="s">
        <v>66</v>
      </c>
      <c r="U41" s="53"/>
      <c r="V41" s="53"/>
      <c r="W41" s="53"/>
      <c r="X41" s="53"/>
      <c r="Y41" s="53"/>
      <c r="Z41" s="53"/>
      <c r="AA41" s="53"/>
      <c r="AB41" s="53"/>
      <c r="AC41" s="53"/>
      <c r="AD41" s="94"/>
      <c r="AE41" s="94"/>
      <c r="AF41" s="95" t="s">
        <v>66</v>
      </c>
      <c r="AG41" s="96"/>
      <c r="AH41" s="96"/>
      <c r="AI41" s="96"/>
      <c r="AJ41" s="96"/>
      <c r="AK41" s="96"/>
      <c r="AL41" s="96"/>
      <c r="AM41" s="96"/>
    </row>
    <row r="42">
      <c r="A42" s="38"/>
      <c r="B42" s="64"/>
      <c r="C42" s="64"/>
      <c r="D42" s="64"/>
      <c r="E42" s="64"/>
      <c r="F42" s="64"/>
      <c r="G42" s="3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38"/>
      <c r="U42" s="55"/>
      <c r="V42" s="55"/>
      <c r="W42" s="55"/>
      <c r="X42" s="55"/>
      <c r="Y42" s="55"/>
      <c r="Z42" s="55"/>
      <c r="AA42" s="55"/>
      <c r="AB42" s="55"/>
      <c r="AC42" s="55"/>
      <c r="AD42" s="99"/>
      <c r="AE42" s="99"/>
      <c r="AF42" s="38"/>
      <c r="AG42" s="100"/>
      <c r="AH42" s="100"/>
      <c r="AI42" s="100"/>
      <c r="AJ42" s="100"/>
      <c r="AK42" s="100"/>
      <c r="AL42" s="100"/>
      <c r="AM42" s="100"/>
    </row>
    <row r="43">
      <c r="A43" s="44"/>
      <c r="B43" s="85"/>
      <c r="C43" s="85"/>
      <c r="D43" s="85"/>
      <c r="E43" s="85"/>
      <c r="F43" s="85"/>
      <c r="G43" s="44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44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44"/>
      <c r="AG43" s="51"/>
      <c r="AH43" s="51"/>
      <c r="AI43" s="51"/>
      <c r="AJ43" s="51"/>
      <c r="AK43" s="51"/>
      <c r="AL43" s="51"/>
      <c r="AM43" s="51"/>
    </row>
    <row r="44">
      <c r="A44" s="90" t="s">
        <v>82</v>
      </c>
      <c r="B44" s="22"/>
      <c r="C44" s="22"/>
      <c r="D44" s="22"/>
      <c r="E44" s="22"/>
      <c r="F44" s="22"/>
      <c r="G44" s="90" t="s">
        <v>82</v>
      </c>
      <c r="H44" s="91"/>
      <c r="I44" s="7"/>
      <c r="J44" s="7"/>
      <c r="K44" s="7"/>
      <c r="L44" s="7"/>
      <c r="M44" s="7"/>
      <c r="N44" s="7"/>
      <c r="O44" s="7"/>
      <c r="P44" s="7"/>
      <c r="Q44" s="8"/>
      <c r="R44" s="91"/>
      <c r="S44" s="91"/>
      <c r="T44" s="92" t="s">
        <v>82</v>
      </c>
      <c r="U44" s="27"/>
      <c r="V44" s="3"/>
      <c r="W44" s="3"/>
      <c r="X44" s="3"/>
      <c r="Y44" s="3"/>
      <c r="Z44" s="3"/>
      <c r="AA44" s="3"/>
      <c r="AB44" s="3"/>
      <c r="AC44" s="3"/>
      <c r="AD44" s="3"/>
      <c r="AE44" s="4"/>
      <c r="AF44" s="28" t="s">
        <v>82</v>
      </c>
      <c r="AG44" s="29"/>
      <c r="AH44" s="3"/>
      <c r="AI44" s="3"/>
      <c r="AJ44" s="3"/>
      <c r="AK44" s="3"/>
      <c r="AL44" s="3"/>
      <c r="AM44" s="4"/>
    </row>
    <row r="45">
      <c r="A45" s="30" t="s">
        <v>39</v>
      </c>
      <c r="B45" s="31" t="s">
        <v>40</v>
      </c>
      <c r="C45" s="7"/>
      <c r="D45" s="7"/>
      <c r="E45" s="8"/>
      <c r="F45" s="32"/>
      <c r="G45" s="30" t="s">
        <v>39</v>
      </c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30" t="s">
        <v>39</v>
      </c>
      <c r="U45" s="53"/>
      <c r="V45" s="53"/>
      <c r="W45" s="53"/>
      <c r="X45" s="53"/>
      <c r="Y45" s="53"/>
      <c r="Z45" s="53"/>
      <c r="AA45" s="53"/>
      <c r="AB45" s="53"/>
      <c r="AC45" s="53"/>
      <c r="AD45" s="94"/>
      <c r="AE45" s="94"/>
      <c r="AF45" s="95" t="s">
        <v>39</v>
      </c>
      <c r="AG45" s="96"/>
      <c r="AH45" s="96"/>
      <c r="AI45" s="96"/>
      <c r="AJ45" s="96"/>
      <c r="AK45" s="96"/>
      <c r="AL45" s="96"/>
      <c r="AM45" s="96"/>
    </row>
    <row r="46">
      <c r="A46" s="38"/>
      <c r="B46" s="39" t="s">
        <v>43</v>
      </c>
      <c r="E46" s="23"/>
      <c r="F46" s="40"/>
      <c r="G46" s="38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38"/>
      <c r="U46" s="55"/>
      <c r="V46" s="55"/>
      <c r="W46" s="55"/>
      <c r="X46" s="55"/>
      <c r="Y46" s="55"/>
      <c r="Z46" s="55"/>
      <c r="AA46" s="55"/>
      <c r="AB46" s="55"/>
      <c r="AC46" s="55"/>
      <c r="AD46" s="99"/>
      <c r="AE46" s="99"/>
      <c r="AF46" s="38"/>
      <c r="AG46" s="100"/>
      <c r="AH46" s="100"/>
      <c r="AI46" s="100"/>
      <c r="AJ46" s="100"/>
      <c r="AK46" s="100"/>
      <c r="AL46" s="100"/>
      <c r="AM46" s="100"/>
    </row>
    <row r="47">
      <c r="A47" s="44"/>
      <c r="B47" s="45" t="s">
        <v>83</v>
      </c>
      <c r="C47" s="46"/>
      <c r="D47" s="46"/>
      <c r="E47" s="47"/>
      <c r="F47" s="48"/>
      <c r="G47" s="44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44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44"/>
      <c r="AG47" s="51"/>
      <c r="AH47" s="51"/>
      <c r="AI47" s="51"/>
      <c r="AJ47" s="51"/>
      <c r="AK47" s="51"/>
      <c r="AL47" s="51"/>
      <c r="AM47" s="51"/>
    </row>
    <row r="48">
      <c r="A48" s="30" t="s">
        <v>49</v>
      </c>
      <c r="B48" s="58"/>
      <c r="C48" s="58"/>
      <c r="D48" s="58"/>
      <c r="E48" s="58"/>
      <c r="F48" s="58"/>
      <c r="G48" s="30" t="s">
        <v>49</v>
      </c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30" t="s">
        <v>49</v>
      </c>
      <c r="U48" s="53"/>
      <c r="V48" s="53"/>
      <c r="W48" s="53"/>
      <c r="X48" s="53"/>
      <c r="Y48" s="53"/>
      <c r="Z48" s="53"/>
      <c r="AA48" s="53"/>
      <c r="AB48" s="53"/>
      <c r="AC48" s="53"/>
      <c r="AD48" s="94"/>
      <c r="AE48" s="94"/>
      <c r="AF48" s="95" t="s">
        <v>49</v>
      </c>
      <c r="AG48" s="96"/>
      <c r="AH48" s="96"/>
      <c r="AI48" s="96"/>
      <c r="AJ48" s="96"/>
      <c r="AK48" s="96"/>
      <c r="AL48" s="96"/>
      <c r="AM48" s="96"/>
    </row>
    <row r="49">
      <c r="A49" s="38"/>
      <c r="B49" s="64"/>
      <c r="C49" s="64"/>
      <c r="D49" s="64"/>
      <c r="E49" s="64"/>
      <c r="F49" s="64"/>
      <c r="G49" s="38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38"/>
      <c r="U49" s="55"/>
      <c r="V49" s="55"/>
      <c r="W49" s="55"/>
      <c r="X49" s="55"/>
      <c r="Y49" s="55"/>
      <c r="Z49" s="55"/>
      <c r="AA49" s="55"/>
      <c r="AB49" s="55"/>
      <c r="AC49" s="55"/>
      <c r="AD49" s="99"/>
      <c r="AE49" s="99"/>
      <c r="AF49" s="38"/>
      <c r="AG49" s="100"/>
      <c r="AH49" s="100"/>
      <c r="AI49" s="100"/>
      <c r="AJ49" s="100"/>
      <c r="AK49" s="100"/>
      <c r="AL49" s="100"/>
      <c r="AM49" s="100"/>
    </row>
    <row r="50">
      <c r="A50" s="44"/>
      <c r="B50" s="85"/>
      <c r="C50" s="85"/>
      <c r="D50" s="85"/>
      <c r="E50" s="85"/>
      <c r="F50" s="85"/>
      <c r="G50" s="44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44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44"/>
      <c r="AG50" s="51"/>
      <c r="AH50" s="51"/>
      <c r="AI50" s="51"/>
      <c r="AJ50" s="51"/>
      <c r="AK50" s="51"/>
      <c r="AL50" s="51"/>
      <c r="AM50" s="51"/>
    </row>
    <row r="51">
      <c r="A51" s="30" t="s">
        <v>51</v>
      </c>
      <c r="B51" s="77" t="s">
        <v>60</v>
      </c>
      <c r="C51" s="7"/>
      <c r="D51" s="7"/>
      <c r="E51" s="8"/>
      <c r="F51" s="78"/>
      <c r="G51" s="30" t="s">
        <v>51</v>
      </c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30" t="s">
        <v>51</v>
      </c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36" t="s">
        <v>51</v>
      </c>
      <c r="AG51" s="37"/>
      <c r="AH51" s="37"/>
      <c r="AI51" s="37"/>
      <c r="AJ51" s="37"/>
      <c r="AK51" s="37"/>
      <c r="AL51" s="37"/>
      <c r="AM51" s="37"/>
    </row>
    <row r="52" ht="18.0" customHeight="1">
      <c r="A52" s="38"/>
      <c r="B52" s="79" t="s">
        <v>61</v>
      </c>
      <c r="E52" s="23"/>
      <c r="F52" s="80"/>
      <c r="G52" s="38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38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38"/>
      <c r="AG52" s="43"/>
      <c r="AH52" s="43"/>
      <c r="AI52" s="43"/>
      <c r="AJ52" s="43"/>
      <c r="AK52" s="43"/>
      <c r="AL52" s="43"/>
      <c r="AM52" s="43"/>
    </row>
    <row r="53">
      <c r="A53" s="44"/>
      <c r="B53" s="81" t="s">
        <v>84</v>
      </c>
      <c r="C53" s="46"/>
      <c r="D53" s="46"/>
      <c r="E53" s="47"/>
      <c r="F53" s="82"/>
      <c r="G53" s="44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44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44"/>
      <c r="AG53" s="51"/>
      <c r="AH53" s="51"/>
      <c r="AI53" s="51"/>
      <c r="AJ53" s="51"/>
      <c r="AK53" s="51"/>
      <c r="AL53" s="51"/>
      <c r="AM53" s="51"/>
    </row>
    <row r="54">
      <c r="A54" s="30" t="s">
        <v>59</v>
      </c>
      <c r="B54" s="58"/>
      <c r="C54" s="58"/>
      <c r="D54" s="58"/>
      <c r="E54" s="58"/>
      <c r="F54" s="58"/>
      <c r="G54" s="30" t="s">
        <v>59</v>
      </c>
      <c r="H54" s="108" t="s">
        <v>85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8"/>
      <c r="T54" s="30" t="s">
        <v>59</v>
      </c>
      <c r="U54" s="109" t="s">
        <v>85</v>
      </c>
      <c r="V54" s="7"/>
      <c r="W54" s="7"/>
      <c r="X54" s="7"/>
      <c r="Y54" s="7"/>
      <c r="Z54" s="7"/>
      <c r="AA54" s="7"/>
      <c r="AB54" s="7"/>
      <c r="AC54" s="7"/>
      <c r="AD54" s="7"/>
      <c r="AE54" s="8"/>
      <c r="AF54" s="36" t="s">
        <v>59</v>
      </c>
      <c r="AG54" s="37"/>
      <c r="AH54" s="37"/>
      <c r="AI54" s="37"/>
      <c r="AJ54" s="37"/>
      <c r="AK54" s="37"/>
      <c r="AL54" s="37"/>
      <c r="AM54" s="37"/>
    </row>
    <row r="55">
      <c r="A55" s="38"/>
      <c r="B55" s="64"/>
      <c r="C55" s="64"/>
      <c r="D55" s="64"/>
      <c r="E55" s="64"/>
      <c r="F55" s="64"/>
      <c r="G55" s="38"/>
      <c r="H55" s="110"/>
      <c r="S55" s="23"/>
      <c r="T55" s="38"/>
      <c r="AE55" s="23"/>
      <c r="AF55" s="38"/>
      <c r="AG55" s="43"/>
      <c r="AH55" s="43"/>
      <c r="AI55" s="43"/>
      <c r="AJ55" s="43"/>
      <c r="AK55" s="43"/>
      <c r="AL55" s="43"/>
      <c r="AM55" s="43"/>
    </row>
    <row r="56">
      <c r="A56" s="44"/>
      <c r="B56" s="85"/>
      <c r="C56" s="85"/>
      <c r="D56" s="85"/>
      <c r="E56" s="85"/>
      <c r="F56" s="85"/>
      <c r="G56" s="44"/>
      <c r="H56" s="111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7"/>
      <c r="T56" s="44"/>
      <c r="AE56" s="23"/>
      <c r="AF56" s="44"/>
      <c r="AG56" s="51"/>
      <c r="AH56" s="51"/>
      <c r="AI56" s="51"/>
      <c r="AJ56" s="51"/>
      <c r="AK56" s="51"/>
      <c r="AL56" s="51"/>
      <c r="AM56" s="51"/>
    </row>
    <row r="57">
      <c r="A57" s="30" t="s">
        <v>64</v>
      </c>
      <c r="B57" s="58"/>
      <c r="C57" s="58"/>
      <c r="D57" s="58"/>
      <c r="E57" s="58"/>
      <c r="F57" s="58"/>
      <c r="G57" s="30" t="s">
        <v>64</v>
      </c>
      <c r="H57" s="108" t="s">
        <v>85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8"/>
      <c r="T57" s="30" t="s">
        <v>64</v>
      </c>
      <c r="U57" s="109" t="s">
        <v>85</v>
      </c>
      <c r="V57" s="7"/>
      <c r="W57" s="7"/>
      <c r="X57" s="7"/>
      <c r="Y57" s="7"/>
      <c r="Z57" s="7"/>
      <c r="AA57" s="7"/>
      <c r="AB57" s="7"/>
      <c r="AC57" s="7"/>
      <c r="AD57" s="7"/>
      <c r="AE57" s="8"/>
      <c r="AF57" s="95" t="s">
        <v>64</v>
      </c>
      <c r="AG57" s="96"/>
      <c r="AH57" s="96"/>
      <c r="AI57" s="96"/>
      <c r="AJ57" s="96"/>
      <c r="AK57" s="96"/>
      <c r="AL57" s="96"/>
      <c r="AM57" s="96"/>
    </row>
    <row r="58">
      <c r="A58" s="38"/>
      <c r="B58" s="64"/>
      <c r="C58" s="64"/>
      <c r="D58" s="64"/>
      <c r="E58" s="64"/>
      <c r="F58" s="64"/>
      <c r="G58" s="38"/>
      <c r="H58" s="110"/>
      <c r="S58" s="23"/>
      <c r="T58" s="38"/>
      <c r="AE58" s="23"/>
      <c r="AF58" s="38"/>
      <c r="AG58" s="100"/>
      <c r="AH58" s="100"/>
      <c r="AI58" s="100"/>
      <c r="AJ58" s="100"/>
      <c r="AK58" s="100"/>
      <c r="AL58" s="100"/>
      <c r="AM58" s="100"/>
    </row>
    <row r="59">
      <c r="A59" s="44"/>
      <c r="B59" s="85"/>
      <c r="C59" s="85"/>
      <c r="D59" s="85"/>
      <c r="E59" s="85"/>
      <c r="F59" s="85"/>
      <c r="G59" s="44"/>
      <c r="H59" s="111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7"/>
      <c r="T59" s="44"/>
      <c r="AE59" s="23"/>
      <c r="AF59" s="44"/>
      <c r="AG59" s="112"/>
      <c r="AH59" s="112"/>
      <c r="AI59" s="112"/>
      <c r="AJ59" s="112"/>
      <c r="AK59" s="112"/>
      <c r="AL59" s="112"/>
      <c r="AM59" s="112"/>
    </row>
    <row r="60">
      <c r="A60" s="30" t="s">
        <v>66</v>
      </c>
      <c r="B60" s="58"/>
      <c r="C60" s="58"/>
      <c r="D60" s="58"/>
      <c r="E60" s="58"/>
      <c r="F60" s="58"/>
      <c r="G60" s="30" t="s">
        <v>66</v>
      </c>
      <c r="H60" s="53"/>
      <c r="I60" s="53"/>
      <c r="J60" s="53"/>
      <c r="K60" s="53"/>
      <c r="L60" s="53"/>
      <c r="M60" s="53"/>
      <c r="N60" s="53"/>
      <c r="O60" s="53"/>
      <c r="P60" s="55"/>
      <c r="Q60" s="55"/>
      <c r="R60" s="55"/>
      <c r="S60" s="55"/>
      <c r="T60" s="30" t="s">
        <v>66</v>
      </c>
      <c r="U60" s="53"/>
      <c r="V60" s="53"/>
      <c r="W60" s="53"/>
      <c r="X60" s="53"/>
      <c r="Y60" s="53"/>
      <c r="Z60" s="53"/>
      <c r="AA60" s="53"/>
      <c r="AB60" s="53"/>
      <c r="AC60" s="53"/>
      <c r="AD60" s="94"/>
      <c r="AE60" s="94"/>
      <c r="AF60" s="95" t="s">
        <v>66</v>
      </c>
      <c r="AG60" s="96"/>
      <c r="AH60" s="96"/>
      <c r="AI60" s="96"/>
      <c r="AJ60" s="96"/>
      <c r="AK60" s="96"/>
      <c r="AL60" s="96"/>
      <c r="AM60" s="96"/>
    </row>
    <row r="61">
      <c r="A61" s="38"/>
      <c r="B61" s="64"/>
      <c r="C61" s="64"/>
      <c r="D61" s="64"/>
      <c r="E61" s="64"/>
      <c r="F61" s="64"/>
      <c r="G61" s="38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38"/>
      <c r="U61" s="55"/>
      <c r="V61" s="55"/>
      <c r="W61" s="55"/>
      <c r="X61" s="55"/>
      <c r="Y61" s="55"/>
      <c r="Z61" s="55"/>
      <c r="AA61" s="55"/>
      <c r="AB61" s="55"/>
      <c r="AC61" s="55"/>
      <c r="AD61" s="99"/>
      <c r="AE61" s="99"/>
      <c r="AF61" s="38"/>
      <c r="AG61" s="100"/>
      <c r="AH61" s="100"/>
      <c r="AI61" s="100"/>
      <c r="AJ61" s="100"/>
      <c r="AK61" s="100"/>
      <c r="AL61" s="100"/>
      <c r="AM61" s="100"/>
    </row>
    <row r="62">
      <c r="A62" s="44"/>
      <c r="B62" s="85"/>
      <c r="C62" s="85"/>
      <c r="D62" s="85"/>
      <c r="E62" s="85"/>
      <c r="F62" s="85"/>
      <c r="G62" s="44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44"/>
      <c r="U62" s="57"/>
      <c r="V62" s="57"/>
      <c r="W62" s="57"/>
      <c r="X62" s="57"/>
      <c r="Y62" s="57"/>
      <c r="Z62" s="57"/>
      <c r="AA62" s="57"/>
      <c r="AB62" s="57"/>
      <c r="AC62" s="57"/>
      <c r="AD62" s="113"/>
      <c r="AE62" s="113"/>
      <c r="AF62" s="44"/>
      <c r="AG62" s="112"/>
      <c r="AH62" s="112"/>
      <c r="AI62" s="112"/>
      <c r="AJ62" s="112"/>
      <c r="AK62" s="112"/>
      <c r="AL62" s="112"/>
      <c r="AM62" s="112"/>
    </row>
    <row r="63">
      <c r="A63" s="90" t="s">
        <v>86</v>
      </c>
      <c r="B63" s="22"/>
      <c r="C63" s="22"/>
      <c r="D63" s="22"/>
      <c r="E63" s="22"/>
      <c r="F63" s="22"/>
      <c r="G63" s="90" t="s">
        <v>86</v>
      </c>
      <c r="H63" s="91"/>
      <c r="I63" s="7"/>
      <c r="J63" s="7"/>
      <c r="K63" s="7"/>
      <c r="L63" s="7"/>
      <c r="M63" s="7"/>
      <c r="N63" s="7"/>
      <c r="O63" s="7"/>
      <c r="P63" s="7"/>
      <c r="Q63" s="8"/>
      <c r="R63" s="91"/>
      <c r="S63" s="91"/>
      <c r="T63" s="92" t="s">
        <v>86</v>
      </c>
      <c r="U63" s="27"/>
      <c r="V63" s="3"/>
      <c r="W63" s="3"/>
      <c r="X63" s="3"/>
      <c r="Y63" s="3"/>
      <c r="Z63" s="3"/>
      <c r="AA63" s="3"/>
      <c r="AB63" s="3"/>
      <c r="AC63" s="3"/>
      <c r="AD63" s="3"/>
      <c r="AE63" s="4"/>
      <c r="AF63" s="28" t="s">
        <v>86</v>
      </c>
      <c r="AG63" s="29"/>
      <c r="AH63" s="3"/>
      <c r="AI63" s="3"/>
      <c r="AJ63" s="3"/>
      <c r="AK63" s="3"/>
      <c r="AL63" s="3"/>
      <c r="AM63" s="4"/>
    </row>
    <row r="64">
      <c r="A64" s="30" t="s">
        <v>39</v>
      </c>
      <c r="B64" s="31" t="s">
        <v>40</v>
      </c>
      <c r="C64" s="7"/>
      <c r="D64" s="7"/>
      <c r="E64" s="8"/>
      <c r="F64" s="32"/>
      <c r="G64" s="30" t="s">
        <v>39</v>
      </c>
      <c r="H64" s="114" t="s">
        <v>87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8"/>
      <c r="T64" s="30" t="s">
        <v>39</v>
      </c>
      <c r="U64" s="53"/>
      <c r="V64" s="53"/>
      <c r="W64" s="53"/>
      <c r="X64" s="53"/>
      <c r="Y64" s="53"/>
      <c r="Z64" s="53"/>
      <c r="AA64" s="53"/>
      <c r="AB64" s="53"/>
      <c r="AC64" s="53"/>
      <c r="AD64" s="94"/>
      <c r="AE64" s="94"/>
      <c r="AF64" s="95" t="s">
        <v>39</v>
      </c>
      <c r="AG64" s="96"/>
      <c r="AH64" s="96"/>
      <c r="AI64" s="96"/>
      <c r="AJ64" s="96"/>
      <c r="AK64" s="96"/>
      <c r="AL64" s="96"/>
      <c r="AM64" s="96"/>
    </row>
    <row r="65">
      <c r="A65" s="38"/>
      <c r="B65" s="39" t="s">
        <v>43</v>
      </c>
      <c r="E65" s="23"/>
      <c r="F65" s="40"/>
      <c r="G65" s="38"/>
      <c r="H65" s="115" t="s">
        <v>88</v>
      </c>
      <c r="S65" s="23"/>
      <c r="T65" s="38"/>
      <c r="U65" s="55"/>
      <c r="V65" s="55"/>
      <c r="W65" s="55"/>
      <c r="X65" s="55"/>
      <c r="Y65" s="55"/>
      <c r="Z65" s="55"/>
      <c r="AA65" s="55"/>
      <c r="AB65" s="55"/>
      <c r="AC65" s="55"/>
      <c r="AD65" s="99"/>
      <c r="AE65" s="99"/>
      <c r="AF65" s="38"/>
      <c r="AG65" s="100"/>
      <c r="AH65" s="100"/>
      <c r="AI65" s="100"/>
      <c r="AJ65" s="100"/>
      <c r="AK65" s="100"/>
      <c r="AL65" s="100"/>
      <c r="AM65" s="100"/>
    </row>
    <row r="66">
      <c r="A66" s="44"/>
      <c r="B66" s="45" t="s">
        <v>89</v>
      </c>
      <c r="C66" s="46"/>
      <c r="D66" s="46"/>
      <c r="E66" s="47"/>
      <c r="F66" s="48"/>
      <c r="G66" s="44"/>
      <c r="H66" s="116" t="s">
        <v>90</v>
      </c>
      <c r="S66" s="23"/>
      <c r="T66" s="44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44"/>
      <c r="AG66" s="51"/>
      <c r="AH66" s="51"/>
      <c r="AI66" s="51"/>
      <c r="AJ66" s="51"/>
      <c r="AK66" s="51"/>
      <c r="AL66" s="51"/>
      <c r="AM66" s="51"/>
    </row>
    <row r="67">
      <c r="A67" s="30" t="s">
        <v>49</v>
      </c>
      <c r="B67" s="31" t="s">
        <v>40</v>
      </c>
      <c r="C67" s="7"/>
      <c r="D67" s="7"/>
      <c r="E67" s="8"/>
      <c r="F67" s="32"/>
      <c r="G67" s="30" t="s">
        <v>49</v>
      </c>
      <c r="H67" s="114" t="s">
        <v>87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8"/>
      <c r="T67" s="30" t="s">
        <v>49</v>
      </c>
      <c r="U67" s="35" t="s">
        <v>42</v>
      </c>
      <c r="V67" s="7"/>
      <c r="W67" s="7"/>
      <c r="X67" s="7"/>
      <c r="Y67" s="7"/>
      <c r="Z67" s="7"/>
      <c r="AA67" s="7"/>
      <c r="AB67" s="7"/>
      <c r="AC67" s="7"/>
      <c r="AD67" s="7"/>
      <c r="AE67" s="8"/>
      <c r="AF67" s="36" t="s">
        <v>49</v>
      </c>
      <c r="AG67" s="37"/>
      <c r="AH67" s="37"/>
      <c r="AI67" s="37"/>
      <c r="AJ67" s="37"/>
      <c r="AK67" s="37"/>
      <c r="AL67" s="37"/>
      <c r="AM67" s="37"/>
    </row>
    <row r="68">
      <c r="A68" s="38"/>
      <c r="B68" s="39" t="s">
        <v>43</v>
      </c>
      <c r="E68" s="23"/>
      <c r="F68" s="40"/>
      <c r="G68" s="38"/>
      <c r="H68" s="115" t="s">
        <v>88</v>
      </c>
      <c r="S68" s="23"/>
      <c r="T68" s="38"/>
      <c r="U68" s="42" t="s">
        <v>45</v>
      </c>
      <c r="AE68" s="23"/>
      <c r="AF68" s="38"/>
      <c r="AG68" s="43"/>
      <c r="AH68" s="43"/>
      <c r="AI68" s="43"/>
      <c r="AJ68" s="43"/>
      <c r="AK68" s="43"/>
      <c r="AL68" s="43"/>
      <c r="AM68" s="43"/>
    </row>
    <row r="69">
      <c r="A69" s="44"/>
      <c r="B69" s="45" t="s">
        <v>89</v>
      </c>
      <c r="C69" s="46"/>
      <c r="D69" s="46"/>
      <c r="E69" s="47"/>
      <c r="F69" s="48"/>
      <c r="G69" s="44"/>
      <c r="H69" s="116" t="s">
        <v>90</v>
      </c>
      <c r="S69" s="23"/>
      <c r="T69" s="44"/>
      <c r="U69" s="50" t="s">
        <v>91</v>
      </c>
      <c r="V69" s="46"/>
      <c r="W69" s="46"/>
      <c r="X69" s="46"/>
      <c r="Y69" s="46"/>
      <c r="Z69" s="46"/>
      <c r="AA69" s="46"/>
      <c r="AB69" s="46"/>
      <c r="AC69" s="46"/>
      <c r="AD69" s="46"/>
      <c r="AE69" s="47"/>
      <c r="AF69" s="44"/>
      <c r="AG69" s="51"/>
      <c r="AH69" s="51"/>
      <c r="AI69" s="51"/>
      <c r="AJ69" s="51"/>
      <c r="AK69" s="51"/>
      <c r="AL69" s="51"/>
      <c r="AM69" s="51"/>
    </row>
    <row r="70">
      <c r="A70" s="30" t="s">
        <v>51</v>
      </c>
      <c r="B70" s="58"/>
      <c r="C70" s="58"/>
      <c r="D70" s="58"/>
      <c r="E70" s="58"/>
      <c r="F70" s="58"/>
      <c r="G70" s="30" t="s">
        <v>51</v>
      </c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30" t="s">
        <v>51</v>
      </c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36" t="s">
        <v>51</v>
      </c>
      <c r="AG70" s="37"/>
      <c r="AH70" s="37"/>
      <c r="AI70" s="37"/>
      <c r="AJ70" s="37"/>
      <c r="AK70" s="37"/>
      <c r="AL70" s="37"/>
      <c r="AM70" s="37"/>
    </row>
    <row r="71">
      <c r="A71" s="38"/>
      <c r="B71" s="64"/>
      <c r="C71" s="64"/>
      <c r="D71" s="64"/>
      <c r="E71" s="64"/>
      <c r="F71" s="64"/>
      <c r="G71" s="38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38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38"/>
      <c r="AG71" s="43"/>
      <c r="AH71" s="43"/>
      <c r="AI71" s="43"/>
      <c r="AJ71" s="43"/>
      <c r="AK71" s="43"/>
      <c r="AL71" s="43"/>
      <c r="AM71" s="43"/>
    </row>
    <row r="72">
      <c r="A72" s="44"/>
      <c r="B72" s="85"/>
      <c r="C72" s="85"/>
      <c r="D72" s="85"/>
      <c r="E72" s="85"/>
      <c r="F72" s="85"/>
      <c r="G72" s="44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44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44"/>
      <c r="AG72" s="51"/>
      <c r="AH72" s="51"/>
      <c r="AI72" s="51"/>
      <c r="AJ72" s="51"/>
      <c r="AK72" s="51"/>
      <c r="AL72" s="51"/>
      <c r="AM72" s="51"/>
    </row>
    <row r="73">
      <c r="A73" s="30" t="s">
        <v>59</v>
      </c>
      <c r="B73" s="58"/>
      <c r="C73" s="58"/>
      <c r="D73" s="58"/>
      <c r="E73" s="58"/>
      <c r="F73" s="58"/>
      <c r="G73" s="30" t="s">
        <v>59</v>
      </c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30" t="s">
        <v>59</v>
      </c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36" t="s">
        <v>59</v>
      </c>
      <c r="AG73" s="37"/>
      <c r="AH73" s="37"/>
      <c r="AI73" s="37"/>
      <c r="AJ73" s="37"/>
      <c r="AK73" s="37"/>
      <c r="AL73" s="37"/>
      <c r="AM73" s="37"/>
    </row>
    <row r="74">
      <c r="A74" s="38"/>
      <c r="B74" s="64"/>
      <c r="C74" s="64"/>
      <c r="D74" s="64"/>
      <c r="E74" s="64"/>
      <c r="F74" s="64"/>
      <c r="G74" s="38"/>
      <c r="H74" s="55"/>
      <c r="I74" s="55"/>
      <c r="J74" s="55"/>
      <c r="K74" s="43"/>
      <c r="L74" s="55"/>
      <c r="M74" s="55"/>
      <c r="N74" s="98"/>
      <c r="O74" s="55"/>
      <c r="P74" s="55"/>
      <c r="Q74" s="55"/>
      <c r="R74" s="55"/>
      <c r="S74" s="55"/>
      <c r="T74" s="38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38"/>
      <c r="AG74" s="43"/>
      <c r="AH74" s="43"/>
      <c r="AI74" s="43"/>
      <c r="AJ74" s="43"/>
      <c r="AK74" s="43"/>
      <c r="AL74" s="43"/>
      <c r="AM74" s="43"/>
    </row>
    <row r="75">
      <c r="A75" s="44"/>
      <c r="B75" s="85"/>
      <c r="C75" s="85"/>
      <c r="D75" s="85"/>
      <c r="E75" s="85"/>
      <c r="F75" s="85"/>
      <c r="G75" s="44"/>
      <c r="H75" s="57"/>
      <c r="I75" s="57"/>
      <c r="J75" s="57"/>
      <c r="K75" s="57"/>
      <c r="L75" s="55"/>
      <c r="M75" s="57"/>
      <c r="N75" s="75"/>
      <c r="O75" s="57"/>
      <c r="P75" s="57"/>
      <c r="Q75" s="57"/>
      <c r="R75" s="57"/>
      <c r="S75" s="57"/>
      <c r="T75" s="44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44"/>
      <c r="AG75" s="51"/>
      <c r="AH75" s="51"/>
      <c r="AI75" s="51"/>
      <c r="AJ75" s="51"/>
      <c r="AK75" s="51"/>
      <c r="AL75" s="51"/>
      <c r="AM75" s="51"/>
    </row>
    <row r="76">
      <c r="A76" s="30" t="s">
        <v>64</v>
      </c>
      <c r="B76" s="58"/>
      <c r="C76" s="58"/>
      <c r="D76" s="58"/>
      <c r="E76" s="58"/>
      <c r="F76" s="58"/>
      <c r="G76" s="30" t="s">
        <v>64</v>
      </c>
      <c r="H76" s="53"/>
      <c r="I76" s="53"/>
      <c r="J76" s="53"/>
      <c r="K76" s="117"/>
      <c r="L76" s="53"/>
      <c r="M76" s="62"/>
      <c r="N76" s="53"/>
      <c r="O76" s="53"/>
      <c r="P76" s="53"/>
      <c r="Q76" s="53"/>
      <c r="R76" s="53"/>
      <c r="S76" s="53"/>
      <c r="T76" s="30" t="s">
        <v>64</v>
      </c>
      <c r="U76" s="53"/>
      <c r="V76" s="53"/>
      <c r="W76" s="53"/>
      <c r="X76" s="53"/>
      <c r="Y76" s="53"/>
      <c r="Z76" s="53"/>
      <c r="AA76" s="53"/>
      <c r="AB76" s="53"/>
      <c r="AC76" s="53"/>
      <c r="AD76" s="94"/>
      <c r="AE76" s="94"/>
      <c r="AF76" s="95" t="s">
        <v>64</v>
      </c>
      <c r="AG76" s="96"/>
      <c r="AH76" s="96"/>
      <c r="AI76" s="96"/>
      <c r="AJ76" s="96"/>
      <c r="AK76" s="96"/>
      <c r="AL76" s="96"/>
      <c r="AM76" s="96"/>
    </row>
    <row r="77">
      <c r="A77" s="38"/>
      <c r="B77" s="64"/>
      <c r="C77" s="64"/>
      <c r="D77" s="64"/>
      <c r="E77" s="64"/>
      <c r="F77" s="64"/>
      <c r="G77" s="38"/>
      <c r="H77" s="55"/>
      <c r="I77" s="55"/>
      <c r="J77" s="55"/>
      <c r="K77" s="118"/>
      <c r="L77" s="55"/>
      <c r="M77" s="98"/>
      <c r="N77" s="55"/>
      <c r="O77" s="98"/>
      <c r="P77" s="55"/>
      <c r="Q77" s="55"/>
      <c r="R77" s="55"/>
      <c r="S77" s="55"/>
      <c r="T77" s="38"/>
      <c r="U77" s="55"/>
      <c r="V77" s="55"/>
      <c r="W77" s="55"/>
      <c r="X77" s="55"/>
      <c r="Y77" s="55"/>
      <c r="Z77" s="55"/>
      <c r="AA77" s="55"/>
      <c r="AB77" s="55"/>
      <c r="AC77" s="55"/>
      <c r="AD77" s="99"/>
      <c r="AE77" s="99"/>
      <c r="AF77" s="38"/>
      <c r="AG77" s="100"/>
      <c r="AH77" s="100"/>
      <c r="AI77" s="100"/>
      <c r="AJ77" s="100"/>
      <c r="AK77" s="100"/>
      <c r="AL77" s="100"/>
      <c r="AM77" s="100"/>
    </row>
    <row r="78">
      <c r="A78" s="44"/>
      <c r="B78" s="85"/>
      <c r="C78" s="85"/>
      <c r="D78" s="85"/>
      <c r="E78" s="85"/>
      <c r="F78" s="85"/>
      <c r="G78" s="44"/>
      <c r="H78" s="57"/>
      <c r="I78" s="57"/>
      <c r="J78" s="57"/>
      <c r="K78" s="119"/>
      <c r="L78" s="57"/>
      <c r="M78" s="75"/>
      <c r="N78" s="57"/>
      <c r="O78" s="75"/>
      <c r="P78" s="57"/>
      <c r="Q78" s="57"/>
      <c r="R78" s="57"/>
      <c r="S78" s="57"/>
      <c r="T78" s="44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44"/>
      <c r="AG78" s="51"/>
      <c r="AH78" s="51"/>
      <c r="AI78" s="51"/>
      <c r="AJ78" s="51"/>
      <c r="AK78" s="51"/>
      <c r="AL78" s="51"/>
      <c r="AM78" s="51"/>
    </row>
    <row r="79">
      <c r="A79" s="30" t="s">
        <v>66</v>
      </c>
      <c r="B79" s="58"/>
      <c r="C79" s="58"/>
      <c r="D79" s="58"/>
      <c r="E79" s="58"/>
      <c r="F79" s="58"/>
      <c r="G79" s="30" t="s">
        <v>66</v>
      </c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30" t="s">
        <v>66</v>
      </c>
      <c r="U79" s="53"/>
      <c r="V79" s="53"/>
      <c r="W79" s="53"/>
      <c r="X79" s="53"/>
      <c r="Y79" s="53"/>
      <c r="Z79" s="53"/>
      <c r="AA79" s="53"/>
      <c r="AB79" s="53"/>
      <c r="AC79" s="53"/>
      <c r="AD79" s="94"/>
      <c r="AE79" s="94"/>
      <c r="AF79" s="95" t="s">
        <v>66</v>
      </c>
      <c r="AG79" s="96"/>
      <c r="AH79" s="96"/>
      <c r="AI79" s="96"/>
      <c r="AJ79" s="96"/>
      <c r="AK79" s="96"/>
      <c r="AL79" s="96"/>
      <c r="AM79" s="96"/>
    </row>
    <row r="80">
      <c r="A80" s="38"/>
      <c r="B80" s="64"/>
      <c r="C80" s="64"/>
      <c r="D80" s="64"/>
      <c r="E80" s="64"/>
      <c r="F80" s="64"/>
      <c r="G80" s="38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38"/>
      <c r="U80" s="55"/>
      <c r="V80" s="55"/>
      <c r="W80" s="55"/>
      <c r="X80" s="55"/>
      <c r="Y80" s="55"/>
      <c r="Z80" s="55"/>
      <c r="AA80" s="55"/>
      <c r="AB80" s="55"/>
      <c r="AC80" s="55"/>
      <c r="AD80" s="99"/>
      <c r="AE80" s="99"/>
      <c r="AF80" s="38"/>
      <c r="AG80" s="100"/>
      <c r="AH80" s="100"/>
      <c r="AI80" s="100"/>
      <c r="AJ80" s="100"/>
      <c r="AK80" s="100"/>
      <c r="AL80" s="100"/>
      <c r="AM80" s="100"/>
    </row>
    <row r="81">
      <c r="A81" s="44"/>
      <c r="B81" s="85"/>
      <c r="C81" s="85"/>
      <c r="D81" s="85"/>
      <c r="E81" s="85"/>
      <c r="F81" s="85"/>
      <c r="G81" s="44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44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44"/>
      <c r="AG81" s="51"/>
      <c r="AH81" s="51"/>
      <c r="AI81" s="51"/>
      <c r="AJ81" s="51"/>
      <c r="AK81" s="51"/>
      <c r="AL81" s="51"/>
      <c r="AM81" s="51"/>
    </row>
    <row r="82">
      <c r="A82" s="90" t="s">
        <v>92</v>
      </c>
      <c r="B82" s="22"/>
      <c r="C82" s="22"/>
      <c r="D82" s="22"/>
      <c r="E82" s="22"/>
      <c r="F82" s="22"/>
      <c r="G82" s="90" t="s">
        <v>92</v>
      </c>
      <c r="H82" s="120"/>
      <c r="I82" s="3"/>
      <c r="J82" s="3"/>
      <c r="K82" s="3"/>
      <c r="L82" s="3"/>
      <c r="M82" s="3"/>
      <c r="N82" s="3"/>
      <c r="O82" s="3"/>
      <c r="P82" s="3"/>
      <c r="Q82" s="4"/>
      <c r="R82" s="120"/>
      <c r="S82" s="120"/>
      <c r="T82" s="92" t="s">
        <v>92</v>
      </c>
      <c r="U82" s="27"/>
      <c r="V82" s="3"/>
      <c r="W82" s="3"/>
      <c r="X82" s="3"/>
      <c r="Y82" s="3"/>
      <c r="Z82" s="3"/>
      <c r="AA82" s="3"/>
      <c r="AB82" s="3"/>
      <c r="AC82" s="3"/>
      <c r="AD82" s="3"/>
      <c r="AE82" s="4"/>
      <c r="AF82" s="28" t="s">
        <v>92</v>
      </c>
      <c r="AG82" s="29"/>
      <c r="AH82" s="3"/>
      <c r="AI82" s="3"/>
      <c r="AJ82" s="3"/>
      <c r="AK82" s="3"/>
      <c r="AL82" s="3"/>
      <c r="AM82" s="4"/>
    </row>
    <row r="83">
      <c r="A83" s="30" t="s">
        <v>39</v>
      </c>
      <c r="B83" s="31" t="s">
        <v>40</v>
      </c>
      <c r="C83" s="7"/>
      <c r="D83" s="7"/>
      <c r="E83" s="8"/>
      <c r="F83" s="32"/>
      <c r="G83" s="30" t="s">
        <v>39</v>
      </c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30" t="s">
        <v>39</v>
      </c>
      <c r="U83" s="121" t="s">
        <v>93</v>
      </c>
      <c r="V83" s="7"/>
      <c r="W83" s="7"/>
      <c r="X83" s="7"/>
      <c r="Y83" s="7"/>
      <c r="Z83" s="7"/>
      <c r="AA83" s="7"/>
      <c r="AB83" s="7"/>
      <c r="AC83" s="7"/>
      <c r="AD83" s="7"/>
      <c r="AE83" s="8"/>
      <c r="AF83" s="95" t="s">
        <v>39</v>
      </c>
      <c r="AG83" s="96"/>
      <c r="AH83" s="96"/>
      <c r="AI83" s="96"/>
      <c r="AJ83" s="96"/>
      <c r="AK83" s="96"/>
      <c r="AL83" s="96"/>
      <c r="AM83" s="96"/>
    </row>
    <row r="84">
      <c r="A84" s="38"/>
      <c r="B84" s="39" t="s">
        <v>43</v>
      </c>
      <c r="E84" s="23"/>
      <c r="F84" s="40"/>
      <c r="G84" s="38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38"/>
      <c r="U84" s="122" t="s">
        <v>94</v>
      </c>
      <c r="AE84" s="23"/>
      <c r="AF84" s="38"/>
      <c r="AG84" s="100"/>
      <c r="AH84" s="100"/>
      <c r="AI84" s="100"/>
      <c r="AJ84" s="100"/>
      <c r="AK84" s="100"/>
      <c r="AL84" s="100"/>
      <c r="AM84" s="100"/>
    </row>
    <row r="85">
      <c r="A85" s="44"/>
      <c r="B85" s="45" t="s">
        <v>95</v>
      </c>
      <c r="C85" s="46"/>
      <c r="D85" s="46"/>
      <c r="E85" s="47"/>
      <c r="F85" s="48"/>
      <c r="G85" s="44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44"/>
      <c r="U85" s="123" t="s">
        <v>96</v>
      </c>
      <c r="V85" s="46"/>
      <c r="W85" s="46"/>
      <c r="X85" s="46"/>
      <c r="Y85" s="46"/>
      <c r="Z85" s="46"/>
      <c r="AA85" s="46"/>
      <c r="AB85" s="46"/>
      <c r="AC85" s="46"/>
      <c r="AD85" s="46"/>
      <c r="AE85" s="47"/>
      <c r="AF85" s="44"/>
      <c r="AG85" s="51"/>
      <c r="AH85" s="51"/>
      <c r="AI85" s="51"/>
      <c r="AJ85" s="51"/>
      <c r="AK85" s="51"/>
      <c r="AL85" s="51"/>
      <c r="AM85" s="51"/>
    </row>
    <row r="86">
      <c r="A86" s="30" t="s">
        <v>49</v>
      </c>
      <c r="B86" s="31" t="s">
        <v>40</v>
      </c>
      <c r="C86" s="7"/>
      <c r="D86" s="7"/>
      <c r="E86" s="8"/>
      <c r="F86" s="32"/>
      <c r="G86" s="30" t="s">
        <v>49</v>
      </c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30" t="s">
        <v>49</v>
      </c>
      <c r="U86" s="121" t="s">
        <v>93</v>
      </c>
      <c r="V86" s="7"/>
      <c r="W86" s="7"/>
      <c r="X86" s="7"/>
      <c r="Y86" s="7"/>
      <c r="Z86" s="7"/>
      <c r="AA86" s="7"/>
      <c r="AB86" s="7"/>
      <c r="AC86" s="7"/>
      <c r="AD86" s="7"/>
      <c r="AE86" s="8"/>
      <c r="AF86" s="95" t="s">
        <v>49</v>
      </c>
      <c r="AG86" s="96"/>
      <c r="AH86" s="96"/>
      <c r="AI86" s="96"/>
      <c r="AJ86" s="96"/>
      <c r="AK86" s="96"/>
      <c r="AL86" s="124"/>
      <c r="AM86" s="96"/>
    </row>
    <row r="87">
      <c r="A87" s="38"/>
      <c r="B87" s="39" t="s">
        <v>43</v>
      </c>
      <c r="E87" s="23"/>
      <c r="F87" s="40"/>
      <c r="G87" s="38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38"/>
      <c r="U87" s="122" t="s">
        <v>94</v>
      </c>
      <c r="AE87" s="23"/>
      <c r="AF87" s="38"/>
      <c r="AG87" s="100"/>
      <c r="AH87" s="100"/>
      <c r="AI87" s="100"/>
      <c r="AJ87" s="100"/>
      <c r="AK87" s="100"/>
      <c r="AL87" s="125"/>
      <c r="AM87" s="100"/>
    </row>
    <row r="88">
      <c r="A88" s="44"/>
      <c r="B88" s="45" t="s">
        <v>95</v>
      </c>
      <c r="C88" s="46"/>
      <c r="D88" s="46"/>
      <c r="E88" s="47"/>
      <c r="F88" s="48"/>
      <c r="G88" s="44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44"/>
      <c r="U88" s="123" t="s">
        <v>96</v>
      </c>
      <c r="V88" s="46"/>
      <c r="W88" s="46"/>
      <c r="X88" s="46"/>
      <c r="Y88" s="46"/>
      <c r="Z88" s="46"/>
      <c r="AA88" s="46"/>
      <c r="AB88" s="46"/>
      <c r="AC88" s="46"/>
      <c r="AD88" s="46"/>
      <c r="AE88" s="47"/>
      <c r="AF88" s="44"/>
      <c r="AG88" s="51"/>
      <c r="AH88" s="51"/>
      <c r="AI88" s="51"/>
      <c r="AJ88" s="51"/>
      <c r="AK88" s="43"/>
      <c r="AL88" s="66"/>
      <c r="AM88" s="51"/>
    </row>
    <row r="89">
      <c r="A89" s="30" t="s">
        <v>51</v>
      </c>
      <c r="B89" s="58"/>
      <c r="C89" s="58"/>
      <c r="D89" s="58"/>
      <c r="E89" s="58"/>
      <c r="F89" s="58"/>
      <c r="G89" s="30" t="s">
        <v>51</v>
      </c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30" t="s">
        <v>51</v>
      </c>
      <c r="U89" s="121" t="s">
        <v>93</v>
      </c>
      <c r="V89" s="7"/>
      <c r="W89" s="7"/>
      <c r="X89" s="7"/>
      <c r="Y89" s="7"/>
      <c r="Z89" s="7"/>
      <c r="AA89" s="7"/>
      <c r="AB89" s="7"/>
      <c r="AC89" s="7"/>
      <c r="AD89" s="7"/>
      <c r="AE89" s="8"/>
      <c r="AF89" s="95" t="s">
        <v>51</v>
      </c>
      <c r="AG89" s="96"/>
      <c r="AH89" s="96"/>
      <c r="AI89" s="96"/>
      <c r="AJ89" s="96"/>
      <c r="AK89" s="96"/>
      <c r="AL89" s="124"/>
      <c r="AM89" s="96"/>
    </row>
    <row r="90">
      <c r="A90" s="38"/>
      <c r="B90" s="64"/>
      <c r="C90" s="64"/>
      <c r="D90" s="64"/>
      <c r="E90" s="64"/>
      <c r="F90" s="64"/>
      <c r="G90" s="38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38"/>
      <c r="U90" s="122" t="s">
        <v>94</v>
      </c>
      <c r="AE90" s="23"/>
      <c r="AF90" s="38"/>
      <c r="AG90" s="100"/>
      <c r="AH90" s="100"/>
      <c r="AI90" s="100"/>
      <c r="AJ90" s="100"/>
      <c r="AK90" s="100"/>
      <c r="AL90" s="125"/>
      <c r="AM90" s="100"/>
    </row>
    <row r="91">
      <c r="A91" s="44"/>
      <c r="B91" s="85"/>
      <c r="C91" s="85"/>
      <c r="D91" s="85"/>
      <c r="E91" s="85"/>
      <c r="F91" s="85"/>
      <c r="G91" s="44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44"/>
      <c r="U91" s="123" t="s">
        <v>96</v>
      </c>
      <c r="V91" s="46"/>
      <c r="W91" s="46"/>
      <c r="X91" s="46"/>
      <c r="Y91" s="46"/>
      <c r="Z91" s="46"/>
      <c r="AA91" s="46"/>
      <c r="AB91" s="46"/>
      <c r="AC91" s="46"/>
      <c r="AD91" s="46"/>
      <c r="AE91" s="47"/>
      <c r="AF91" s="44"/>
      <c r="AG91" s="51"/>
      <c r="AH91" s="51"/>
      <c r="AI91" s="51"/>
      <c r="AJ91" s="51"/>
      <c r="AK91" s="43"/>
      <c r="AL91" s="66"/>
      <c r="AM91" s="51"/>
    </row>
    <row r="92">
      <c r="A92" s="30" t="s">
        <v>59</v>
      </c>
      <c r="B92" s="58"/>
      <c r="C92" s="58"/>
      <c r="D92" s="58"/>
      <c r="E92" s="58"/>
      <c r="F92" s="58"/>
      <c r="G92" s="30" t="s">
        <v>59</v>
      </c>
      <c r="H92" s="126" t="s">
        <v>97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8"/>
      <c r="T92" s="30" t="s">
        <v>59</v>
      </c>
      <c r="U92" s="53"/>
      <c r="V92" s="53"/>
      <c r="W92" s="53"/>
      <c r="X92" s="53"/>
      <c r="Y92" s="53"/>
      <c r="Z92" s="53"/>
      <c r="AA92" s="53"/>
      <c r="AB92" s="53"/>
      <c r="AC92" s="53"/>
      <c r="AD92" s="94"/>
      <c r="AE92" s="94"/>
      <c r="AF92" s="95" t="s">
        <v>59</v>
      </c>
      <c r="AG92" s="96"/>
      <c r="AH92" s="96"/>
      <c r="AI92" s="96"/>
      <c r="AJ92" s="127" t="s">
        <v>98</v>
      </c>
      <c r="AK92" s="8"/>
      <c r="AL92" s="96"/>
      <c r="AM92" s="96"/>
    </row>
    <row r="93">
      <c r="A93" s="38"/>
      <c r="B93" s="64"/>
      <c r="C93" s="64"/>
      <c r="D93" s="64"/>
      <c r="E93" s="64"/>
      <c r="F93" s="64"/>
      <c r="G93" s="38"/>
      <c r="H93" s="89" t="s">
        <v>94</v>
      </c>
      <c r="S93" s="23"/>
      <c r="T93" s="38"/>
      <c r="U93" s="55"/>
      <c r="V93" s="55"/>
      <c r="W93" s="55"/>
      <c r="X93" s="55"/>
      <c r="Y93" s="55"/>
      <c r="Z93" s="55"/>
      <c r="AA93" s="55"/>
      <c r="AB93" s="55"/>
      <c r="AC93" s="55"/>
      <c r="AD93" s="99"/>
      <c r="AE93" s="99"/>
      <c r="AF93" s="38"/>
      <c r="AG93" s="100"/>
      <c r="AH93" s="100"/>
      <c r="AI93" s="100"/>
      <c r="AJ93" s="128" t="s">
        <v>99</v>
      </c>
      <c r="AK93" s="23"/>
      <c r="AL93" s="100"/>
      <c r="AM93" s="100"/>
    </row>
    <row r="94" ht="16.5" customHeight="1">
      <c r="A94" s="44"/>
      <c r="B94" s="85"/>
      <c r="C94" s="85"/>
      <c r="D94" s="85"/>
      <c r="E94" s="85"/>
      <c r="F94" s="85"/>
      <c r="G94" s="44"/>
      <c r="H94" s="88" t="s">
        <v>96</v>
      </c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7"/>
      <c r="T94" s="44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44"/>
      <c r="AG94" s="51"/>
      <c r="AH94" s="51"/>
      <c r="AI94" s="51"/>
      <c r="AJ94" s="129" t="s">
        <v>100</v>
      </c>
      <c r="AK94" s="47"/>
      <c r="AL94" s="51"/>
      <c r="AM94" s="51"/>
    </row>
    <row r="95">
      <c r="A95" s="30" t="s">
        <v>64</v>
      </c>
      <c r="B95" s="130" t="s">
        <v>101</v>
      </c>
      <c r="C95" s="7"/>
      <c r="D95" s="7"/>
      <c r="E95" s="8"/>
      <c r="F95" s="78"/>
      <c r="G95" s="30" t="s">
        <v>64</v>
      </c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30" t="s">
        <v>64</v>
      </c>
      <c r="U95" s="53"/>
      <c r="V95" s="53"/>
      <c r="W95" s="53"/>
      <c r="X95" s="53"/>
      <c r="Y95" s="53"/>
      <c r="Z95" s="53"/>
      <c r="AA95" s="53"/>
      <c r="AB95" s="53"/>
      <c r="AC95" s="53"/>
      <c r="AD95" s="94"/>
      <c r="AE95" s="94"/>
      <c r="AF95" s="95" t="s">
        <v>64</v>
      </c>
      <c r="AG95" s="96"/>
      <c r="AH95" s="96"/>
      <c r="AI95" s="96"/>
      <c r="AJ95" s="96"/>
      <c r="AK95" s="96"/>
      <c r="AL95" s="96"/>
      <c r="AM95" s="96"/>
    </row>
    <row r="96">
      <c r="A96" s="38"/>
      <c r="B96" s="131" t="s">
        <v>102</v>
      </c>
      <c r="E96" s="23"/>
      <c r="F96" s="80"/>
      <c r="G96" s="38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38"/>
      <c r="U96" s="55"/>
      <c r="V96" s="55"/>
      <c r="W96" s="55"/>
      <c r="X96" s="55"/>
      <c r="Y96" s="55"/>
      <c r="Z96" s="55"/>
      <c r="AA96" s="55"/>
      <c r="AB96" s="55"/>
      <c r="AC96" s="55"/>
      <c r="AD96" s="99"/>
      <c r="AE96" s="99"/>
      <c r="AF96" s="38"/>
      <c r="AG96" s="100"/>
      <c r="AH96" s="100"/>
      <c r="AI96" s="100"/>
      <c r="AJ96" s="100"/>
      <c r="AK96" s="100"/>
      <c r="AL96" s="100"/>
      <c r="AM96" s="100"/>
    </row>
    <row r="97">
      <c r="A97" s="44"/>
      <c r="B97" s="132" t="s">
        <v>95</v>
      </c>
      <c r="C97" s="46"/>
      <c r="D97" s="46"/>
      <c r="E97" s="47"/>
      <c r="F97" s="82"/>
      <c r="G97" s="44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44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44"/>
      <c r="AG97" s="51"/>
      <c r="AH97" s="51"/>
      <c r="AI97" s="51"/>
      <c r="AJ97" s="51"/>
      <c r="AK97" s="51"/>
      <c r="AL97" s="51"/>
      <c r="AM97" s="51"/>
    </row>
    <row r="98">
      <c r="A98" s="30" t="s">
        <v>66</v>
      </c>
      <c r="B98" s="58"/>
      <c r="C98" s="58"/>
      <c r="D98" s="58"/>
      <c r="E98" s="58"/>
      <c r="F98" s="58"/>
      <c r="G98" s="30" t="s">
        <v>66</v>
      </c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30" t="s">
        <v>66</v>
      </c>
      <c r="U98" s="53"/>
      <c r="V98" s="53"/>
      <c r="W98" s="53"/>
      <c r="X98" s="53"/>
      <c r="Y98" s="53"/>
      <c r="Z98" s="53"/>
      <c r="AA98" s="53"/>
      <c r="AB98" s="53"/>
      <c r="AC98" s="53"/>
      <c r="AD98" s="94"/>
      <c r="AE98" s="94"/>
      <c r="AF98" s="95" t="s">
        <v>66</v>
      </c>
      <c r="AG98" s="96"/>
      <c r="AH98" s="96"/>
      <c r="AI98" s="96"/>
      <c r="AJ98" s="96"/>
      <c r="AK98" s="96"/>
      <c r="AL98" s="96"/>
      <c r="AM98" s="96"/>
    </row>
    <row r="99">
      <c r="A99" s="38"/>
      <c r="B99" s="64"/>
      <c r="C99" s="64"/>
      <c r="D99" s="64"/>
      <c r="E99" s="64"/>
      <c r="F99" s="64"/>
      <c r="G99" s="38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38"/>
      <c r="U99" s="55"/>
      <c r="V99" s="55"/>
      <c r="W99" s="55"/>
      <c r="X99" s="55"/>
      <c r="Y99" s="55"/>
      <c r="Z99" s="55"/>
      <c r="AA99" s="55"/>
      <c r="AB99" s="55"/>
      <c r="AC99" s="55"/>
      <c r="AD99" s="99"/>
      <c r="AE99" s="99"/>
      <c r="AF99" s="38"/>
      <c r="AG99" s="100"/>
      <c r="AH99" s="100"/>
      <c r="AI99" s="100"/>
      <c r="AJ99" s="100"/>
      <c r="AK99" s="100"/>
      <c r="AL99" s="100"/>
      <c r="AM99" s="100"/>
    </row>
    <row r="100">
      <c r="A100" s="44"/>
      <c r="B100" s="85"/>
      <c r="C100" s="85"/>
      <c r="D100" s="85"/>
      <c r="E100" s="85"/>
      <c r="F100" s="85"/>
      <c r="G100" s="44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44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44"/>
      <c r="AG100" s="51"/>
      <c r="AH100" s="51"/>
      <c r="AI100" s="51"/>
      <c r="AJ100" s="51"/>
      <c r="AK100" s="51"/>
      <c r="AL100" s="51"/>
      <c r="AM100" s="51"/>
    </row>
    <row r="101">
      <c r="A101" s="90" t="s">
        <v>103</v>
      </c>
      <c r="B101" s="22"/>
      <c r="C101" s="22"/>
      <c r="D101" s="22"/>
      <c r="E101" s="22"/>
      <c r="F101" s="22"/>
      <c r="G101" s="90" t="s">
        <v>103</v>
      </c>
      <c r="H101" s="91"/>
      <c r="I101" s="7"/>
      <c r="J101" s="7"/>
      <c r="K101" s="7"/>
      <c r="L101" s="7"/>
      <c r="M101" s="7"/>
      <c r="N101" s="7"/>
      <c r="O101" s="7"/>
      <c r="P101" s="7"/>
      <c r="Q101" s="8"/>
      <c r="R101" s="91"/>
      <c r="S101" s="91"/>
      <c r="T101" s="92" t="s">
        <v>103</v>
      </c>
      <c r="U101" s="27"/>
      <c r="V101" s="3"/>
      <c r="W101" s="3"/>
      <c r="X101" s="3"/>
      <c r="Y101" s="3"/>
      <c r="Z101" s="3"/>
      <c r="AA101" s="3"/>
      <c r="AB101" s="3"/>
      <c r="AC101" s="3"/>
      <c r="AD101" s="3"/>
      <c r="AE101" s="4"/>
      <c r="AF101" s="28" t="s">
        <v>103</v>
      </c>
      <c r="AG101" s="29"/>
      <c r="AH101" s="3"/>
      <c r="AI101" s="3"/>
      <c r="AJ101" s="3"/>
      <c r="AK101" s="3"/>
      <c r="AL101" s="3"/>
      <c r="AM101" s="4"/>
    </row>
    <row r="102">
      <c r="A102" s="30" t="s">
        <v>39</v>
      </c>
      <c r="B102" s="31" t="s">
        <v>40</v>
      </c>
      <c r="C102" s="7"/>
      <c r="D102" s="7"/>
      <c r="E102" s="8"/>
      <c r="F102" s="32"/>
      <c r="G102" s="30" t="s">
        <v>39</v>
      </c>
      <c r="H102" s="126" t="s">
        <v>97</v>
      </c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8"/>
      <c r="T102" s="30" t="s">
        <v>39</v>
      </c>
      <c r="U102" s="121" t="s">
        <v>93</v>
      </c>
      <c r="V102" s="7"/>
      <c r="W102" s="7"/>
      <c r="X102" s="7"/>
      <c r="Y102" s="7"/>
      <c r="Z102" s="7"/>
      <c r="AA102" s="7"/>
      <c r="AB102" s="7"/>
      <c r="AC102" s="7"/>
      <c r="AD102" s="7"/>
      <c r="AE102" s="8"/>
      <c r="AF102" s="95" t="s">
        <v>39</v>
      </c>
      <c r="AG102" s="96"/>
      <c r="AH102" s="96"/>
      <c r="AI102" s="96"/>
      <c r="AJ102" s="96"/>
      <c r="AK102" s="96"/>
      <c r="AL102" s="96"/>
      <c r="AM102" s="96"/>
    </row>
    <row r="103">
      <c r="A103" s="38"/>
      <c r="B103" s="39" t="s">
        <v>43</v>
      </c>
      <c r="E103" s="23"/>
      <c r="F103" s="40"/>
      <c r="G103" s="38"/>
      <c r="H103" s="89" t="s">
        <v>94</v>
      </c>
      <c r="S103" s="23"/>
      <c r="T103" s="38"/>
      <c r="U103" s="122" t="s">
        <v>94</v>
      </c>
      <c r="AE103" s="23"/>
      <c r="AF103" s="38"/>
      <c r="AG103" s="100"/>
      <c r="AH103" s="100"/>
      <c r="AI103" s="100"/>
      <c r="AJ103" s="100"/>
      <c r="AK103" s="100"/>
      <c r="AL103" s="100"/>
      <c r="AM103" s="100"/>
    </row>
    <row r="104">
      <c r="A104" s="44"/>
      <c r="B104" s="45" t="s">
        <v>104</v>
      </c>
      <c r="C104" s="46"/>
      <c r="D104" s="46"/>
      <c r="E104" s="47"/>
      <c r="F104" s="48"/>
      <c r="G104" s="44"/>
      <c r="H104" s="88" t="s">
        <v>105</v>
      </c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7"/>
      <c r="T104" s="44"/>
      <c r="U104" s="133" t="s">
        <v>106</v>
      </c>
      <c r="V104" s="46"/>
      <c r="W104" s="46"/>
      <c r="X104" s="46"/>
      <c r="Y104" s="46"/>
      <c r="Z104" s="46"/>
      <c r="AA104" s="46"/>
      <c r="AB104" s="46"/>
      <c r="AC104" s="46"/>
      <c r="AD104" s="46"/>
      <c r="AE104" s="47"/>
      <c r="AF104" s="44"/>
      <c r="AG104" s="51"/>
      <c r="AH104" s="51"/>
      <c r="AI104" s="51"/>
      <c r="AJ104" s="51"/>
      <c r="AK104" s="51"/>
      <c r="AL104" s="51"/>
      <c r="AM104" s="51"/>
    </row>
    <row r="105">
      <c r="A105" s="30" t="s">
        <v>49</v>
      </c>
      <c r="B105" s="31" t="s">
        <v>40</v>
      </c>
      <c r="C105" s="7"/>
      <c r="D105" s="7"/>
      <c r="E105" s="8"/>
      <c r="F105" s="32"/>
      <c r="G105" s="30" t="s">
        <v>49</v>
      </c>
      <c r="H105" s="126" t="s">
        <v>97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8"/>
      <c r="T105" s="30" t="s">
        <v>49</v>
      </c>
      <c r="U105" s="121" t="s">
        <v>93</v>
      </c>
      <c r="V105" s="7"/>
      <c r="W105" s="7"/>
      <c r="X105" s="7"/>
      <c r="Y105" s="7"/>
      <c r="Z105" s="7"/>
      <c r="AA105" s="7"/>
      <c r="AB105" s="7"/>
      <c r="AC105" s="7"/>
      <c r="AD105" s="7"/>
      <c r="AE105" s="8"/>
      <c r="AF105" s="95" t="s">
        <v>49</v>
      </c>
      <c r="AG105" s="96"/>
      <c r="AH105" s="96"/>
      <c r="AI105" s="96"/>
      <c r="AJ105" s="96"/>
      <c r="AK105" s="96"/>
      <c r="AL105" s="96"/>
      <c r="AM105" s="96"/>
    </row>
    <row r="106">
      <c r="A106" s="38"/>
      <c r="B106" s="39" t="s">
        <v>43</v>
      </c>
      <c r="E106" s="23"/>
      <c r="F106" s="40"/>
      <c r="G106" s="38"/>
      <c r="H106" s="89" t="s">
        <v>94</v>
      </c>
      <c r="S106" s="23"/>
      <c r="T106" s="38"/>
      <c r="U106" s="122" t="s">
        <v>94</v>
      </c>
      <c r="AE106" s="23"/>
      <c r="AF106" s="38"/>
      <c r="AG106" s="100"/>
      <c r="AH106" s="100"/>
      <c r="AI106" s="100"/>
      <c r="AJ106" s="100"/>
      <c r="AK106" s="100"/>
      <c r="AL106" s="100"/>
      <c r="AM106" s="100"/>
    </row>
    <row r="107">
      <c r="A107" s="44"/>
      <c r="B107" s="45" t="s">
        <v>104</v>
      </c>
      <c r="C107" s="46"/>
      <c r="D107" s="46"/>
      <c r="E107" s="47"/>
      <c r="F107" s="48"/>
      <c r="G107" s="44"/>
      <c r="H107" s="88" t="s">
        <v>105</v>
      </c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7"/>
      <c r="T107" s="44"/>
      <c r="U107" s="133" t="s">
        <v>106</v>
      </c>
      <c r="V107" s="46"/>
      <c r="W107" s="46"/>
      <c r="X107" s="46"/>
      <c r="Y107" s="46"/>
      <c r="Z107" s="46"/>
      <c r="AA107" s="46"/>
      <c r="AB107" s="46"/>
      <c r="AC107" s="46"/>
      <c r="AD107" s="46"/>
      <c r="AE107" s="47"/>
      <c r="AF107" s="44"/>
      <c r="AG107" s="51"/>
      <c r="AH107" s="51"/>
      <c r="AI107" s="51"/>
      <c r="AJ107" s="51"/>
      <c r="AK107" s="51"/>
      <c r="AL107" s="51"/>
      <c r="AM107" s="51"/>
    </row>
    <row r="108">
      <c r="A108" s="30" t="s">
        <v>51</v>
      </c>
      <c r="B108" s="58"/>
      <c r="C108" s="58"/>
      <c r="D108" s="58"/>
      <c r="E108" s="58"/>
      <c r="F108" s="58"/>
      <c r="G108" s="30" t="s">
        <v>51</v>
      </c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30" t="s">
        <v>51</v>
      </c>
      <c r="U108" s="121" t="s">
        <v>93</v>
      </c>
      <c r="V108" s="7"/>
      <c r="W108" s="7"/>
      <c r="X108" s="7"/>
      <c r="Y108" s="7"/>
      <c r="Z108" s="7"/>
      <c r="AA108" s="7"/>
      <c r="AB108" s="7"/>
      <c r="AC108" s="7"/>
      <c r="AD108" s="7"/>
      <c r="AE108" s="8"/>
      <c r="AF108" s="95" t="s">
        <v>51</v>
      </c>
      <c r="AG108" s="96"/>
      <c r="AH108" s="96"/>
      <c r="AI108" s="96"/>
      <c r="AJ108" s="96"/>
      <c r="AK108" s="96"/>
      <c r="AL108" s="96"/>
      <c r="AM108" s="96"/>
    </row>
    <row r="109">
      <c r="A109" s="38"/>
      <c r="B109" s="64"/>
      <c r="C109" s="64"/>
      <c r="D109" s="64"/>
      <c r="E109" s="64"/>
      <c r="F109" s="64"/>
      <c r="G109" s="38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38"/>
      <c r="U109" s="122" t="s">
        <v>94</v>
      </c>
      <c r="AE109" s="23"/>
      <c r="AF109" s="38"/>
      <c r="AG109" s="100"/>
      <c r="AH109" s="100"/>
      <c r="AI109" s="100"/>
      <c r="AJ109" s="100"/>
      <c r="AK109" s="100"/>
      <c r="AL109" s="100"/>
      <c r="AM109" s="100"/>
    </row>
    <row r="110" ht="15.75" customHeight="1">
      <c r="A110" s="44"/>
      <c r="B110" s="85"/>
      <c r="C110" s="85"/>
      <c r="D110" s="85"/>
      <c r="E110" s="85"/>
      <c r="F110" s="85"/>
      <c r="G110" s="44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44"/>
      <c r="U110" s="133" t="s">
        <v>107</v>
      </c>
      <c r="V110" s="46"/>
      <c r="W110" s="46"/>
      <c r="X110" s="46"/>
      <c r="Y110" s="46"/>
      <c r="Z110" s="46"/>
      <c r="AA110" s="46"/>
      <c r="AB110" s="46"/>
      <c r="AC110" s="46"/>
      <c r="AD110" s="46"/>
      <c r="AE110" s="47"/>
      <c r="AF110" s="44"/>
      <c r="AG110" s="51"/>
      <c r="AH110" s="51"/>
      <c r="AI110" s="51"/>
      <c r="AJ110" s="51"/>
      <c r="AK110" s="51"/>
      <c r="AL110" s="51"/>
      <c r="AM110" s="51"/>
    </row>
    <row r="111">
      <c r="A111" s="30" t="s">
        <v>59</v>
      </c>
      <c r="B111" s="130" t="s">
        <v>101</v>
      </c>
      <c r="C111" s="7"/>
      <c r="D111" s="7"/>
      <c r="E111" s="8"/>
      <c r="F111" s="78"/>
      <c r="G111" s="30" t="s">
        <v>59</v>
      </c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30" t="s">
        <v>59</v>
      </c>
      <c r="U111" s="121" t="s">
        <v>93</v>
      </c>
      <c r="V111" s="7"/>
      <c r="W111" s="7"/>
      <c r="X111" s="7"/>
      <c r="Y111" s="7"/>
      <c r="Z111" s="7"/>
      <c r="AA111" s="7"/>
      <c r="AB111" s="7"/>
      <c r="AC111" s="7"/>
      <c r="AD111" s="7"/>
      <c r="AE111" s="8"/>
      <c r="AF111" s="95" t="s">
        <v>59</v>
      </c>
      <c r="AG111" s="96"/>
      <c r="AH111" s="96"/>
      <c r="AI111" s="96"/>
      <c r="AJ111" s="96"/>
      <c r="AK111" s="96"/>
      <c r="AL111" s="96"/>
      <c r="AM111" s="96"/>
    </row>
    <row r="112">
      <c r="A112" s="38"/>
      <c r="B112" s="131" t="s">
        <v>102</v>
      </c>
      <c r="E112" s="23"/>
      <c r="F112" s="80"/>
      <c r="G112" s="38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38"/>
      <c r="U112" s="122" t="s">
        <v>94</v>
      </c>
      <c r="AE112" s="23"/>
      <c r="AF112" s="38"/>
      <c r="AG112" s="100"/>
      <c r="AH112" s="100"/>
      <c r="AI112" s="100"/>
      <c r="AJ112" s="100"/>
      <c r="AK112" s="100"/>
      <c r="AL112" s="100"/>
      <c r="AM112" s="100"/>
    </row>
    <row r="113">
      <c r="A113" s="44"/>
      <c r="B113" s="132" t="s">
        <v>108</v>
      </c>
      <c r="C113" s="46"/>
      <c r="D113" s="46"/>
      <c r="E113" s="47"/>
      <c r="F113" s="82"/>
      <c r="G113" s="44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44"/>
      <c r="U113" s="133" t="s">
        <v>109</v>
      </c>
      <c r="V113" s="46"/>
      <c r="W113" s="46"/>
      <c r="X113" s="46"/>
      <c r="Y113" s="46"/>
      <c r="Z113" s="46"/>
      <c r="AA113" s="46"/>
      <c r="AB113" s="46"/>
      <c r="AC113" s="46"/>
      <c r="AD113" s="46"/>
      <c r="AE113" s="47"/>
      <c r="AF113" s="44"/>
      <c r="AG113" s="51"/>
      <c r="AH113" s="51"/>
      <c r="AI113" s="51"/>
      <c r="AJ113" s="51"/>
      <c r="AK113" s="51"/>
      <c r="AL113" s="51"/>
      <c r="AM113" s="51"/>
    </row>
    <row r="114">
      <c r="A114" s="30" t="s">
        <v>64</v>
      </c>
      <c r="B114" s="130" t="s">
        <v>101</v>
      </c>
      <c r="C114" s="7"/>
      <c r="D114" s="7"/>
      <c r="E114" s="8"/>
      <c r="F114" s="78"/>
      <c r="G114" s="30" t="s">
        <v>64</v>
      </c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30" t="s">
        <v>64</v>
      </c>
      <c r="U114" s="53"/>
      <c r="V114" s="53"/>
      <c r="W114" s="53"/>
      <c r="X114" s="53"/>
      <c r="Y114" s="53"/>
      <c r="Z114" s="53"/>
      <c r="AA114" s="53"/>
      <c r="AB114" s="53"/>
      <c r="AC114" s="53"/>
      <c r="AD114" s="94"/>
      <c r="AE114" s="94"/>
      <c r="AF114" s="95" t="s">
        <v>64</v>
      </c>
      <c r="AG114" s="96"/>
      <c r="AH114" s="96"/>
      <c r="AI114" s="96"/>
      <c r="AJ114" s="96"/>
      <c r="AK114" s="96"/>
      <c r="AL114" s="96"/>
      <c r="AM114" s="96"/>
    </row>
    <row r="115">
      <c r="A115" s="38"/>
      <c r="B115" s="131" t="s">
        <v>102</v>
      </c>
      <c r="E115" s="23"/>
      <c r="F115" s="80"/>
      <c r="G115" s="38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38"/>
      <c r="U115" s="55"/>
      <c r="V115" s="55"/>
      <c r="W115" s="55"/>
      <c r="X115" s="55"/>
      <c r="Y115" s="55"/>
      <c r="Z115" s="55"/>
      <c r="AA115" s="55"/>
      <c r="AB115" s="55"/>
      <c r="AC115" s="55"/>
      <c r="AD115" s="99"/>
      <c r="AE115" s="99"/>
      <c r="AF115" s="38"/>
      <c r="AG115" s="100"/>
      <c r="AH115" s="100"/>
      <c r="AI115" s="100"/>
      <c r="AJ115" s="100"/>
      <c r="AK115" s="100"/>
      <c r="AL115" s="100"/>
      <c r="AM115" s="100"/>
    </row>
    <row r="116">
      <c r="A116" s="44"/>
      <c r="B116" s="132" t="s">
        <v>110</v>
      </c>
      <c r="C116" s="46"/>
      <c r="D116" s="46"/>
      <c r="E116" s="47"/>
      <c r="F116" s="82"/>
      <c r="G116" s="44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44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44"/>
      <c r="AG116" s="51"/>
      <c r="AH116" s="51"/>
      <c r="AI116" s="51"/>
      <c r="AJ116" s="51"/>
      <c r="AK116" s="51"/>
      <c r="AL116" s="51"/>
      <c r="AM116" s="51"/>
    </row>
    <row r="117">
      <c r="A117" s="30" t="s">
        <v>66</v>
      </c>
      <c r="B117" s="58"/>
      <c r="C117" s="58"/>
      <c r="D117" s="58"/>
      <c r="E117" s="58"/>
      <c r="F117" s="58"/>
      <c r="G117" s="30" t="s">
        <v>66</v>
      </c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30" t="s">
        <v>66</v>
      </c>
      <c r="U117" s="53"/>
      <c r="V117" s="53"/>
      <c r="W117" s="53"/>
      <c r="X117" s="53"/>
      <c r="Y117" s="53"/>
      <c r="Z117" s="53"/>
      <c r="AA117" s="53"/>
      <c r="AB117" s="53"/>
      <c r="AC117" s="53"/>
      <c r="AD117" s="94"/>
      <c r="AE117" s="94"/>
      <c r="AF117" s="95" t="s">
        <v>66</v>
      </c>
      <c r="AG117" s="96"/>
      <c r="AH117" s="96"/>
      <c r="AI117" s="96"/>
      <c r="AJ117" s="96"/>
      <c r="AK117" s="96"/>
      <c r="AL117" s="96"/>
      <c r="AM117" s="96"/>
    </row>
    <row r="118">
      <c r="A118" s="38"/>
      <c r="B118" s="64"/>
      <c r="C118" s="64"/>
      <c r="D118" s="64"/>
      <c r="E118" s="64"/>
      <c r="F118" s="64"/>
      <c r="G118" s="38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38"/>
      <c r="U118" s="55"/>
      <c r="V118" s="55"/>
      <c r="W118" s="55"/>
      <c r="X118" s="55"/>
      <c r="Y118" s="55"/>
      <c r="Z118" s="55"/>
      <c r="AA118" s="55"/>
      <c r="AB118" s="55"/>
      <c r="AC118" s="55"/>
      <c r="AD118" s="99"/>
      <c r="AE118" s="99"/>
      <c r="AF118" s="38"/>
      <c r="AG118" s="100"/>
      <c r="AH118" s="100"/>
      <c r="AI118" s="100"/>
      <c r="AJ118" s="100"/>
      <c r="AK118" s="100"/>
      <c r="AL118" s="100"/>
      <c r="AM118" s="100"/>
    </row>
    <row r="119">
      <c r="A119" s="44"/>
      <c r="B119" s="85"/>
      <c r="C119" s="85"/>
      <c r="D119" s="85"/>
      <c r="E119" s="85"/>
      <c r="F119" s="85"/>
      <c r="G119" s="44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44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44"/>
      <c r="AG119" s="51"/>
      <c r="AH119" s="51"/>
      <c r="AI119" s="51"/>
      <c r="AJ119" s="51"/>
      <c r="AK119" s="51"/>
      <c r="AL119" s="51"/>
      <c r="AM119" s="51"/>
    </row>
  </sheetData>
  <mergeCells count="283">
    <mergeCell ref="G48:G50"/>
    <mergeCell ref="G51:G53"/>
    <mergeCell ref="T51:T53"/>
    <mergeCell ref="H54:S56"/>
    <mergeCell ref="T54:T56"/>
    <mergeCell ref="U54:AE56"/>
    <mergeCell ref="H57:S59"/>
    <mergeCell ref="T57:T59"/>
    <mergeCell ref="U57:AE59"/>
    <mergeCell ref="AF57:AF59"/>
    <mergeCell ref="T60:T62"/>
    <mergeCell ref="AF60:AF62"/>
    <mergeCell ref="U63:AE63"/>
    <mergeCell ref="AG63:AM63"/>
    <mergeCell ref="A26:A28"/>
    <mergeCell ref="B26:E26"/>
    <mergeCell ref="B27:E27"/>
    <mergeCell ref="B28:E28"/>
    <mergeCell ref="A29:A31"/>
    <mergeCell ref="B29:E29"/>
    <mergeCell ref="T29:T31"/>
    <mergeCell ref="T41:T43"/>
    <mergeCell ref="H44:Q44"/>
    <mergeCell ref="AG44:AM44"/>
    <mergeCell ref="A45:A47"/>
    <mergeCell ref="A48:A50"/>
    <mergeCell ref="A51:A53"/>
    <mergeCell ref="AF45:AF47"/>
    <mergeCell ref="AF48:AF50"/>
    <mergeCell ref="AF51:AF53"/>
    <mergeCell ref="AF54:AF56"/>
    <mergeCell ref="AF64:AF66"/>
    <mergeCell ref="AF67:AF69"/>
    <mergeCell ref="G26:G28"/>
    <mergeCell ref="G29:G31"/>
    <mergeCell ref="G32:G34"/>
    <mergeCell ref="G35:G37"/>
    <mergeCell ref="G38:G40"/>
    <mergeCell ref="G41:G43"/>
    <mergeCell ref="G45:G47"/>
    <mergeCell ref="B51:E51"/>
    <mergeCell ref="B52:E52"/>
    <mergeCell ref="B53:E53"/>
    <mergeCell ref="T67:T69"/>
    <mergeCell ref="H69:S69"/>
    <mergeCell ref="U69:AE69"/>
    <mergeCell ref="H103:S103"/>
    <mergeCell ref="H104:S104"/>
    <mergeCell ref="T89:T91"/>
    <mergeCell ref="T92:T94"/>
    <mergeCell ref="T95:T97"/>
    <mergeCell ref="T98:T100"/>
    <mergeCell ref="H101:Q101"/>
    <mergeCell ref="H102:S102"/>
    <mergeCell ref="T102:T104"/>
    <mergeCell ref="H63:Q63"/>
    <mergeCell ref="H64:S64"/>
    <mergeCell ref="T64:T66"/>
    <mergeCell ref="H65:S65"/>
    <mergeCell ref="H66:S66"/>
    <mergeCell ref="U67:AE67"/>
    <mergeCell ref="U68:AE68"/>
    <mergeCell ref="H67:S67"/>
    <mergeCell ref="H68:S68"/>
    <mergeCell ref="T70:T72"/>
    <mergeCell ref="AF70:AF72"/>
    <mergeCell ref="T73:T75"/>
    <mergeCell ref="AF73:AF75"/>
    <mergeCell ref="AF76:AF78"/>
    <mergeCell ref="AF79:AF81"/>
    <mergeCell ref="AF83:AF85"/>
    <mergeCell ref="AF86:AF88"/>
    <mergeCell ref="AF89:AF91"/>
    <mergeCell ref="AF92:AF94"/>
    <mergeCell ref="AF95:AF97"/>
    <mergeCell ref="AF98:AF100"/>
    <mergeCell ref="AF102:AF104"/>
    <mergeCell ref="T76:T78"/>
    <mergeCell ref="T79:T81"/>
    <mergeCell ref="H82:Q82"/>
    <mergeCell ref="U82:AE82"/>
    <mergeCell ref="AG82:AM82"/>
    <mergeCell ref="T83:T85"/>
    <mergeCell ref="U83:AE83"/>
    <mergeCell ref="U89:AE89"/>
    <mergeCell ref="U90:AE90"/>
    <mergeCell ref="H92:S92"/>
    <mergeCell ref="AJ92:AK92"/>
    <mergeCell ref="H93:S93"/>
    <mergeCell ref="AJ93:AK93"/>
    <mergeCell ref="H94:S94"/>
    <mergeCell ref="AJ94:AK94"/>
    <mergeCell ref="U101:AE101"/>
    <mergeCell ref="AG101:AM101"/>
    <mergeCell ref="U102:AE102"/>
    <mergeCell ref="U103:AE103"/>
    <mergeCell ref="U104:AE104"/>
    <mergeCell ref="U84:AE84"/>
    <mergeCell ref="U85:AE85"/>
    <mergeCell ref="T86:T88"/>
    <mergeCell ref="U86:AE86"/>
    <mergeCell ref="U87:AE87"/>
    <mergeCell ref="U88:AE88"/>
    <mergeCell ref="U91:AE91"/>
    <mergeCell ref="B115:E115"/>
    <mergeCell ref="B116:E116"/>
    <mergeCell ref="B85:E85"/>
    <mergeCell ref="B86:E86"/>
    <mergeCell ref="A108:A110"/>
    <mergeCell ref="A111:A113"/>
    <mergeCell ref="B111:E111"/>
    <mergeCell ref="A114:A116"/>
    <mergeCell ref="B114:E114"/>
    <mergeCell ref="A117:A119"/>
    <mergeCell ref="B45:E45"/>
    <mergeCell ref="B46:E46"/>
    <mergeCell ref="B30:E30"/>
    <mergeCell ref="B31:E31"/>
    <mergeCell ref="A32:A34"/>
    <mergeCell ref="A35:A37"/>
    <mergeCell ref="A38:A40"/>
    <mergeCell ref="A41:A43"/>
    <mergeCell ref="B47:E47"/>
    <mergeCell ref="A54:A56"/>
    <mergeCell ref="G54:G56"/>
    <mergeCell ref="A57:A59"/>
    <mergeCell ref="G57:G59"/>
    <mergeCell ref="A60:A62"/>
    <mergeCell ref="A64:A66"/>
    <mergeCell ref="B64:E64"/>
    <mergeCell ref="B65:E65"/>
    <mergeCell ref="B66:E66"/>
    <mergeCell ref="A67:A69"/>
    <mergeCell ref="B67:E67"/>
    <mergeCell ref="B68:E68"/>
    <mergeCell ref="B69:E69"/>
    <mergeCell ref="A70:A72"/>
    <mergeCell ref="G60:G62"/>
    <mergeCell ref="G64:G66"/>
    <mergeCell ref="G67:G69"/>
    <mergeCell ref="G70:G72"/>
    <mergeCell ref="G73:G75"/>
    <mergeCell ref="G76:G78"/>
    <mergeCell ref="G79:G81"/>
    <mergeCell ref="G105:G107"/>
    <mergeCell ref="G108:G110"/>
    <mergeCell ref="G111:G113"/>
    <mergeCell ref="G114:G116"/>
    <mergeCell ref="G117:G119"/>
    <mergeCell ref="G83:G85"/>
    <mergeCell ref="G86:G88"/>
    <mergeCell ref="G89:G91"/>
    <mergeCell ref="G92:G94"/>
    <mergeCell ref="G95:G97"/>
    <mergeCell ref="G98:G100"/>
    <mergeCell ref="G102:G104"/>
    <mergeCell ref="AF16:AF18"/>
    <mergeCell ref="AF19:AF21"/>
    <mergeCell ref="U4:AE4"/>
    <mergeCell ref="AF4:AF6"/>
    <mergeCell ref="U5:AE5"/>
    <mergeCell ref="U6:AE6"/>
    <mergeCell ref="AF7:AF9"/>
    <mergeCell ref="AF10:AF12"/>
    <mergeCell ref="AF13:AF15"/>
    <mergeCell ref="H20:S20"/>
    <mergeCell ref="H21:S21"/>
    <mergeCell ref="A13:A15"/>
    <mergeCell ref="B13:E13"/>
    <mergeCell ref="B14:E14"/>
    <mergeCell ref="B15:E15"/>
    <mergeCell ref="A16:A18"/>
    <mergeCell ref="A19:A21"/>
    <mergeCell ref="H19:S19"/>
    <mergeCell ref="H4:S4"/>
    <mergeCell ref="T4:T6"/>
    <mergeCell ref="H5:S5"/>
    <mergeCell ref="H6:S6"/>
    <mergeCell ref="H7:S7"/>
    <mergeCell ref="H8:S8"/>
    <mergeCell ref="H9:S9"/>
    <mergeCell ref="B5:E5"/>
    <mergeCell ref="B6:E6"/>
    <mergeCell ref="A7:A9"/>
    <mergeCell ref="B7:E7"/>
    <mergeCell ref="B8:E8"/>
    <mergeCell ref="B9:E9"/>
    <mergeCell ref="A10:A12"/>
    <mergeCell ref="A1:A2"/>
    <mergeCell ref="B1:F1"/>
    <mergeCell ref="G1:G2"/>
    <mergeCell ref="T1:T2"/>
    <mergeCell ref="U1:AD1"/>
    <mergeCell ref="AF1:AF2"/>
    <mergeCell ref="AG1:AM1"/>
    <mergeCell ref="H1:S1"/>
    <mergeCell ref="H3:O3"/>
    <mergeCell ref="U3:AE3"/>
    <mergeCell ref="AG3:AM3"/>
    <mergeCell ref="A4:A6"/>
    <mergeCell ref="B4:E4"/>
    <mergeCell ref="G4:G6"/>
    <mergeCell ref="G7:G9"/>
    <mergeCell ref="G10:G12"/>
    <mergeCell ref="G13:G15"/>
    <mergeCell ref="G16:G18"/>
    <mergeCell ref="G19:G21"/>
    <mergeCell ref="T7:T9"/>
    <mergeCell ref="T10:T12"/>
    <mergeCell ref="T13:T15"/>
    <mergeCell ref="T16:T18"/>
    <mergeCell ref="T19:T21"/>
    <mergeCell ref="T26:T28"/>
    <mergeCell ref="H25:Q25"/>
    <mergeCell ref="U25:AE25"/>
    <mergeCell ref="AG25:AM25"/>
    <mergeCell ref="A22:A24"/>
    <mergeCell ref="G22:G24"/>
    <mergeCell ref="H22:S22"/>
    <mergeCell ref="T22:T24"/>
    <mergeCell ref="AF22:AF24"/>
    <mergeCell ref="H23:S23"/>
    <mergeCell ref="H24:S24"/>
    <mergeCell ref="AF26:AF28"/>
    <mergeCell ref="AF29:AF31"/>
    <mergeCell ref="T38:T40"/>
    <mergeCell ref="T45:T47"/>
    <mergeCell ref="T48:T50"/>
    <mergeCell ref="T32:T34"/>
    <mergeCell ref="AF32:AF34"/>
    <mergeCell ref="T35:T37"/>
    <mergeCell ref="AF35:AF37"/>
    <mergeCell ref="AF38:AF40"/>
    <mergeCell ref="AF41:AF43"/>
    <mergeCell ref="U44:AE44"/>
    <mergeCell ref="U111:AE111"/>
    <mergeCell ref="U112:AE112"/>
    <mergeCell ref="T117:T119"/>
    <mergeCell ref="AF117:AF119"/>
    <mergeCell ref="U105:AE105"/>
    <mergeCell ref="U106:AE106"/>
    <mergeCell ref="U108:AE108"/>
    <mergeCell ref="AF108:AF110"/>
    <mergeCell ref="U109:AE109"/>
    <mergeCell ref="U110:AE110"/>
    <mergeCell ref="U113:AE113"/>
    <mergeCell ref="A89:A91"/>
    <mergeCell ref="A92:A94"/>
    <mergeCell ref="A95:A97"/>
    <mergeCell ref="A98:A100"/>
    <mergeCell ref="A102:A104"/>
    <mergeCell ref="A105:A107"/>
    <mergeCell ref="A73:A75"/>
    <mergeCell ref="A76:A78"/>
    <mergeCell ref="A79:A81"/>
    <mergeCell ref="A83:A85"/>
    <mergeCell ref="B83:E83"/>
    <mergeCell ref="B84:E84"/>
    <mergeCell ref="A86:A88"/>
    <mergeCell ref="H106:S106"/>
    <mergeCell ref="H107:S107"/>
    <mergeCell ref="T108:T110"/>
    <mergeCell ref="T111:T113"/>
    <mergeCell ref="T114:T116"/>
    <mergeCell ref="B104:E104"/>
    <mergeCell ref="B105:E105"/>
    <mergeCell ref="H105:S105"/>
    <mergeCell ref="T105:T107"/>
    <mergeCell ref="AF105:AF107"/>
    <mergeCell ref="B106:E106"/>
    <mergeCell ref="B107:E107"/>
    <mergeCell ref="U107:AE107"/>
    <mergeCell ref="B112:E112"/>
    <mergeCell ref="B113:E113"/>
    <mergeCell ref="B87:E87"/>
    <mergeCell ref="B88:E88"/>
    <mergeCell ref="B95:E95"/>
    <mergeCell ref="B96:E96"/>
    <mergeCell ref="B97:E97"/>
    <mergeCell ref="B102:E102"/>
    <mergeCell ref="B103:E103"/>
    <mergeCell ref="AF111:AF113"/>
    <mergeCell ref="AF114:AF116"/>
  </mergeCells>
  <conditionalFormatting sqref="B1:K1 M2:S2 U2:W2 Y2:AC2 B48:F50 B54:K59 M54:W59">
    <cfRule type="expression" dxfId="0" priority="1">
      <formula>REGEXMATCH(B1, "(^\s+)|(\s+$)")</formula>
    </cfRule>
  </conditionalFormatting>
  <conditionalFormatting sqref="B1:K1 M2:S2 U2:W2 Y2:AC2 B48:F50 B54:K59 M54:W59">
    <cfRule type="expression" dxfId="0" priority="2">
      <formula>REGEXMATCH(B1, "[а-яА-Я]")</formula>
    </cfRule>
  </conditionalFormatting>
  <conditionalFormatting sqref="B1:K1 M2:S2 U2:W2 Y2:AC2 B48:F50 B54:K59 M54:W59">
    <cfRule type="expression" dxfId="0" priority="3">
      <formula>REGEXMATCH(B1, "\s{2,}")</formula>
    </cfRule>
  </conditionalFormatting>
  <conditionalFormatting sqref="B1:K1 M2:S2 U2:W2 Y2:AC2 B48:F50 B54:K59 M54:W59">
    <cfRule type="expression" dxfId="0" priority="4">
      <formula>REGEXMATCH(B1,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1.63"/>
    <col customWidth="1" min="2" max="13" width="23.75"/>
    <col customWidth="1" min="14" max="14" width="11.63"/>
    <col customWidth="1" min="15" max="15" width="23.75"/>
    <col customWidth="1" min="16" max="25" width="22.38"/>
    <col customWidth="1" min="26" max="26" width="11.63"/>
    <col customWidth="1" min="27" max="27" width="28.25"/>
    <col customWidth="1" min="28" max="28" width="27.5"/>
    <col customWidth="1" min="29" max="29" width="29.38"/>
    <col customWidth="1" min="30" max="31" width="27.13"/>
    <col customWidth="1" min="32" max="33" width="29.38"/>
    <col customWidth="1" min="34" max="35" width="28.13"/>
    <col customWidth="1" min="36" max="37" width="26.38"/>
    <col customWidth="1" min="38" max="38" width="11.63"/>
    <col customWidth="1" min="39" max="39" width="28.13"/>
    <col customWidth="1" min="40" max="40" width="27.38"/>
    <col customWidth="1" min="41" max="41" width="34.0"/>
    <col customWidth="1" min="42" max="42" width="26.38"/>
    <col customWidth="1" min="43" max="43" width="30.13"/>
    <col customWidth="1" min="44" max="44" width="26.38"/>
    <col customWidth="1" min="45" max="45" width="11.63"/>
    <col customWidth="1" min="46" max="47" width="28.38"/>
    <col customWidth="1" min="48" max="48" width="60.75"/>
    <col customWidth="1" min="49" max="49" width="92.5"/>
    <col customWidth="1" min="50" max="50" width="14.13"/>
    <col customWidth="1" min="51" max="51" width="12.88"/>
    <col customWidth="1" min="52" max="52" width="97.5"/>
    <col customWidth="1" min="53" max="86" width="12.88"/>
  </cols>
  <sheetData>
    <row r="1">
      <c r="A1" s="134"/>
      <c r="B1" s="135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136"/>
      <c r="O1" s="137" t="s">
        <v>1</v>
      </c>
      <c r="P1" s="3"/>
      <c r="Q1" s="3"/>
      <c r="R1" s="3"/>
      <c r="S1" s="3"/>
      <c r="T1" s="3"/>
      <c r="U1" s="3"/>
      <c r="V1" s="3"/>
      <c r="W1" s="3"/>
      <c r="X1" s="3"/>
      <c r="Y1" s="4"/>
      <c r="Z1" s="138"/>
      <c r="AA1" s="139" t="s">
        <v>111</v>
      </c>
      <c r="AB1" s="3"/>
      <c r="AC1" s="3"/>
      <c r="AD1" s="3"/>
      <c r="AE1" s="3"/>
      <c r="AF1" s="3"/>
      <c r="AG1" s="3"/>
      <c r="AH1" s="3"/>
      <c r="AI1" s="3"/>
      <c r="AJ1" s="3"/>
      <c r="AK1" s="4"/>
      <c r="AL1" s="138"/>
      <c r="AM1" s="137" t="s">
        <v>2</v>
      </c>
      <c r="AN1" s="3"/>
      <c r="AO1" s="3"/>
      <c r="AP1" s="3"/>
      <c r="AQ1" s="3"/>
      <c r="AR1" s="4"/>
      <c r="AS1" s="140"/>
      <c r="AT1" s="141" t="s">
        <v>112</v>
      </c>
      <c r="AU1" s="142" t="s">
        <v>113</v>
      </c>
      <c r="AV1" s="143"/>
      <c r="AW1" s="143"/>
      <c r="AX1" s="143"/>
      <c r="AY1" s="143"/>
      <c r="AZ1" s="143"/>
      <c r="BA1" s="143"/>
      <c r="BB1" s="143"/>
      <c r="BC1" s="143"/>
      <c r="BD1" s="143"/>
      <c r="BE1" s="143"/>
      <c r="BF1" s="143"/>
      <c r="BG1" s="143"/>
      <c r="BH1" s="143"/>
      <c r="BI1" s="143"/>
      <c r="BJ1" s="143"/>
      <c r="BK1" s="143"/>
      <c r="BL1" s="143"/>
      <c r="BM1" s="143"/>
      <c r="BN1" s="143"/>
      <c r="BO1" s="143"/>
      <c r="BP1" s="143"/>
      <c r="BQ1" s="143"/>
      <c r="BR1" s="143"/>
      <c r="BS1" s="143"/>
      <c r="BT1" s="143"/>
      <c r="BU1" s="143"/>
      <c r="BV1" s="143"/>
      <c r="BW1" s="143"/>
      <c r="BX1" s="143"/>
      <c r="BY1" s="143"/>
      <c r="BZ1" s="143"/>
      <c r="CA1" s="143"/>
      <c r="CB1" s="143"/>
      <c r="CC1" s="143"/>
      <c r="CD1" s="143"/>
      <c r="CE1" s="143"/>
      <c r="CF1" s="143"/>
      <c r="CG1" s="143"/>
      <c r="CH1" s="143"/>
    </row>
    <row r="2">
      <c r="A2" s="44"/>
      <c r="B2" s="144" t="s">
        <v>8</v>
      </c>
      <c r="C2" s="144" t="s">
        <v>9</v>
      </c>
      <c r="D2" s="144" t="s">
        <v>10</v>
      </c>
      <c r="E2" s="144" t="s">
        <v>11</v>
      </c>
      <c r="F2" s="144" t="s">
        <v>12</v>
      </c>
      <c r="G2" s="144" t="s">
        <v>13</v>
      </c>
      <c r="H2" s="144" t="s">
        <v>14</v>
      </c>
      <c r="I2" s="144" t="s">
        <v>15</v>
      </c>
      <c r="J2" s="144" t="s">
        <v>16</v>
      </c>
      <c r="K2" s="144" t="s">
        <v>17</v>
      </c>
      <c r="L2" s="144" t="s">
        <v>18</v>
      </c>
      <c r="M2" s="144" t="s">
        <v>19</v>
      </c>
      <c r="N2" s="47"/>
      <c r="O2" s="144" t="s">
        <v>20</v>
      </c>
      <c r="P2" s="144" t="s">
        <v>21</v>
      </c>
      <c r="Q2" s="144" t="s">
        <v>22</v>
      </c>
      <c r="R2" s="144" t="s">
        <v>23</v>
      </c>
      <c r="S2" s="144" t="s">
        <v>24</v>
      </c>
      <c r="T2" s="144" t="s">
        <v>25</v>
      </c>
      <c r="U2" s="144" t="s">
        <v>26</v>
      </c>
      <c r="V2" s="144" t="s">
        <v>27</v>
      </c>
      <c r="W2" s="144" t="s">
        <v>28</v>
      </c>
      <c r="X2" s="144" t="s">
        <v>29</v>
      </c>
      <c r="Y2" s="144" t="s">
        <v>30</v>
      </c>
      <c r="Z2" s="44"/>
      <c r="AA2" s="144" t="s">
        <v>114</v>
      </c>
      <c r="AB2" s="144" t="s">
        <v>115</v>
      </c>
      <c r="AC2" s="144" t="s">
        <v>116</v>
      </c>
      <c r="AD2" s="144" t="s">
        <v>117</v>
      </c>
      <c r="AE2" s="144" t="s">
        <v>118</v>
      </c>
      <c r="AF2" s="144" t="s">
        <v>119</v>
      </c>
      <c r="AG2" s="144" t="s">
        <v>120</v>
      </c>
      <c r="AH2" s="144" t="s">
        <v>121</v>
      </c>
      <c r="AI2" s="144" t="s">
        <v>122</v>
      </c>
      <c r="AJ2" s="144" t="s">
        <v>123</v>
      </c>
      <c r="AK2" s="144" t="s">
        <v>124</v>
      </c>
      <c r="AL2" s="44"/>
      <c r="AM2" s="144" t="s">
        <v>31</v>
      </c>
      <c r="AN2" s="144" t="s">
        <v>32</v>
      </c>
      <c r="AO2" s="144" t="s">
        <v>33</v>
      </c>
      <c r="AP2" s="144" t="s">
        <v>125</v>
      </c>
      <c r="AQ2" s="145" t="s">
        <v>36</v>
      </c>
      <c r="AR2" s="144" t="s">
        <v>37</v>
      </c>
      <c r="AS2" s="44"/>
      <c r="AT2" s="146" t="s">
        <v>126</v>
      </c>
      <c r="AU2" s="146" t="s">
        <v>126</v>
      </c>
      <c r="AV2" s="143"/>
      <c r="AW2" s="143"/>
      <c r="AX2" s="143"/>
      <c r="AY2" s="143"/>
      <c r="AZ2" s="143"/>
      <c r="BA2" s="143"/>
      <c r="BB2" s="143"/>
      <c r="BC2" s="143"/>
      <c r="BD2" s="143"/>
      <c r="BE2" s="143"/>
      <c r="BF2" s="143"/>
      <c r="BG2" s="143"/>
      <c r="BH2" s="143"/>
      <c r="BI2" s="143"/>
      <c r="BJ2" s="143"/>
      <c r="BK2" s="143"/>
      <c r="BL2" s="143"/>
      <c r="BM2" s="143"/>
      <c r="BN2" s="143"/>
      <c r="BO2" s="143"/>
      <c r="BP2" s="143"/>
      <c r="BQ2" s="143"/>
      <c r="BR2" s="143"/>
      <c r="BS2" s="143"/>
      <c r="BT2" s="143"/>
      <c r="BU2" s="143"/>
      <c r="BV2" s="143"/>
      <c r="BW2" s="143"/>
      <c r="BX2" s="143"/>
      <c r="BY2" s="143"/>
      <c r="BZ2" s="143"/>
      <c r="CA2" s="143"/>
      <c r="CB2" s="143"/>
      <c r="CC2" s="143"/>
      <c r="CD2" s="143"/>
      <c r="CE2" s="143"/>
      <c r="CF2" s="143"/>
      <c r="CG2" s="143"/>
      <c r="CH2" s="143"/>
    </row>
    <row r="3">
      <c r="A3" s="147" t="s">
        <v>38</v>
      </c>
      <c r="B3" s="148"/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149" t="s">
        <v>38</v>
      </c>
      <c r="O3" s="148"/>
      <c r="P3" s="46"/>
      <c r="Q3" s="46"/>
      <c r="R3" s="46"/>
      <c r="S3" s="46"/>
      <c r="T3" s="46"/>
      <c r="U3" s="46"/>
      <c r="V3" s="46"/>
      <c r="W3" s="46"/>
      <c r="X3" s="46"/>
      <c r="Y3" s="47"/>
      <c r="Z3" s="147" t="s">
        <v>38</v>
      </c>
      <c r="AA3" s="148"/>
      <c r="AB3" s="46"/>
      <c r="AC3" s="46"/>
      <c r="AD3" s="46"/>
      <c r="AE3" s="46"/>
      <c r="AF3" s="46"/>
      <c r="AG3" s="46"/>
      <c r="AH3" s="46"/>
      <c r="AI3" s="46"/>
      <c r="AJ3" s="46"/>
      <c r="AK3" s="47"/>
      <c r="AL3" s="147" t="s">
        <v>38</v>
      </c>
      <c r="AM3" s="148"/>
      <c r="AN3" s="46"/>
      <c r="AO3" s="46"/>
      <c r="AP3" s="46"/>
      <c r="AQ3" s="46"/>
      <c r="AR3" s="47"/>
      <c r="AS3" s="147" t="s">
        <v>38</v>
      </c>
      <c r="AT3" s="150"/>
      <c r="AU3" s="150"/>
      <c r="AV3" s="151"/>
      <c r="AW3" s="151"/>
      <c r="AX3" s="151"/>
      <c r="AY3" s="151"/>
      <c r="AZ3" s="151"/>
      <c r="BA3" s="151"/>
      <c r="BB3" s="151"/>
      <c r="BC3" s="151"/>
      <c r="BD3" s="151"/>
      <c r="BE3" s="151"/>
      <c r="BF3" s="151"/>
      <c r="BG3" s="151"/>
      <c r="BH3" s="151"/>
      <c r="BI3" s="151"/>
      <c r="BJ3" s="151"/>
      <c r="BK3" s="151"/>
      <c r="BL3" s="151"/>
      <c r="BM3" s="151"/>
      <c r="BN3" s="151"/>
      <c r="BO3" s="151"/>
      <c r="BP3" s="151"/>
      <c r="BQ3" s="151"/>
      <c r="BR3" s="151"/>
      <c r="BS3" s="151"/>
      <c r="BT3" s="151"/>
      <c r="BU3" s="151"/>
      <c r="BV3" s="151"/>
      <c r="BW3" s="151"/>
      <c r="BX3" s="151"/>
      <c r="BY3" s="151"/>
      <c r="BZ3" s="151"/>
      <c r="CA3" s="151"/>
      <c r="CB3" s="151"/>
      <c r="CC3" s="151"/>
      <c r="CD3" s="151"/>
      <c r="CE3" s="151"/>
      <c r="CF3" s="151"/>
      <c r="CG3" s="151"/>
      <c r="CH3" s="151"/>
    </row>
    <row r="4" ht="30.75" customHeight="1">
      <c r="A4" s="152" t="s">
        <v>39</v>
      </c>
      <c r="B4" s="153" t="s">
        <v>127</v>
      </c>
      <c r="M4" s="23"/>
      <c r="N4" s="154" t="s">
        <v>128</v>
      </c>
      <c r="O4" s="155" t="s">
        <v>129</v>
      </c>
      <c r="Y4" s="23"/>
      <c r="Z4" s="154" t="s">
        <v>130</v>
      </c>
      <c r="AA4" s="156"/>
      <c r="AB4" s="156"/>
      <c r="AC4" s="156"/>
      <c r="AD4" s="156"/>
      <c r="AE4" s="156"/>
      <c r="AF4" s="157" t="s">
        <v>131</v>
      </c>
      <c r="AG4" s="23"/>
      <c r="AH4" s="158"/>
      <c r="AI4" s="159"/>
      <c r="AJ4" s="156"/>
      <c r="AK4" s="156"/>
      <c r="AL4" s="152" t="s">
        <v>39</v>
      </c>
      <c r="AM4" s="156"/>
      <c r="AN4" s="156"/>
      <c r="AO4" s="156"/>
      <c r="AP4" s="156"/>
      <c r="AQ4" s="156"/>
      <c r="AR4" s="63"/>
      <c r="AS4" s="152" t="s">
        <v>39</v>
      </c>
      <c r="AT4" s="160"/>
      <c r="AU4" s="161"/>
      <c r="AV4" s="162" t="s">
        <v>132</v>
      </c>
      <c r="AW4" s="163"/>
      <c r="AX4" s="163"/>
      <c r="AY4" s="163"/>
      <c r="AZ4" s="164" t="s">
        <v>133</v>
      </c>
      <c r="BA4" s="163"/>
      <c r="BB4" s="163"/>
      <c r="BC4" s="163"/>
      <c r="BD4" s="163"/>
      <c r="BE4" s="163"/>
      <c r="BF4" s="163"/>
      <c r="BG4" s="163"/>
      <c r="BH4" s="163"/>
      <c r="BI4" s="163"/>
      <c r="BJ4" s="163"/>
      <c r="BK4" s="163"/>
      <c r="BL4" s="163"/>
      <c r="BM4" s="163"/>
      <c r="BN4" s="163"/>
      <c r="BO4" s="163"/>
      <c r="BP4" s="163"/>
      <c r="BQ4" s="163"/>
      <c r="BR4" s="163"/>
      <c r="BS4" s="163"/>
      <c r="BT4" s="163"/>
      <c r="BU4" s="163"/>
      <c r="BV4" s="163"/>
      <c r="BW4" s="163"/>
      <c r="BX4" s="163"/>
      <c r="BY4" s="163"/>
      <c r="BZ4" s="163"/>
      <c r="CA4" s="163"/>
      <c r="CB4" s="163"/>
      <c r="CC4" s="163"/>
      <c r="CD4" s="163"/>
      <c r="CE4" s="163"/>
      <c r="CF4" s="163"/>
      <c r="CG4" s="163"/>
      <c r="CH4" s="163"/>
    </row>
    <row r="5">
      <c r="A5" s="38"/>
      <c r="B5" s="165" t="s">
        <v>134</v>
      </c>
      <c r="M5" s="23"/>
      <c r="N5" s="23"/>
      <c r="O5" s="166" t="s">
        <v>135</v>
      </c>
      <c r="Y5" s="23"/>
      <c r="Z5" s="23"/>
      <c r="AA5" s="156"/>
      <c r="AB5" s="156"/>
      <c r="AC5" s="156"/>
      <c r="AD5" s="156"/>
      <c r="AE5" s="156"/>
      <c r="AF5" s="167" t="s">
        <v>136</v>
      </c>
      <c r="AG5" s="23"/>
      <c r="AH5" s="168"/>
      <c r="AI5" s="159"/>
      <c r="AJ5" s="156"/>
      <c r="AK5" s="156"/>
      <c r="AL5" s="38"/>
      <c r="AM5" s="156"/>
      <c r="AN5" s="156"/>
      <c r="AO5" s="156"/>
      <c r="AP5" s="156"/>
      <c r="AQ5" s="156"/>
      <c r="AR5" s="69"/>
      <c r="AS5" s="38"/>
      <c r="AT5" s="169"/>
      <c r="AU5" s="161"/>
      <c r="AV5" s="163"/>
      <c r="AW5" s="163" t="str">
        <f t="array" ref="AW5">TEXTJOIN(" | ", 1, A6:AT6)</f>
        <v>108 | ONLINE | ONLINE</v>
      </c>
      <c r="AX5" s="163"/>
      <c r="AY5" s="163"/>
      <c r="AZ5" s="163"/>
      <c r="BA5" s="163"/>
      <c r="BB5" s="163"/>
      <c r="BC5" s="163"/>
      <c r="BD5" s="163"/>
      <c r="BE5" s="163"/>
      <c r="BF5" s="163"/>
      <c r="BG5" s="163"/>
      <c r="BH5" s="163"/>
      <c r="BI5" s="163"/>
      <c r="BJ5" s="163"/>
      <c r="BK5" s="163"/>
      <c r="BL5" s="163"/>
      <c r="BM5" s="163"/>
      <c r="BN5" s="163"/>
      <c r="BO5" s="163"/>
      <c r="BP5" s="163"/>
      <c r="BQ5" s="163"/>
      <c r="BR5" s="163"/>
      <c r="BS5" s="163"/>
      <c r="BT5" s="163"/>
      <c r="BU5" s="163"/>
      <c r="BV5" s="163"/>
      <c r="BW5" s="163"/>
      <c r="BX5" s="163"/>
      <c r="BY5" s="163"/>
      <c r="BZ5" s="163"/>
      <c r="CA5" s="163"/>
      <c r="CB5" s="163"/>
      <c r="CC5" s="163"/>
      <c r="CD5" s="163"/>
      <c r="CE5" s="163"/>
      <c r="CF5" s="163"/>
      <c r="CG5" s="163"/>
      <c r="CH5" s="163"/>
    </row>
    <row r="6">
      <c r="A6" s="44"/>
      <c r="B6" s="170">
        <v>108.0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7"/>
      <c r="N6" s="47"/>
      <c r="O6" s="171" t="s">
        <v>137</v>
      </c>
      <c r="P6" s="46"/>
      <c r="Q6" s="46"/>
      <c r="R6" s="46"/>
      <c r="S6" s="46"/>
      <c r="T6" s="46"/>
      <c r="U6" s="46"/>
      <c r="V6" s="46"/>
      <c r="W6" s="46"/>
      <c r="X6" s="46"/>
      <c r="Y6" s="47"/>
      <c r="Z6" s="47"/>
      <c r="AA6" s="172"/>
      <c r="AB6" s="172"/>
      <c r="AC6" s="172"/>
      <c r="AD6" s="172"/>
      <c r="AE6" s="172"/>
      <c r="AF6" s="173" t="s">
        <v>137</v>
      </c>
      <c r="AG6" s="47"/>
      <c r="AH6" s="174"/>
      <c r="AI6" s="175"/>
      <c r="AJ6" s="172"/>
      <c r="AK6" s="172"/>
      <c r="AL6" s="44"/>
      <c r="AM6" s="172"/>
      <c r="AN6" s="172"/>
      <c r="AO6" s="172"/>
      <c r="AP6" s="172"/>
      <c r="AQ6" s="172"/>
      <c r="AR6" s="76"/>
      <c r="AS6" s="44"/>
      <c r="AT6" s="176"/>
      <c r="AU6" s="177"/>
      <c r="AV6" s="164" t="str">
        <f>IFERROR(__xludf.DUMMYFUNCTION("TEXTJOIN("" / "", TRUE, FILTER(TO_TEXT(SPLIT($AZ$4, "" / "")), NOT(REGEXMATCH(TO_TEXT(SPLIT($AZ$4, "" / "")), ""\b"" &amp; TEXTJOIN(""|"", TRUE, SPLIT(AW6, "" / "")) &amp; ""\b""))))"),"101 / 102 / 103 / 104 / 105 / 106 / 107 / 111 / 209 / 300 / 301 / 303 / 304 / 305 / 306 / 307 / 308 / 312 / 313 / 314 / 316 / 317 / 318 / 320 / 321 / 421 / 460 / 461")</f>
        <v>101 / 102 / 103 / 104 / 105 / 106 / 107 / 111 / 209 / 300 / 301 / 303 / 304 / 305 / 306 / 307 / 308 / 312 / 313 / 314 / 316 / 317 / 318 / 320 / 321 / 421 / 460 / 461</v>
      </c>
      <c r="AW6" s="178" t="str">
        <f>IFERROR(__xludf.DUMMYFUNCTION("TEXTJOIN("" / "", 1, SORT(UNIQUE(TRANSPOSE(SPLIT(TRIM(REGEXREPLACE(AW5,""([0-9]{3}[a-zA-Z]?)|."",""$1 "")), "" "")))))"),"108")</f>
        <v>108</v>
      </c>
      <c r="AX6" s="163"/>
      <c r="AY6" s="163"/>
      <c r="AZ6" s="163"/>
      <c r="BA6" s="163"/>
      <c r="BB6" s="163"/>
      <c r="BC6" s="163"/>
      <c r="BD6" s="163"/>
      <c r="BE6" s="163"/>
      <c r="BF6" s="163"/>
      <c r="BG6" s="163"/>
      <c r="BH6" s="163"/>
      <c r="BI6" s="163"/>
      <c r="BJ6" s="163"/>
      <c r="BK6" s="163"/>
      <c r="BL6" s="163"/>
      <c r="BM6" s="163"/>
      <c r="BN6" s="163"/>
      <c r="BO6" s="163"/>
      <c r="BP6" s="163"/>
      <c r="BQ6" s="163"/>
      <c r="BR6" s="163"/>
      <c r="BS6" s="163"/>
      <c r="BT6" s="163"/>
      <c r="BU6" s="163"/>
      <c r="BV6" s="163"/>
      <c r="BW6" s="163"/>
      <c r="BX6" s="163"/>
      <c r="BY6" s="163"/>
      <c r="BZ6" s="163"/>
      <c r="CA6" s="163"/>
      <c r="CB6" s="163"/>
      <c r="CC6" s="163"/>
      <c r="CD6" s="163"/>
      <c r="CE6" s="163"/>
      <c r="CF6" s="163"/>
      <c r="CG6" s="163"/>
      <c r="CH6" s="163"/>
    </row>
    <row r="7">
      <c r="A7" s="152" t="s">
        <v>49</v>
      </c>
      <c r="B7" s="153" t="s">
        <v>138</v>
      </c>
      <c r="M7" s="23"/>
      <c r="N7" s="154" t="s">
        <v>139</v>
      </c>
      <c r="O7" s="179" t="s">
        <v>140</v>
      </c>
      <c r="S7" s="23"/>
      <c r="T7" s="180" t="s">
        <v>141</v>
      </c>
      <c r="U7" s="23"/>
      <c r="V7" s="181" t="s">
        <v>142</v>
      </c>
      <c r="W7" s="23"/>
      <c r="X7" s="182" t="s">
        <v>143</v>
      </c>
      <c r="Y7" s="183" t="s">
        <v>144</v>
      </c>
      <c r="Z7" s="154" t="s">
        <v>145</v>
      </c>
      <c r="AA7" s="156"/>
      <c r="AB7" s="156"/>
      <c r="AC7" s="156"/>
      <c r="AD7" s="156"/>
      <c r="AE7" s="156"/>
      <c r="AF7" s="184" t="s">
        <v>146</v>
      </c>
      <c r="AG7" s="158"/>
      <c r="AH7" s="180" t="s">
        <v>141</v>
      </c>
      <c r="AI7" s="23"/>
      <c r="AJ7" s="185" t="s">
        <v>147</v>
      </c>
      <c r="AK7" s="158"/>
      <c r="AL7" s="152" t="s">
        <v>49</v>
      </c>
      <c r="AM7" s="156"/>
      <c r="AN7" s="156"/>
      <c r="AO7" s="156"/>
      <c r="AP7" s="156"/>
      <c r="AQ7" s="158"/>
      <c r="AR7" s="186" t="s">
        <v>148</v>
      </c>
      <c r="AS7" s="152" t="s">
        <v>49</v>
      </c>
      <c r="AT7" s="161"/>
      <c r="AU7" s="161"/>
      <c r="AW7" s="163"/>
      <c r="AX7" s="163"/>
      <c r="AY7" s="163"/>
      <c r="AZ7" s="163"/>
      <c r="BA7" s="163"/>
      <c r="BB7" s="163"/>
      <c r="BC7" s="163"/>
      <c r="BD7" s="163"/>
      <c r="BE7" s="163"/>
      <c r="BF7" s="163"/>
      <c r="BG7" s="163"/>
      <c r="BH7" s="163"/>
      <c r="BI7" s="163"/>
      <c r="BJ7" s="163"/>
      <c r="BK7" s="163"/>
      <c r="BL7" s="163"/>
      <c r="BM7" s="163"/>
      <c r="BN7" s="163"/>
      <c r="BO7" s="163"/>
      <c r="BP7" s="163"/>
      <c r="BQ7" s="163"/>
      <c r="BR7" s="163"/>
      <c r="BS7" s="163"/>
      <c r="BT7" s="163"/>
      <c r="BU7" s="163"/>
      <c r="BV7" s="163"/>
      <c r="BW7" s="163"/>
      <c r="BX7" s="163"/>
      <c r="BY7" s="163"/>
      <c r="BZ7" s="163"/>
      <c r="CA7" s="163"/>
      <c r="CB7" s="163"/>
      <c r="CC7" s="163"/>
      <c r="CD7" s="163"/>
      <c r="CE7" s="163"/>
      <c r="CF7" s="163"/>
      <c r="CG7" s="163"/>
      <c r="CH7" s="163"/>
    </row>
    <row r="8">
      <c r="A8" s="38"/>
      <c r="B8" s="165" t="s">
        <v>134</v>
      </c>
      <c r="M8" s="23"/>
      <c r="N8" s="23"/>
      <c r="O8" s="187" t="s">
        <v>79</v>
      </c>
      <c r="S8" s="23"/>
      <c r="T8" s="188" t="s">
        <v>45</v>
      </c>
      <c r="U8" s="23"/>
      <c r="V8" s="189" t="s">
        <v>149</v>
      </c>
      <c r="W8" s="23"/>
      <c r="X8" s="190" t="s">
        <v>150</v>
      </c>
      <c r="Y8" s="191" t="s">
        <v>151</v>
      </c>
      <c r="Z8" s="23"/>
      <c r="AA8" s="156"/>
      <c r="AB8" s="156"/>
      <c r="AC8" s="156"/>
      <c r="AD8" s="156"/>
      <c r="AE8" s="156"/>
      <c r="AF8" s="192" t="s">
        <v>152</v>
      </c>
      <c r="AG8" s="168"/>
      <c r="AH8" s="188" t="s">
        <v>45</v>
      </c>
      <c r="AI8" s="23"/>
      <c r="AJ8" s="193" t="s">
        <v>153</v>
      </c>
      <c r="AK8" s="154"/>
      <c r="AL8" s="38"/>
      <c r="AM8" s="156"/>
      <c r="AN8" s="156"/>
      <c r="AO8" s="156"/>
      <c r="AP8" s="156"/>
      <c r="AQ8" s="168"/>
      <c r="AR8" s="194" t="s">
        <v>154</v>
      </c>
      <c r="AS8" s="38"/>
      <c r="AT8" s="161"/>
      <c r="AU8" s="161"/>
      <c r="AV8" s="163"/>
      <c r="AW8" s="163" t="str">
        <f t="array" ref="AW8">TEXTJOIN(" | ", 1, A9:AT9)</f>
        <v>108 | 105 | 106 | ONLINE | 103 | 321 | 209 | 106 STARTS AT 10:50 | 111 | 305</v>
      </c>
      <c r="AX8" s="163"/>
      <c r="AY8" s="163"/>
      <c r="AZ8" s="163"/>
      <c r="BA8" s="163"/>
      <c r="BB8" s="163"/>
      <c r="BC8" s="163"/>
      <c r="BD8" s="163"/>
      <c r="BE8" s="163"/>
      <c r="BF8" s="163"/>
      <c r="BG8" s="163"/>
      <c r="BH8" s="163"/>
      <c r="BI8" s="163"/>
      <c r="BJ8" s="163"/>
      <c r="BK8" s="163"/>
      <c r="BL8" s="163"/>
      <c r="BM8" s="163"/>
      <c r="BN8" s="163"/>
      <c r="BO8" s="163"/>
      <c r="BP8" s="163"/>
      <c r="BQ8" s="163"/>
      <c r="BR8" s="163"/>
      <c r="BS8" s="163"/>
      <c r="BT8" s="163"/>
      <c r="BU8" s="163"/>
      <c r="BV8" s="163"/>
      <c r="BW8" s="163"/>
      <c r="BX8" s="163"/>
      <c r="BY8" s="163"/>
      <c r="BZ8" s="163"/>
      <c r="CA8" s="163"/>
      <c r="CB8" s="163"/>
      <c r="CC8" s="163"/>
      <c r="CD8" s="163"/>
      <c r="CE8" s="163"/>
      <c r="CF8" s="163"/>
      <c r="CG8" s="163"/>
      <c r="CH8" s="163"/>
    </row>
    <row r="9">
      <c r="A9" s="44"/>
      <c r="B9" s="195">
        <v>108.0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7"/>
      <c r="N9" s="47"/>
      <c r="O9" s="196">
        <v>105.0</v>
      </c>
      <c r="P9" s="46"/>
      <c r="Q9" s="46"/>
      <c r="R9" s="46"/>
      <c r="S9" s="47"/>
      <c r="T9" s="197">
        <v>106.0</v>
      </c>
      <c r="U9" s="47"/>
      <c r="V9" s="198" t="s">
        <v>137</v>
      </c>
      <c r="W9" s="47"/>
      <c r="X9" s="199">
        <v>103.0</v>
      </c>
      <c r="Y9" s="200">
        <v>321.0</v>
      </c>
      <c r="Z9" s="47"/>
      <c r="AA9" s="172"/>
      <c r="AB9" s="172"/>
      <c r="AC9" s="172"/>
      <c r="AD9" s="172"/>
      <c r="AE9" s="172"/>
      <c r="AF9" s="201">
        <v>209.0</v>
      </c>
      <c r="AG9" s="202"/>
      <c r="AH9" s="203" t="s">
        <v>155</v>
      </c>
      <c r="AI9" s="47"/>
      <c r="AJ9" s="204">
        <v>111.0</v>
      </c>
      <c r="AK9" s="174"/>
      <c r="AL9" s="44"/>
      <c r="AM9" s="172"/>
      <c r="AN9" s="172"/>
      <c r="AO9" s="172"/>
      <c r="AP9" s="172"/>
      <c r="AQ9" s="205"/>
      <c r="AR9" s="206">
        <v>305.0</v>
      </c>
      <c r="AS9" s="44"/>
      <c r="AT9" s="177"/>
      <c r="AU9" s="177"/>
      <c r="AV9" s="164" t="str">
        <f>IFERROR(__xludf.DUMMYFUNCTION("TEXTJOIN("" / "", TRUE, FILTER(TO_TEXT(SPLIT($AZ$4, "" / "")), NOT(REGEXMATCH(TO_TEXT(SPLIT($AZ$4, "" / "")), ""\b"" &amp; TEXTJOIN(""|"", TRUE, SPLIT(AW9, "" / "")) &amp; ""\b""))))"),"101 / 102 / 104 / 107 / 300 / 301 / 303 / 304 / 306 / 307 / 308 / 312 / 313 / 314 / 316 / 317 / 318 / 320 / 421 / 460 / 461")</f>
        <v>101 / 102 / 104 / 107 / 300 / 301 / 303 / 304 / 306 / 307 / 308 / 312 / 313 / 314 / 316 / 317 / 318 / 320 / 421 / 460 / 461</v>
      </c>
      <c r="AW9" s="178" t="str">
        <f>IFERROR(__xludf.DUMMYFUNCTION("TEXTJOIN("" / "", 1, SORT(UNIQUE(TRANSPOSE(SPLIT(TRIM(REGEXREPLACE(AW8,""([0-9]{3}[a-zA-Z]?)|."",""$1 "")), "" "")))))"),"103 / 105 / 106 / 108 / 111 / 209 / 305 / 321")</f>
        <v>103 / 105 / 106 / 108 / 111 / 209 / 305 / 321</v>
      </c>
      <c r="AX9" s="163"/>
      <c r="AY9" s="163"/>
      <c r="AZ9" s="163"/>
      <c r="BA9" s="163"/>
      <c r="BB9" s="163"/>
      <c r="BC9" s="163"/>
      <c r="BD9" s="163"/>
      <c r="BE9" s="163"/>
      <c r="BF9" s="163"/>
      <c r="BG9" s="163"/>
      <c r="BH9" s="163"/>
      <c r="BI9" s="163"/>
      <c r="BJ9" s="163"/>
      <c r="BK9" s="163"/>
      <c r="BL9" s="163"/>
      <c r="BM9" s="163"/>
      <c r="BN9" s="163"/>
      <c r="BO9" s="163"/>
      <c r="BP9" s="163"/>
      <c r="BQ9" s="163"/>
      <c r="BR9" s="163"/>
      <c r="BS9" s="163"/>
      <c r="BT9" s="163"/>
      <c r="BU9" s="163"/>
      <c r="BV9" s="163"/>
      <c r="BW9" s="163"/>
      <c r="BX9" s="163"/>
      <c r="BY9" s="163"/>
      <c r="BZ9" s="163"/>
      <c r="CA9" s="163"/>
      <c r="CB9" s="163"/>
      <c r="CC9" s="163"/>
      <c r="CD9" s="163"/>
      <c r="CE9" s="163"/>
      <c r="CF9" s="163"/>
      <c r="CG9" s="163"/>
      <c r="CH9" s="163"/>
    </row>
    <row r="10">
      <c r="A10" s="152" t="s">
        <v>51</v>
      </c>
      <c r="B10" s="207" t="s">
        <v>156</v>
      </c>
      <c r="C10" s="208" t="s">
        <v>157</v>
      </c>
      <c r="D10" s="207" t="s">
        <v>156</v>
      </c>
      <c r="E10" s="208" t="s">
        <v>157</v>
      </c>
      <c r="F10" s="208" t="s">
        <v>157</v>
      </c>
      <c r="G10" s="208" t="s">
        <v>157</v>
      </c>
      <c r="H10" s="207" t="s">
        <v>156</v>
      </c>
      <c r="I10" s="208" t="s">
        <v>157</v>
      </c>
      <c r="J10" s="207" t="s">
        <v>156</v>
      </c>
      <c r="K10" s="208" t="s">
        <v>157</v>
      </c>
      <c r="L10" s="63"/>
      <c r="M10" s="208" t="s">
        <v>157</v>
      </c>
      <c r="N10" s="154" t="s">
        <v>158</v>
      </c>
      <c r="O10" s="209" t="s">
        <v>159</v>
      </c>
      <c r="S10" s="23"/>
      <c r="T10" s="159"/>
      <c r="U10" s="210" t="s">
        <v>160</v>
      </c>
      <c r="V10" s="209" t="s">
        <v>159</v>
      </c>
      <c r="W10" s="23"/>
      <c r="X10" s="156"/>
      <c r="Y10" s="183" t="s">
        <v>161</v>
      </c>
      <c r="Z10" s="154" t="s">
        <v>162</v>
      </c>
      <c r="AA10" s="179" t="s">
        <v>163</v>
      </c>
      <c r="AC10" s="23"/>
      <c r="AD10" s="156"/>
      <c r="AE10" s="156"/>
      <c r="AF10" s="159"/>
      <c r="AG10" s="184" t="s">
        <v>146</v>
      </c>
      <c r="AH10" s="210" t="s">
        <v>160</v>
      </c>
      <c r="AI10" s="159"/>
      <c r="AJ10" s="185" t="s">
        <v>164</v>
      </c>
      <c r="AK10" s="156"/>
      <c r="AL10" s="152" t="s">
        <v>51</v>
      </c>
      <c r="AM10" s="156"/>
      <c r="AN10" s="156"/>
      <c r="AO10" s="156"/>
      <c r="AP10" s="156"/>
      <c r="AQ10" s="158"/>
      <c r="AR10" s="186" t="s">
        <v>148</v>
      </c>
      <c r="AS10" s="152" t="s">
        <v>51</v>
      </c>
      <c r="AT10" s="211"/>
      <c r="AU10" s="211"/>
      <c r="AV10" s="163"/>
      <c r="AW10" s="163"/>
      <c r="AX10" s="163"/>
      <c r="AY10" s="163"/>
      <c r="AZ10" s="163"/>
      <c r="BA10" s="163"/>
      <c r="BB10" s="163"/>
      <c r="BC10" s="163"/>
      <c r="BD10" s="163"/>
      <c r="BE10" s="163"/>
      <c r="BF10" s="163"/>
      <c r="BG10" s="163"/>
      <c r="BH10" s="163"/>
      <c r="BI10" s="163"/>
      <c r="BJ10" s="163"/>
      <c r="BK10" s="163"/>
      <c r="BL10" s="163"/>
      <c r="BM10" s="163"/>
      <c r="BN10" s="163"/>
      <c r="BO10" s="163"/>
      <c r="BP10" s="163"/>
      <c r="BQ10" s="163"/>
      <c r="BR10" s="163"/>
      <c r="BS10" s="163"/>
      <c r="BT10" s="163"/>
      <c r="BU10" s="163"/>
      <c r="BV10" s="163"/>
      <c r="BW10" s="163"/>
      <c r="BX10" s="163"/>
      <c r="BY10" s="163"/>
      <c r="BZ10" s="163"/>
      <c r="CA10" s="163"/>
      <c r="CB10" s="163"/>
      <c r="CC10" s="163"/>
      <c r="CD10" s="163"/>
      <c r="CE10" s="163"/>
      <c r="CF10" s="163"/>
      <c r="CG10" s="163"/>
      <c r="CH10" s="163"/>
    </row>
    <row r="11">
      <c r="A11" s="38"/>
      <c r="B11" s="212" t="s">
        <v>54</v>
      </c>
      <c r="C11" s="213" t="s">
        <v>165</v>
      </c>
      <c r="D11" s="212" t="s">
        <v>166</v>
      </c>
      <c r="E11" s="213" t="s">
        <v>165</v>
      </c>
      <c r="F11" s="213" t="s">
        <v>165</v>
      </c>
      <c r="G11" s="213" t="s">
        <v>165</v>
      </c>
      <c r="H11" s="214" t="s">
        <v>167</v>
      </c>
      <c r="I11" s="213" t="s">
        <v>165</v>
      </c>
      <c r="J11" s="212" t="s">
        <v>168</v>
      </c>
      <c r="K11" s="213" t="s">
        <v>165</v>
      </c>
      <c r="L11" s="69"/>
      <c r="M11" s="213" t="s">
        <v>165</v>
      </c>
      <c r="N11" s="23"/>
      <c r="O11" s="215" t="s">
        <v>169</v>
      </c>
      <c r="S11" s="23"/>
      <c r="T11" s="159"/>
      <c r="U11" s="216" t="s">
        <v>170</v>
      </c>
      <c r="V11" s="215" t="s">
        <v>169</v>
      </c>
      <c r="W11" s="23"/>
      <c r="X11" s="156"/>
      <c r="Y11" s="217" t="s">
        <v>151</v>
      </c>
      <c r="Z11" s="23"/>
      <c r="AA11" s="218" t="s">
        <v>134</v>
      </c>
      <c r="AC11" s="23"/>
      <c r="AD11" s="156"/>
      <c r="AE11" s="156"/>
      <c r="AF11" s="159"/>
      <c r="AG11" s="192" t="s">
        <v>152</v>
      </c>
      <c r="AH11" s="216" t="s">
        <v>150</v>
      </c>
      <c r="AI11" s="159"/>
      <c r="AJ11" s="219" t="s">
        <v>153</v>
      </c>
      <c r="AK11" s="156"/>
      <c r="AL11" s="38"/>
      <c r="AM11" s="156"/>
      <c r="AN11" s="156"/>
      <c r="AO11" s="156"/>
      <c r="AP11" s="156"/>
      <c r="AQ11" s="168"/>
      <c r="AR11" s="194" t="s">
        <v>154</v>
      </c>
      <c r="AS11" s="38"/>
      <c r="AT11" s="211"/>
      <c r="AU11" s="211"/>
      <c r="AV11" s="163"/>
      <c r="AW11" s="163" t="str">
        <f t="array" ref="AW11">TEXTJOIN(" | ", 1, A12:AT12)</f>
        <v>308 | 103/104/301/304/306/317/421 | 300 | 103/104/301/304/306/317/421 | 103/104/301/304/306/317/421 | 103/104/301/304/306/317/421 | 303 | 103/104/301/304/306/317/421 | 101 | 103/104/301/304/306/317/421 | 103/104/301/304/306/317/421 | ONLINE | 320 | ONLINE | 321 | 106 | 209 | 461 | 111 | 305</v>
      </c>
      <c r="AX11" s="163"/>
      <c r="AY11" s="163"/>
      <c r="AZ11" s="163"/>
      <c r="BA11" s="163"/>
      <c r="BB11" s="163"/>
      <c r="BC11" s="163"/>
      <c r="BD11" s="163"/>
      <c r="BE11" s="163"/>
      <c r="BF11" s="163"/>
      <c r="BG11" s="163"/>
      <c r="BH11" s="163"/>
      <c r="BI11" s="163"/>
      <c r="BJ11" s="163"/>
      <c r="BK11" s="163"/>
      <c r="BL11" s="163"/>
      <c r="BM11" s="163"/>
      <c r="BN11" s="163"/>
      <c r="BO11" s="163"/>
      <c r="BP11" s="163"/>
      <c r="BQ11" s="163"/>
      <c r="BR11" s="163"/>
      <c r="BS11" s="163"/>
      <c r="BT11" s="163"/>
      <c r="BU11" s="163"/>
      <c r="BV11" s="163"/>
      <c r="BW11" s="163"/>
      <c r="BX11" s="163"/>
      <c r="BY11" s="163"/>
      <c r="BZ11" s="163"/>
      <c r="CA11" s="163"/>
      <c r="CB11" s="163"/>
      <c r="CC11" s="163"/>
      <c r="CD11" s="163"/>
      <c r="CE11" s="163"/>
      <c r="CF11" s="163"/>
      <c r="CG11" s="163"/>
      <c r="CH11" s="163"/>
    </row>
    <row r="12">
      <c r="A12" s="44"/>
      <c r="B12" s="220">
        <v>308.0</v>
      </c>
      <c r="C12" s="221" t="s">
        <v>171</v>
      </c>
      <c r="D12" s="222">
        <v>300.0</v>
      </c>
      <c r="E12" s="221" t="s">
        <v>171</v>
      </c>
      <c r="F12" s="221" t="s">
        <v>171</v>
      </c>
      <c r="G12" s="221" t="s">
        <v>171</v>
      </c>
      <c r="H12" s="222">
        <v>303.0</v>
      </c>
      <c r="I12" s="221" t="s">
        <v>171</v>
      </c>
      <c r="J12" s="222">
        <v>101.0</v>
      </c>
      <c r="K12" s="221" t="s">
        <v>171</v>
      </c>
      <c r="L12" s="76"/>
      <c r="M12" s="221" t="s">
        <v>171</v>
      </c>
      <c r="N12" s="47"/>
      <c r="O12" s="223" t="s">
        <v>137</v>
      </c>
      <c r="P12" s="46"/>
      <c r="Q12" s="46"/>
      <c r="R12" s="46"/>
      <c r="S12" s="47"/>
      <c r="T12" s="175"/>
      <c r="U12" s="224">
        <v>320.0</v>
      </c>
      <c r="V12" s="223" t="s">
        <v>137</v>
      </c>
      <c r="W12" s="47"/>
      <c r="X12" s="172"/>
      <c r="Y12" s="200">
        <v>321.0</v>
      </c>
      <c r="Z12" s="47"/>
      <c r="AA12" s="225">
        <v>106.0</v>
      </c>
      <c r="AB12" s="46"/>
      <c r="AC12" s="47"/>
      <c r="AD12" s="172"/>
      <c r="AE12" s="172"/>
      <c r="AF12" s="175"/>
      <c r="AG12" s="201">
        <v>209.0</v>
      </c>
      <c r="AH12" s="224">
        <v>461.0</v>
      </c>
      <c r="AI12" s="175"/>
      <c r="AJ12" s="204">
        <v>111.0</v>
      </c>
      <c r="AK12" s="172"/>
      <c r="AL12" s="44"/>
      <c r="AM12" s="172"/>
      <c r="AN12" s="172"/>
      <c r="AO12" s="172"/>
      <c r="AP12" s="172"/>
      <c r="AQ12" s="205"/>
      <c r="AR12" s="206">
        <v>305.0</v>
      </c>
      <c r="AS12" s="44"/>
      <c r="AT12" s="226"/>
      <c r="AU12" s="226"/>
      <c r="AV12" s="164" t="str">
        <f>IFERROR(__xludf.DUMMYFUNCTION("TEXTJOIN("" / "", TRUE, FILTER(TO_TEXT(SPLIT($AZ$4, "" / "")), NOT(REGEXMATCH(TO_TEXT(SPLIT($AZ$4, "" / "")), ""\b"" &amp; TEXTJOIN(""|"", TRUE, SPLIT(AW12, "" / "")) &amp; ""\b""))))"),"102 / 105 / 107 / 108 / 307 / 312 / 313 / 314 / 316 / 318 / 460")</f>
        <v>102 / 105 / 107 / 108 / 307 / 312 / 313 / 314 / 316 / 318 / 460</v>
      </c>
      <c r="AW12" s="178" t="str">
        <f>IFERROR(__xludf.DUMMYFUNCTION("TEXTJOIN("" / "", 1, SORT(UNIQUE(TRANSPOSE(SPLIT(TRIM(REGEXREPLACE(AW11,""([0-9]{3}[a-zA-Z]?)|."",""$1 "")), "" "")))))"),"101 / 103 / 104 / 106 / 111 / 209 / 300 / 301 / 303 / 304 / 305 / 306 / 308 / 317 / 320 / 321 / 421 / 461")</f>
        <v>101 / 103 / 104 / 106 / 111 / 209 / 300 / 301 / 303 / 304 / 305 / 306 / 308 / 317 / 320 / 321 / 421 / 461</v>
      </c>
      <c r="AX12" s="163"/>
      <c r="AY12" s="163"/>
      <c r="AZ12" s="163"/>
      <c r="BA12" s="163"/>
      <c r="BB12" s="163"/>
      <c r="BC12" s="163"/>
      <c r="BD12" s="163"/>
      <c r="BE12" s="163"/>
      <c r="BF12" s="163"/>
      <c r="BG12" s="163"/>
      <c r="BH12" s="163"/>
      <c r="BI12" s="163"/>
      <c r="BJ12" s="163"/>
      <c r="BK12" s="163"/>
      <c r="BL12" s="163"/>
      <c r="BM12" s="163"/>
      <c r="BN12" s="163"/>
      <c r="BO12" s="163"/>
      <c r="BP12" s="163"/>
      <c r="BQ12" s="163"/>
      <c r="BR12" s="163"/>
      <c r="BS12" s="163"/>
      <c r="BT12" s="163"/>
      <c r="BU12" s="163"/>
      <c r="BV12" s="163"/>
      <c r="BW12" s="163"/>
      <c r="BX12" s="163"/>
      <c r="BY12" s="163"/>
      <c r="BZ12" s="163"/>
      <c r="CA12" s="163"/>
      <c r="CB12" s="163"/>
      <c r="CC12" s="163"/>
      <c r="CD12" s="163"/>
      <c r="CE12" s="163"/>
      <c r="CF12" s="163"/>
      <c r="CG12" s="163"/>
      <c r="CH12" s="163"/>
    </row>
    <row r="13">
      <c r="A13" s="152" t="s">
        <v>59</v>
      </c>
      <c r="B13" s="208" t="s">
        <v>157</v>
      </c>
      <c r="C13" s="208" t="s">
        <v>157</v>
      </c>
      <c r="D13" s="208" t="s">
        <v>157</v>
      </c>
      <c r="E13" s="207" t="s">
        <v>156</v>
      </c>
      <c r="F13" s="208" t="s">
        <v>157</v>
      </c>
      <c r="G13" s="207" t="s">
        <v>156</v>
      </c>
      <c r="H13" s="208" t="s">
        <v>157</v>
      </c>
      <c r="I13" s="207" t="s">
        <v>156</v>
      </c>
      <c r="J13" s="208" t="s">
        <v>157</v>
      </c>
      <c r="K13" s="207" t="s">
        <v>156</v>
      </c>
      <c r="L13" s="208" t="s">
        <v>157</v>
      </c>
      <c r="M13" s="208" t="s">
        <v>157</v>
      </c>
      <c r="N13" s="154" t="s">
        <v>172</v>
      </c>
      <c r="O13" s="227"/>
      <c r="P13" s="156"/>
      <c r="Q13" s="156"/>
      <c r="R13" s="228"/>
      <c r="S13" s="227"/>
      <c r="T13" s="229" t="s">
        <v>160</v>
      </c>
      <c r="U13" s="230"/>
      <c r="V13" s="227"/>
      <c r="W13" s="227"/>
      <c r="X13" s="156"/>
      <c r="Y13" s="183" t="s">
        <v>173</v>
      </c>
      <c r="Z13" s="154" t="s">
        <v>174</v>
      </c>
      <c r="AA13" s="231" t="s">
        <v>175</v>
      </c>
      <c r="AB13" s="231" t="s">
        <v>175</v>
      </c>
      <c r="AC13" s="156"/>
      <c r="AD13" s="156"/>
      <c r="AE13" s="156"/>
      <c r="AF13" s="159"/>
      <c r="AG13" s="159"/>
      <c r="AH13" s="159"/>
      <c r="AI13" s="210" t="s">
        <v>160</v>
      </c>
      <c r="AJ13" s="185" t="s">
        <v>164</v>
      </c>
      <c r="AK13" s="156"/>
      <c r="AL13" s="152" t="s">
        <v>59</v>
      </c>
      <c r="AM13" s="156"/>
      <c r="AN13" s="156"/>
      <c r="AO13" s="156"/>
      <c r="AP13" s="232"/>
      <c r="AQ13" s="233" t="s">
        <v>176</v>
      </c>
      <c r="AR13" s="186" t="s">
        <v>177</v>
      </c>
      <c r="AS13" s="152" t="s">
        <v>59</v>
      </c>
      <c r="AT13" s="211"/>
      <c r="AU13" s="211"/>
      <c r="AV13" s="163"/>
      <c r="AW13" s="163"/>
      <c r="AX13" s="163"/>
      <c r="AY13" s="163"/>
      <c r="AZ13" s="163"/>
      <c r="BA13" s="163"/>
      <c r="BB13" s="163"/>
      <c r="BC13" s="163"/>
      <c r="BD13" s="163"/>
      <c r="BE13" s="163"/>
      <c r="BF13" s="163"/>
      <c r="BG13" s="163"/>
      <c r="BH13" s="163"/>
      <c r="BI13" s="163"/>
      <c r="BJ13" s="163"/>
      <c r="BK13" s="163"/>
      <c r="BL13" s="163"/>
      <c r="BM13" s="163"/>
      <c r="BN13" s="163"/>
      <c r="BO13" s="163"/>
      <c r="BP13" s="163"/>
      <c r="BQ13" s="163"/>
      <c r="BR13" s="163"/>
      <c r="BS13" s="163"/>
      <c r="BT13" s="163"/>
      <c r="BU13" s="163"/>
      <c r="BV13" s="163"/>
      <c r="BW13" s="163"/>
      <c r="BX13" s="163"/>
      <c r="BY13" s="163"/>
      <c r="BZ13" s="163"/>
      <c r="CA13" s="163"/>
      <c r="CB13" s="163"/>
      <c r="CC13" s="163"/>
      <c r="CD13" s="163"/>
      <c r="CE13" s="163"/>
      <c r="CF13" s="163"/>
      <c r="CG13" s="163"/>
      <c r="CH13" s="163"/>
    </row>
    <row r="14">
      <c r="A14" s="38"/>
      <c r="B14" s="213" t="s">
        <v>165</v>
      </c>
      <c r="C14" s="213" t="s">
        <v>165</v>
      </c>
      <c r="D14" s="213" t="s">
        <v>165</v>
      </c>
      <c r="E14" s="212" t="s">
        <v>166</v>
      </c>
      <c r="F14" s="213" t="s">
        <v>165</v>
      </c>
      <c r="G14" s="214" t="s">
        <v>167</v>
      </c>
      <c r="H14" s="213" t="s">
        <v>165</v>
      </c>
      <c r="I14" s="212" t="s">
        <v>54</v>
      </c>
      <c r="J14" s="213" t="s">
        <v>165</v>
      </c>
      <c r="K14" s="212" t="s">
        <v>168</v>
      </c>
      <c r="L14" s="213" t="s">
        <v>165</v>
      </c>
      <c r="M14" s="213" t="s">
        <v>165</v>
      </c>
      <c r="N14" s="23"/>
      <c r="O14" s="234"/>
      <c r="P14" s="156"/>
      <c r="Q14" s="156"/>
      <c r="R14" s="161"/>
      <c r="S14" s="234"/>
      <c r="T14" s="216" t="s">
        <v>170</v>
      </c>
      <c r="U14" s="230"/>
      <c r="V14" s="234"/>
      <c r="W14" s="234"/>
      <c r="X14" s="156"/>
      <c r="Y14" s="217" t="s">
        <v>151</v>
      </c>
      <c r="Z14" s="23"/>
      <c r="AA14" s="235" t="s">
        <v>178</v>
      </c>
      <c r="AB14" s="236" t="s">
        <v>179</v>
      </c>
      <c r="AC14" s="156"/>
      <c r="AD14" s="156"/>
      <c r="AE14" s="156"/>
      <c r="AF14" s="159"/>
      <c r="AG14" s="159"/>
      <c r="AH14" s="159"/>
      <c r="AI14" s="216" t="s">
        <v>150</v>
      </c>
      <c r="AJ14" s="219" t="s">
        <v>153</v>
      </c>
      <c r="AK14" s="156"/>
      <c r="AL14" s="38"/>
      <c r="AM14" s="156"/>
      <c r="AN14" s="156"/>
      <c r="AO14" s="156"/>
      <c r="AP14" s="237"/>
      <c r="AQ14" s="238" t="s">
        <v>180</v>
      </c>
      <c r="AR14" s="239" t="s">
        <v>181</v>
      </c>
      <c r="AS14" s="38"/>
      <c r="AT14" s="211"/>
      <c r="AU14" s="211"/>
      <c r="AV14" s="163"/>
      <c r="AW14" s="163" t="str">
        <f t="array" ref="AW14">TEXTJOIN(" | ", 1, A15:AT15)</f>
        <v>103/104/301/304/306/317/421 | 103/104/301/304/306/317/421 | 103/104/301/304/306/317/421 | 300 | 103/104/301/304/306/317/421 | 303 | 103/104/301/304/306/317/421 | 308 (460 ON 21/04) | 103/104/301/304/306/317/421 | 101 | 103/104/301/304/306/317/421 | 103/104/301/304/306/317/421 | 320 | 321 | 314 | 318 | 461 | 111 | ONLINE ON 21/04 STARTS AT 14:30 | 305</v>
      </c>
      <c r="AX14" s="163"/>
      <c r="AY14" s="163"/>
      <c r="AZ14" s="163"/>
      <c r="BA14" s="163"/>
      <c r="BB14" s="163"/>
      <c r="BC14" s="163"/>
      <c r="BD14" s="163"/>
      <c r="BE14" s="163"/>
      <c r="BF14" s="163"/>
      <c r="BG14" s="163"/>
      <c r="BH14" s="163"/>
      <c r="BI14" s="163"/>
      <c r="BJ14" s="163"/>
      <c r="BK14" s="163"/>
      <c r="BL14" s="163"/>
      <c r="BM14" s="163"/>
      <c r="BN14" s="163"/>
      <c r="BO14" s="163"/>
      <c r="BP14" s="163"/>
      <c r="BQ14" s="163"/>
      <c r="BR14" s="163"/>
      <c r="BS14" s="163"/>
      <c r="BT14" s="163"/>
      <c r="BU14" s="163"/>
      <c r="BV14" s="163"/>
      <c r="BW14" s="163"/>
      <c r="BX14" s="163"/>
      <c r="BY14" s="163"/>
      <c r="BZ14" s="163"/>
      <c r="CA14" s="163"/>
      <c r="CB14" s="163"/>
      <c r="CC14" s="163"/>
      <c r="CD14" s="163"/>
      <c r="CE14" s="163"/>
      <c r="CF14" s="163"/>
      <c r="CG14" s="163"/>
      <c r="CH14" s="163"/>
    </row>
    <row r="15">
      <c r="A15" s="44"/>
      <c r="B15" s="221" t="s">
        <v>171</v>
      </c>
      <c r="C15" s="221" t="s">
        <v>171</v>
      </c>
      <c r="D15" s="221" t="s">
        <v>171</v>
      </c>
      <c r="E15" s="222">
        <v>300.0</v>
      </c>
      <c r="F15" s="221" t="s">
        <v>171</v>
      </c>
      <c r="G15" s="222">
        <v>303.0</v>
      </c>
      <c r="H15" s="221" t="s">
        <v>171</v>
      </c>
      <c r="I15" s="220" t="s">
        <v>182</v>
      </c>
      <c r="J15" s="221" t="s">
        <v>171</v>
      </c>
      <c r="K15" s="222">
        <v>101.0</v>
      </c>
      <c r="L15" s="221" t="s">
        <v>171</v>
      </c>
      <c r="M15" s="221" t="s">
        <v>171</v>
      </c>
      <c r="N15" s="47"/>
      <c r="O15" s="240"/>
      <c r="P15" s="172"/>
      <c r="Q15" s="241"/>
      <c r="R15" s="242"/>
      <c r="S15" s="240"/>
      <c r="T15" s="224">
        <v>320.0</v>
      </c>
      <c r="U15" s="243"/>
      <c r="V15" s="240"/>
      <c r="W15" s="240"/>
      <c r="X15" s="172"/>
      <c r="Y15" s="200">
        <v>321.0</v>
      </c>
      <c r="Z15" s="47"/>
      <c r="AA15" s="244">
        <v>314.0</v>
      </c>
      <c r="AB15" s="244">
        <v>318.0</v>
      </c>
      <c r="AC15" s="172"/>
      <c r="AD15" s="172"/>
      <c r="AE15" s="172"/>
      <c r="AF15" s="175"/>
      <c r="AG15" s="175"/>
      <c r="AH15" s="175"/>
      <c r="AI15" s="224">
        <v>461.0</v>
      </c>
      <c r="AJ15" s="204">
        <v>111.0</v>
      </c>
      <c r="AK15" s="172"/>
      <c r="AL15" s="44"/>
      <c r="AM15" s="172"/>
      <c r="AN15" s="172"/>
      <c r="AO15" s="172"/>
      <c r="AP15" s="245"/>
      <c r="AQ15" s="246" t="s">
        <v>183</v>
      </c>
      <c r="AR15" s="206">
        <v>305.0</v>
      </c>
      <c r="AS15" s="44"/>
      <c r="AT15" s="226"/>
      <c r="AU15" s="226"/>
      <c r="AV15" s="164" t="str">
        <f>IFERROR(__xludf.DUMMYFUNCTION("TEXTJOIN("" / "", TRUE, FILTER(TO_TEXT(SPLIT($AZ$4, "" / "")), NOT(REGEXMATCH(TO_TEXT(SPLIT($AZ$4, "" / "")), ""\b"" &amp; TEXTJOIN(""|"", TRUE, SPLIT(AW15, "" / "")) &amp; ""\b""))))"),"102 / 105 / 106 / 107 / 108 / 209 / 307 / 312 / 313 / 316")</f>
        <v>102 / 105 / 106 / 107 / 108 / 209 / 307 / 312 / 313 / 316</v>
      </c>
      <c r="AW15" s="178" t="str">
        <f>IFERROR(__xludf.DUMMYFUNCTION("TEXTJOIN("" / "", 1, SORT(UNIQUE(TRANSPOSE(SPLIT(TRIM(REGEXREPLACE(AW14,""([0-9]{3}[a-zA-Z]?)|."",""$1 "")), "" "")))))"),"101 / 103 / 104 / 111 / 300 / 301 / 303 / 304 / 305 / 306 / 308 / 314 / 317 / 318 / 320 / 321 / 421 / 460 / 461")</f>
        <v>101 / 103 / 104 / 111 / 300 / 301 / 303 / 304 / 305 / 306 / 308 / 314 / 317 / 318 / 320 / 321 / 421 / 460 / 461</v>
      </c>
      <c r="AX15" s="164"/>
      <c r="AY15" s="164"/>
      <c r="AZ15" s="164"/>
      <c r="BA15" s="164"/>
      <c r="BB15" s="164"/>
      <c r="BC15" s="164"/>
      <c r="BD15" s="164"/>
      <c r="BE15" s="164"/>
      <c r="BF15" s="164"/>
      <c r="BG15" s="164"/>
      <c r="BH15" s="164"/>
      <c r="BI15" s="164"/>
      <c r="BJ15" s="164"/>
      <c r="BK15" s="164"/>
      <c r="BL15" s="164"/>
      <c r="BM15" s="164"/>
      <c r="BN15" s="164"/>
      <c r="BO15" s="164"/>
      <c r="BP15" s="164"/>
      <c r="BQ15" s="164"/>
      <c r="BR15" s="164"/>
      <c r="BS15" s="164"/>
      <c r="BT15" s="164"/>
      <c r="BU15" s="164"/>
      <c r="BV15" s="164"/>
      <c r="BW15" s="164"/>
      <c r="BX15" s="164"/>
      <c r="BY15" s="164"/>
      <c r="BZ15" s="164"/>
      <c r="CA15" s="164"/>
      <c r="CB15" s="164"/>
      <c r="CC15" s="164"/>
      <c r="CD15" s="164"/>
      <c r="CE15" s="164"/>
      <c r="CF15" s="164"/>
      <c r="CG15" s="164"/>
      <c r="CH15" s="164"/>
    </row>
    <row r="16">
      <c r="A16" s="152" t="s">
        <v>64</v>
      </c>
      <c r="B16" s="208" t="s">
        <v>157</v>
      </c>
      <c r="C16" s="207" t="s">
        <v>156</v>
      </c>
      <c r="D16" s="208" t="s">
        <v>157</v>
      </c>
      <c r="E16" s="208" t="s">
        <v>157</v>
      </c>
      <c r="F16" s="207" t="s">
        <v>156</v>
      </c>
      <c r="G16" s="208" t="s">
        <v>157</v>
      </c>
      <c r="H16" s="208" t="s">
        <v>157</v>
      </c>
      <c r="I16" s="208" t="s">
        <v>157</v>
      </c>
      <c r="J16" s="208" t="s">
        <v>157</v>
      </c>
      <c r="K16" s="208" t="s">
        <v>157</v>
      </c>
      <c r="L16" s="208" t="s">
        <v>157</v>
      </c>
      <c r="M16" s="207" t="s">
        <v>156</v>
      </c>
      <c r="N16" s="154" t="s">
        <v>184</v>
      </c>
      <c r="O16" s="156"/>
      <c r="P16" s="156"/>
      <c r="Q16" s="227"/>
      <c r="R16" s="156"/>
      <c r="S16" s="156"/>
      <c r="T16" s="156"/>
      <c r="U16" s="156"/>
      <c r="V16" s="230"/>
      <c r="W16" s="156"/>
      <c r="X16" s="156"/>
      <c r="Y16" s="156"/>
      <c r="Z16" s="154" t="s">
        <v>185</v>
      </c>
      <c r="AA16" s="247" t="s">
        <v>186</v>
      </c>
      <c r="AB16" s="156"/>
      <c r="AC16" s="231" t="s">
        <v>175</v>
      </c>
      <c r="AD16" s="156"/>
      <c r="AE16" s="156"/>
      <c r="AF16" s="156"/>
      <c r="AG16" s="156"/>
      <c r="AH16" s="156"/>
      <c r="AI16" s="156"/>
      <c r="AJ16" s="248" t="s">
        <v>187</v>
      </c>
      <c r="AK16" s="156"/>
      <c r="AL16" s="152" t="s">
        <v>64</v>
      </c>
      <c r="AM16" s="156"/>
      <c r="AN16" s="156"/>
      <c r="AO16" s="156"/>
      <c r="AP16" s="232"/>
      <c r="AQ16" s="233" t="s">
        <v>176</v>
      </c>
      <c r="AR16" s="186" t="s">
        <v>177</v>
      </c>
      <c r="AS16" s="152" t="s">
        <v>64</v>
      </c>
      <c r="AT16" s="63"/>
      <c r="AU16" s="63"/>
      <c r="AV16" s="163"/>
      <c r="AW16" s="163"/>
      <c r="AX16" s="163"/>
      <c r="AY16" s="163"/>
      <c r="AZ16" s="163"/>
      <c r="BA16" s="163"/>
      <c r="BB16" s="163"/>
      <c r="BC16" s="163"/>
      <c r="BD16" s="163"/>
      <c r="BE16" s="163"/>
      <c r="BF16" s="163"/>
      <c r="BG16" s="163"/>
      <c r="BH16" s="163"/>
      <c r="BI16" s="163"/>
      <c r="BJ16" s="163"/>
      <c r="BK16" s="163"/>
      <c r="BL16" s="163"/>
      <c r="BM16" s="163"/>
      <c r="BN16" s="163"/>
      <c r="BO16" s="163"/>
      <c r="BP16" s="163"/>
      <c r="BQ16" s="163"/>
      <c r="BR16" s="163"/>
      <c r="BS16" s="163"/>
      <c r="BT16" s="163"/>
      <c r="BU16" s="163"/>
      <c r="BV16" s="163"/>
      <c r="BW16" s="163"/>
      <c r="BX16" s="163"/>
      <c r="BY16" s="163"/>
      <c r="BZ16" s="163"/>
      <c r="CA16" s="163"/>
      <c r="CB16" s="163"/>
      <c r="CC16" s="163"/>
      <c r="CD16" s="163"/>
      <c r="CE16" s="163"/>
      <c r="CF16" s="163"/>
      <c r="CG16" s="163"/>
      <c r="CH16" s="163"/>
    </row>
    <row r="17">
      <c r="A17" s="38"/>
      <c r="B17" s="213" t="s">
        <v>165</v>
      </c>
      <c r="C17" s="212" t="s">
        <v>54</v>
      </c>
      <c r="D17" s="213" t="s">
        <v>165</v>
      </c>
      <c r="E17" s="213" t="s">
        <v>165</v>
      </c>
      <c r="F17" s="212" t="s">
        <v>166</v>
      </c>
      <c r="G17" s="213" t="s">
        <v>165</v>
      </c>
      <c r="H17" s="213" t="s">
        <v>165</v>
      </c>
      <c r="I17" s="213" t="s">
        <v>165</v>
      </c>
      <c r="J17" s="213" t="s">
        <v>165</v>
      </c>
      <c r="K17" s="213" t="s">
        <v>165</v>
      </c>
      <c r="L17" s="213" t="s">
        <v>165</v>
      </c>
      <c r="M17" s="212" t="s">
        <v>168</v>
      </c>
      <c r="N17" s="23"/>
      <c r="O17" s="156"/>
      <c r="P17" s="156"/>
      <c r="Q17" s="234"/>
      <c r="R17" s="156"/>
      <c r="S17" s="156"/>
      <c r="T17" s="156"/>
      <c r="U17" s="156"/>
      <c r="V17" s="230"/>
      <c r="W17" s="156"/>
      <c r="X17" s="156"/>
      <c r="Y17" s="156"/>
      <c r="Z17" s="23"/>
      <c r="AA17" s="249" t="s">
        <v>188</v>
      </c>
      <c r="AB17" s="156"/>
      <c r="AC17" s="236" t="s">
        <v>179</v>
      </c>
      <c r="AD17" s="156"/>
      <c r="AE17" s="156"/>
      <c r="AF17" s="156"/>
      <c r="AG17" s="156"/>
      <c r="AH17" s="156"/>
      <c r="AI17" s="156"/>
      <c r="AJ17" s="250" t="s">
        <v>189</v>
      </c>
      <c r="AK17" s="156"/>
      <c r="AL17" s="38"/>
      <c r="AM17" s="156"/>
      <c r="AN17" s="156"/>
      <c r="AO17" s="156"/>
      <c r="AP17" s="237"/>
      <c r="AQ17" s="238" t="s">
        <v>180</v>
      </c>
      <c r="AR17" s="239" t="s">
        <v>181</v>
      </c>
      <c r="AS17" s="38"/>
      <c r="AT17" s="69"/>
      <c r="AU17" s="69"/>
      <c r="AV17" s="163"/>
      <c r="AW17" s="163" t="str">
        <f t="array" ref="AW17">TEXTJOIN(" | ", 1, A18:AT18)</f>
        <v>103/104/301/304/306/317/421 | 308 | 103/104/301/304/306/317/421 | 103/104/301/304/306/317/421 | 300 | 103/104/301/304/306/317/421 | 103/104/301/304/306/317/421 | 103/104/301/304/306/317/421 | 103/104/301/304/306/317/421 | 103/104/301/304/306/317/421 | 103/104/301/304/306/317/421 | 101 | 314 | 318 | 102 ON 28/04 | ONLINE ON 21/04 STARTS AT 14:30 | 305</v>
      </c>
      <c r="AX17" s="163"/>
      <c r="AY17" s="163"/>
      <c r="AZ17" s="163"/>
      <c r="BA17" s="163"/>
      <c r="BB17" s="163"/>
      <c r="BC17" s="163"/>
      <c r="BD17" s="163"/>
      <c r="BE17" s="163"/>
      <c r="BF17" s="163"/>
      <c r="BG17" s="163"/>
      <c r="BH17" s="163"/>
      <c r="BI17" s="163"/>
      <c r="BJ17" s="163"/>
      <c r="BK17" s="163"/>
      <c r="BL17" s="163"/>
      <c r="BM17" s="163"/>
      <c r="BN17" s="163"/>
      <c r="BO17" s="163"/>
      <c r="BP17" s="163"/>
      <c r="BQ17" s="163"/>
      <c r="BR17" s="163"/>
      <c r="BS17" s="163"/>
      <c r="BT17" s="163"/>
      <c r="BU17" s="163"/>
      <c r="BV17" s="163"/>
      <c r="BW17" s="163"/>
      <c r="BX17" s="163"/>
      <c r="BY17" s="163"/>
      <c r="BZ17" s="163"/>
      <c r="CA17" s="163"/>
      <c r="CB17" s="163"/>
      <c r="CC17" s="163"/>
      <c r="CD17" s="163"/>
      <c r="CE17" s="163"/>
      <c r="CF17" s="163"/>
      <c r="CG17" s="163"/>
      <c r="CH17" s="163"/>
    </row>
    <row r="18">
      <c r="A18" s="44"/>
      <c r="B18" s="221" t="s">
        <v>171</v>
      </c>
      <c r="C18" s="220">
        <v>308.0</v>
      </c>
      <c r="D18" s="221" t="s">
        <v>171</v>
      </c>
      <c r="E18" s="221" t="s">
        <v>171</v>
      </c>
      <c r="F18" s="222">
        <v>300.0</v>
      </c>
      <c r="G18" s="221" t="s">
        <v>171</v>
      </c>
      <c r="H18" s="221" t="s">
        <v>171</v>
      </c>
      <c r="I18" s="221" t="s">
        <v>171</v>
      </c>
      <c r="J18" s="221" t="s">
        <v>171</v>
      </c>
      <c r="K18" s="221" t="s">
        <v>171</v>
      </c>
      <c r="L18" s="221" t="s">
        <v>171</v>
      </c>
      <c r="M18" s="222">
        <v>101.0</v>
      </c>
      <c r="N18" s="47"/>
      <c r="O18" s="172"/>
      <c r="P18" s="172"/>
      <c r="Q18" s="240"/>
      <c r="R18" s="172"/>
      <c r="S18" s="241"/>
      <c r="T18" s="172"/>
      <c r="U18" s="172"/>
      <c r="V18" s="243"/>
      <c r="W18" s="241"/>
      <c r="X18" s="172"/>
      <c r="Y18" s="172"/>
      <c r="Z18" s="47"/>
      <c r="AA18" s="251">
        <v>314.0</v>
      </c>
      <c r="AB18" s="172"/>
      <c r="AC18" s="244">
        <v>318.0</v>
      </c>
      <c r="AD18" s="172"/>
      <c r="AE18" s="172"/>
      <c r="AF18" s="172"/>
      <c r="AG18" s="172"/>
      <c r="AH18" s="172"/>
      <c r="AI18" s="172"/>
      <c r="AJ18" s="252" t="s">
        <v>190</v>
      </c>
      <c r="AK18" s="172"/>
      <c r="AL18" s="44"/>
      <c r="AM18" s="172"/>
      <c r="AN18" s="172"/>
      <c r="AO18" s="172"/>
      <c r="AP18" s="245"/>
      <c r="AQ18" s="246" t="s">
        <v>183</v>
      </c>
      <c r="AR18" s="206">
        <v>305.0</v>
      </c>
      <c r="AS18" s="44"/>
      <c r="AT18" s="76"/>
      <c r="AU18" s="76"/>
      <c r="AV18" s="164" t="str">
        <f>IFERROR(__xludf.DUMMYFUNCTION("TEXTJOIN("" / "", TRUE, FILTER(TO_TEXT(SPLIT($AZ$4, "" / "")), NOT(REGEXMATCH(TO_TEXT(SPLIT($AZ$4, "" / "")), ""\b"" &amp; TEXTJOIN(""|"", TRUE, SPLIT(AW18, "" / "")) &amp; ""\b""))))"),"105 / 106 / 107 / 108 / 111 / 209 / 303 / 307 / 312 / 313 / 316 / 320 / 321 / 460 / 461")</f>
        <v>105 / 106 / 107 / 108 / 111 / 209 / 303 / 307 / 312 / 313 / 316 / 320 / 321 / 460 / 461</v>
      </c>
      <c r="AW18" s="178" t="str">
        <f>IFERROR(__xludf.DUMMYFUNCTION("TEXTJOIN("" / "", 1, SORT(UNIQUE(TRANSPOSE(SPLIT(TRIM(REGEXREPLACE(AW17,""([0-9]{3}[a-zA-Z]?)|."",""$1 "")), "" "")))))"),"101 / 102 / 103 / 104 / 300 / 301 / 304 / 305 / 306 / 308 / 314 / 317 / 318 / 421")</f>
        <v>101 / 102 / 103 / 104 / 300 / 301 / 304 / 305 / 306 / 308 / 314 / 317 / 318 / 421</v>
      </c>
      <c r="AX18" s="163"/>
      <c r="AY18" s="163"/>
      <c r="AZ18" s="163"/>
      <c r="BA18" s="163"/>
      <c r="BB18" s="163"/>
      <c r="BC18" s="163"/>
      <c r="BD18" s="163"/>
      <c r="BE18" s="163"/>
      <c r="BF18" s="163"/>
      <c r="BG18" s="163"/>
      <c r="BH18" s="163"/>
      <c r="BI18" s="163"/>
      <c r="BJ18" s="163"/>
      <c r="BK18" s="163"/>
      <c r="BL18" s="163"/>
      <c r="BM18" s="163"/>
      <c r="BN18" s="163"/>
      <c r="BO18" s="163"/>
      <c r="BP18" s="163"/>
      <c r="BQ18" s="163"/>
      <c r="BR18" s="163"/>
      <c r="BS18" s="163"/>
      <c r="BT18" s="163"/>
      <c r="BU18" s="163"/>
      <c r="BV18" s="163"/>
      <c r="BW18" s="163"/>
      <c r="BX18" s="163"/>
      <c r="BY18" s="163"/>
      <c r="BZ18" s="163"/>
      <c r="CA18" s="163"/>
      <c r="CB18" s="163"/>
      <c r="CC18" s="163"/>
      <c r="CD18" s="163"/>
      <c r="CE18" s="163"/>
      <c r="CF18" s="163"/>
      <c r="CG18" s="163"/>
      <c r="CH18" s="163"/>
    </row>
    <row r="19">
      <c r="A19" s="152" t="s">
        <v>66</v>
      </c>
      <c r="B19" s="253"/>
      <c r="C19" s="156"/>
      <c r="D19" s="156"/>
      <c r="E19" s="156"/>
      <c r="F19" s="156"/>
      <c r="G19" s="156"/>
      <c r="H19" s="156"/>
      <c r="I19" s="156"/>
      <c r="J19" s="156"/>
      <c r="K19" s="156"/>
      <c r="L19" s="207" t="s">
        <v>156</v>
      </c>
      <c r="M19" s="156"/>
      <c r="N19" s="154" t="s">
        <v>191</v>
      </c>
      <c r="O19" s="156"/>
      <c r="P19" s="156"/>
      <c r="Q19" s="156"/>
      <c r="R19" s="156"/>
      <c r="S19" s="156"/>
      <c r="T19" s="156"/>
      <c r="U19" s="156"/>
      <c r="V19" s="156"/>
      <c r="W19" s="156"/>
      <c r="X19" s="156"/>
      <c r="Y19" s="156"/>
      <c r="Z19" s="154" t="s">
        <v>192</v>
      </c>
      <c r="AA19" s="156"/>
      <c r="AB19" s="247" t="s">
        <v>186</v>
      </c>
      <c r="AC19" s="156"/>
      <c r="AD19" s="156"/>
      <c r="AE19" s="156"/>
      <c r="AF19" s="156"/>
      <c r="AG19" s="156"/>
      <c r="AH19" s="156"/>
      <c r="AI19" s="156"/>
      <c r="AJ19" s="248" t="s">
        <v>193</v>
      </c>
      <c r="AK19" s="156"/>
      <c r="AL19" s="152" t="s">
        <v>66</v>
      </c>
      <c r="AM19" s="156"/>
      <c r="AN19" s="156"/>
      <c r="AO19" s="156"/>
      <c r="AP19" s="63"/>
      <c r="AQ19" s="156"/>
      <c r="AR19" s="156"/>
      <c r="AS19" s="152" t="s">
        <v>66</v>
      </c>
      <c r="AT19" s="254"/>
      <c r="AU19" s="254"/>
      <c r="AV19" s="163"/>
      <c r="AW19" s="163"/>
      <c r="AX19" s="163"/>
      <c r="AY19" s="163"/>
      <c r="AZ19" s="163"/>
      <c r="BA19" s="163"/>
      <c r="BB19" s="163"/>
      <c r="BC19" s="163"/>
      <c r="BD19" s="163"/>
      <c r="BE19" s="163"/>
      <c r="BF19" s="163"/>
      <c r="BG19" s="163"/>
      <c r="BH19" s="163"/>
      <c r="BI19" s="163"/>
      <c r="BJ19" s="163"/>
      <c r="BK19" s="163"/>
      <c r="BL19" s="163"/>
      <c r="BM19" s="163"/>
      <c r="BN19" s="163"/>
      <c r="BO19" s="163"/>
      <c r="BP19" s="163"/>
      <c r="BQ19" s="163"/>
      <c r="BR19" s="163"/>
      <c r="BS19" s="163"/>
      <c r="BT19" s="163"/>
      <c r="BU19" s="163"/>
      <c r="BV19" s="163"/>
      <c r="BW19" s="163"/>
      <c r="BX19" s="163"/>
      <c r="BY19" s="163"/>
      <c r="BZ19" s="163"/>
      <c r="CA19" s="163"/>
      <c r="CB19" s="163"/>
      <c r="CC19" s="163"/>
      <c r="CD19" s="163"/>
      <c r="CE19" s="163"/>
      <c r="CF19" s="163"/>
      <c r="CG19" s="163"/>
      <c r="CH19" s="163"/>
    </row>
    <row r="20">
      <c r="A20" s="38"/>
      <c r="B20" s="156"/>
      <c r="C20" s="156"/>
      <c r="D20" s="156"/>
      <c r="E20" s="156"/>
      <c r="F20" s="156"/>
      <c r="G20" s="156"/>
      <c r="H20" s="156"/>
      <c r="I20" s="156"/>
      <c r="J20" s="156"/>
      <c r="K20" s="156"/>
      <c r="L20" s="255" t="s">
        <v>194</v>
      </c>
      <c r="M20" s="156"/>
      <c r="N20" s="23"/>
      <c r="O20" s="156"/>
      <c r="P20" s="156"/>
      <c r="Q20" s="156"/>
      <c r="R20" s="156"/>
      <c r="S20" s="156"/>
      <c r="T20" s="156"/>
      <c r="U20" s="156"/>
      <c r="V20" s="156"/>
      <c r="W20" s="156"/>
      <c r="X20" s="156"/>
      <c r="Y20" s="156"/>
      <c r="Z20" s="23"/>
      <c r="AA20" s="156"/>
      <c r="AB20" s="249" t="s">
        <v>188</v>
      </c>
      <c r="AC20" s="156"/>
      <c r="AD20" s="156"/>
      <c r="AE20" s="156"/>
      <c r="AF20" s="156"/>
      <c r="AG20" s="156"/>
      <c r="AH20" s="156"/>
      <c r="AI20" s="156"/>
      <c r="AJ20" s="250" t="s">
        <v>189</v>
      </c>
      <c r="AK20" s="156"/>
      <c r="AL20" s="38"/>
      <c r="AM20" s="156"/>
      <c r="AN20" s="156"/>
      <c r="AO20" s="156"/>
      <c r="AP20" s="69"/>
      <c r="AQ20" s="156"/>
      <c r="AR20" s="156"/>
      <c r="AS20" s="38"/>
      <c r="AT20" s="254"/>
      <c r="AU20" s="254"/>
      <c r="AV20" s="163"/>
      <c r="AW20" s="163" t="str">
        <f t="array" ref="AW20">TEXTJOIN(" | ", 1, A18:AT18)</f>
        <v>103/104/301/304/306/317/421 | 308 | 103/104/301/304/306/317/421 | 103/104/301/304/306/317/421 | 300 | 103/104/301/304/306/317/421 | 103/104/301/304/306/317/421 | 103/104/301/304/306/317/421 | 103/104/301/304/306/317/421 | 103/104/301/304/306/317/421 | 103/104/301/304/306/317/421 | 101 | 314 | 318 | 102 ON 28/04 | ONLINE ON 21/04 STARTS AT 14:30 | 305</v>
      </c>
      <c r="AX20" s="163"/>
      <c r="AY20" s="163"/>
      <c r="AZ20" s="163"/>
      <c r="BA20" s="163"/>
      <c r="BB20" s="163"/>
      <c r="BC20" s="163"/>
      <c r="BD20" s="163"/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3"/>
      <c r="BQ20" s="163"/>
      <c r="BR20" s="163"/>
      <c r="BS20" s="163"/>
      <c r="BT20" s="163"/>
      <c r="BU20" s="163"/>
      <c r="BV20" s="163"/>
      <c r="BW20" s="163"/>
      <c r="BX20" s="163"/>
      <c r="BY20" s="163"/>
      <c r="BZ20" s="163"/>
      <c r="CA20" s="163"/>
      <c r="CB20" s="163"/>
      <c r="CC20" s="163"/>
      <c r="CD20" s="163"/>
      <c r="CE20" s="163"/>
      <c r="CF20" s="163"/>
      <c r="CG20" s="163"/>
      <c r="CH20" s="163"/>
    </row>
    <row r="21">
      <c r="A21" s="44"/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220">
        <v>320.0</v>
      </c>
      <c r="M21" s="172"/>
      <c r="N21" s="47"/>
      <c r="O21" s="241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47"/>
      <c r="AA21" s="172"/>
      <c r="AB21" s="251">
        <v>314.0</v>
      </c>
      <c r="AC21" s="172"/>
      <c r="AD21" s="172"/>
      <c r="AE21" s="172"/>
      <c r="AF21" s="172"/>
      <c r="AG21" s="172"/>
      <c r="AH21" s="172"/>
      <c r="AI21" s="172"/>
      <c r="AJ21" s="252" t="s">
        <v>195</v>
      </c>
      <c r="AK21" s="172"/>
      <c r="AL21" s="44"/>
      <c r="AM21" s="172"/>
      <c r="AN21" s="172"/>
      <c r="AO21" s="172"/>
      <c r="AP21" s="76"/>
      <c r="AQ21" s="172"/>
      <c r="AR21" s="172"/>
      <c r="AS21" s="44"/>
      <c r="AT21" s="254"/>
      <c r="AU21" s="254"/>
      <c r="AV21" s="164" t="str">
        <f>IFERROR(__xludf.DUMMYFUNCTION("TEXTJOIN("" / "", TRUE, FILTER(TO_TEXT(SPLIT($AZ$4, "" / "")), NOT(REGEXMATCH(TO_TEXT(SPLIT($AZ$4, "" / "")), ""\b"" &amp; TEXTJOIN(""|"", TRUE, SPLIT(AW21, "" / "")) &amp; ""\b""))))"),"105 / 106 / 107 / 108 / 111 / 209 / 303 / 307 / 312 / 313 / 316 / 320 / 321 / 460 / 461")</f>
        <v>105 / 106 / 107 / 108 / 111 / 209 / 303 / 307 / 312 / 313 / 316 / 320 / 321 / 460 / 461</v>
      </c>
      <c r="AW21" s="178" t="str">
        <f>IFERROR(__xludf.DUMMYFUNCTION("TEXTJOIN("" / "", 1, SORT(UNIQUE(TRANSPOSE(SPLIT(TRIM(REGEXREPLACE(AW20,""([0-9]{3}[a-zA-Z]?)|."",""$1 "")), "" "")))))"),"101 / 102 / 103 / 104 / 300 / 301 / 304 / 305 / 306 / 308 / 314 / 317 / 318 / 421")</f>
        <v>101 / 102 / 103 / 104 / 300 / 301 / 304 / 305 / 306 / 308 / 314 / 317 / 318 / 421</v>
      </c>
      <c r="AX21" s="163"/>
      <c r="AY21" s="163"/>
      <c r="AZ21" s="163"/>
      <c r="BA21" s="163"/>
      <c r="BB21" s="163"/>
      <c r="BC21" s="163"/>
      <c r="BD21" s="163"/>
      <c r="BE21" s="163"/>
      <c r="BF21" s="163"/>
      <c r="BG21" s="163"/>
      <c r="BH21" s="163"/>
      <c r="BI21" s="163"/>
      <c r="BJ21" s="163"/>
      <c r="BK21" s="163"/>
      <c r="BL21" s="163"/>
      <c r="BM21" s="163"/>
      <c r="BN21" s="163"/>
      <c r="BO21" s="163"/>
      <c r="BP21" s="163"/>
      <c r="BQ21" s="163"/>
      <c r="BR21" s="163"/>
      <c r="BS21" s="163"/>
      <c r="BT21" s="163"/>
      <c r="BU21" s="163"/>
      <c r="BV21" s="163"/>
      <c r="BW21" s="163"/>
      <c r="BX21" s="163"/>
      <c r="BY21" s="163"/>
      <c r="BZ21" s="163"/>
      <c r="CA21" s="163"/>
      <c r="CB21" s="163"/>
      <c r="CC21" s="163"/>
      <c r="CD21" s="163"/>
      <c r="CE21" s="163"/>
      <c r="CF21" s="163"/>
      <c r="CG21" s="163"/>
      <c r="CH21" s="163"/>
    </row>
    <row r="22">
      <c r="A22" s="147" t="s">
        <v>74</v>
      </c>
      <c r="B22" s="148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7"/>
      <c r="N22" s="149" t="s">
        <v>74</v>
      </c>
      <c r="O22" s="148"/>
      <c r="P22" s="46"/>
      <c r="Q22" s="46"/>
      <c r="R22" s="46"/>
      <c r="S22" s="46"/>
      <c r="T22" s="46"/>
      <c r="U22" s="46"/>
      <c r="V22" s="46"/>
      <c r="W22" s="46"/>
      <c r="X22" s="46"/>
      <c r="Y22" s="47"/>
      <c r="Z22" s="149" t="s">
        <v>74</v>
      </c>
      <c r="AA22" s="148"/>
      <c r="AB22" s="46"/>
      <c r="AC22" s="46"/>
      <c r="AD22" s="46"/>
      <c r="AE22" s="46"/>
      <c r="AF22" s="46"/>
      <c r="AG22" s="46"/>
      <c r="AH22" s="46"/>
      <c r="AI22" s="46"/>
      <c r="AJ22" s="46"/>
      <c r="AK22" s="47"/>
      <c r="AL22" s="147" t="s">
        <v>74</v>
      </c>
      <c r="AM22" s="148"/>
      <c r="AN22" s="46"/>
      <c r="AO22" s="46"/>
      <c r="AP22" s="46"/>
      <c r="AQ22" s="46"/>
      <c r="AR22" s="47"/>
      <c r="AS22" s="147" t="s">
        <v>74</v>
      </c>
      <c r="AT22" s="150"/>
      <c r="AU22" s="150"/>
      <c r="AV22" s="151"/>
      <c r="AW22" s="151"/>
      <c r="AX22" s="151"/>
      <c r="AY22" s="151"/>
      <c r="AZ22" s="151"/>
      <c r="BA22" s="151"/>
      <c r="BB22" s="151"/>
      <c r="BC22" s="151"/>
      <c r="BD22" s="151"/>
      <c r="BE22" s="151"/>
      <c r="BF22" s="151"/>
      <c r="BG22" s="151"/>
      <c r="BH22" s="151"/>
      <c r="BI22" s="151"/>
      <c r="BJ22" s="151"/>
      <c r="BK22" s="151"/>
      <c r="BL22" s="151"/>
      <c r="BM22" s="151"/>
      <c r="BN22" s="151"/>
      <c r="BO22" s="151"/>
      <c r="BP22" s="151"/>
      <c r="BQ22" s="151"/>
      <c r="BR22" s="151"/>
      <c r="BS22" s="151"/>
      <c r="BT22" s="151"/>
      <c r="BU22" s="151"/>
      <c r="BV22" s="151"/>
      <c r="BW22" s="151"/>
      <c r="BX22" s="151"/>
      <c r="BY22" s="151"/>
      <c r="BZ22" s="151"/>
      <c r="CA22" s="151"/>
      <c r="CB22" s="151"/>
      <c r="CC22" s="151"/>
      <c r="CD22" s="151"/>
      <c r="CE22" s="151"/>
      <c r="CF22" s="151"/>
      <c r="CG22" s="151"/>
      <c r="CH22" s="151"/>
    </row>
    <row r="23">
      <c r="A23" s="152" t="s">
        <v>39</v>
      </c>
      <c r="B23" s="253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4" t="s">
        <v>128</v>
      </c>
      <c r="O23" s="156"/>
      <c r="P23" s="182" t="s">
        <v>143</v>
      </c>
      <c r="Q23" s="156"/>
      <c r="R23" s="182" t="s">
        <v>143</v>
      </c>
      <c r="S23" s="231" t="s">
        <v>196</v>
      </c>
      <c r="T23" s="156"/>
      <c r="U23" s="156"/>
      <c r="V23" s="156"/>
      <c r="W23" s="256" t="s">
        <v>197</v>
      </c>
      <c r="X23" s="156"/>
      <c r="Y23" s="156"/>
      <c r="Z23" s="154" t="s">
        <v>130</v>
      </c>
      <c r="AA23" s="63"/>
      <c r="AB23" s="63"/>
      <c r="AC23" s="63"/>
      <c r="AD23" s="228"/>
      <c r="AE23" s="156"/>
      <c r="AF23" s="156"/>
      <c r="AG23" s="156"/>
      <c r="AH23" s="156"/>
      <c r="AI23" s="156"/>
      <c r="AJ23" s="156"/>
      <c r="AK23" s="156"/>
      <c r="AL23" s="152" t="s">
        <v>39</v>
      </c>
      <c r="AM23" s="156"/>
      <c r="AN23" s="156"/>
      <c r="AO23" s="156"/>
      <c r="AP23" s="183" t="s">
        <v>198</v>
      </c>
      <c r="AQ23" s="228"/>
      <c r="AR23" s="156"/>
      <c r="AS23" s="152" t="s">
        <v>39</v>
      </c>
      <c r="AT23" s="257" t="s">
        <v>199</v>
      </c>
      <c r="AU23" s="161"/>
      <c r="AV23" s="258"/>
      <c r="AW23" s="258"/>
      <c r="AX23" s="258"/>
      <c r="AY23" s="258"/>
      <c r="AZ23" s="258"/>
      <c r="BA23" s="258"/>
      <c r="BB23" s="258"/>
      <c r="BC23" s="258"/>
      <c r="BD23" s="258"/>
      <c r="BE23" s="258"/>
      <c r="BF23" s="258"/>
      <c r="BG23" s="258"/>
      <c r="BH23" s="258"/>
      <c r="BI23" s="258"/>
      <c r="BJ23" s="258"/>
      <c r="BK23" s="258"/>
      <c r="BL23" s="258"/>
      <c r="BM23" s="258"/>
      <c r="BN23" s="258"/>
      <c r="BO23" s="258"/>
      <c r="BP23" s="258"/>
      <c r="BQ23" s="258"/>
      <c r="BR23" s="258"/>
      <c r="BS23" s="258"/>
      <c r="BT23" s="258"/>
      <c r="BU23" s="258"/>
      <c r="BV23" s="258"/>
      <c r="BW23" s="258"/>
      <c r="BX23" s="258"/>
      <c r="BY23" s="258"/>
      <c r="BZ23" s="258"/>
      <c r="CA23" s="258"/>
      <c r="CB23" s="258"/>
      <c r="CC23" s="258"/>
      <c r="CD23" s="258"/>
      <c r="CE23" s="258"/>
      <c r="CF23" s="258"/>
      <c r="CG23" s="258"/>
      <c r="CH23" s="258"/>
    </row>
    <row r="24">
      <c r="A24" s="38"/>
      <c r="B24" s="156"/>
      <c r="C24" s="156"/>
      <c r="D24" s="156"/>
      <c r="E24" s="156"/>
      <c r="F24" s="156"/>
      <c r="G24" s="156"/>
      <c r="H24" s="156"/>
      <c r="I24" s="156"/>
      <c r="J24" s="156"/>
      <c r="K24" s="156"/>
      <c r="L24" s="156"/>
      <c r="M24" s="156"/>
      <c r="N24" s="23"/>
      <c r="O24" s="156"/>
      <c r="P24" s="259" t="s">
        <v>200</v>
      </c>
      <c r="Q24" s="156"/>
      <c r="R24" s="260" t="s">
        <v>170</v>
      </c>
      <c r="S24" s="261" t="s">
        <v>201</v>
      </c>
      <c r="T24" s="156"/>
      <c r="U24" s="156"/>
      <c r="V24" s="156"/>
      <c r="W24" s="262" t="s">
        <v>202</v>
      </c>
      <c r="X24" s="156"/>
      <c r="Y24" s="156"/>
      <c r="Z24" s="23"/>
      <c r="AA24" s="69"/>
      <c r="AB24" s="69"/>
      <c r="AC24" s="69"/>
      <c r="AD24" s="161"/>
      <c r="AE24" s="156"/>
      <c r="AF24" s="156"/>
      <c r="AG24" s="156"/>
      <c r="AH24" s="156"/>
      <c r="AI24" s="156"/>
      <c r="AJ24" s="156"/>
      <c r="AK24" s="156"/>
      <c r="AL24" s="38"/>
      <c r="AM24" s="156"/>
      <c r="AN24" s="156"/>
      <c r="AO24" s="156"/>
      <c r="AP24" s="263" t="s">
        <v>203</v>
      </c>
      <c r="AQ24" s="161"/>
      <c r="AR24" s="156"/>
      <c r="AS24" s="38"/>
      <c r="AT24" s="264" t="s">
        <v>204</v>
      </c>
      <c r="AU24" s="161"/>
      <c r="AV24" s="258"/>
      <c r="AW24" s="163" t="str">
        <f t="array" ref="AW24">TEXTJOIN(" | ", 1, A25:AT25)</f>
        <v>308 | 318 | 461 | 314 | 460 | 320</v>
      </c>
      <c r="AX24" s="258"/>
      <c r="AY24" s="258"/>
      <c r="AZ24" s="258"/>
      <c r="BA24" s="258"/>
      <c r="BB24" s="258"/>
      <c r="BC24" s="258"/>
      <c r="BD24" s="258"/>
      <c r="BE24" s="258"/>
      <c r="BF24" s="258"/>
      <c r="BG24" s="258"/>
      <c r="BH24" s="258"/>
      <c r="BI24" s="258"/>
      <c r="BJ24" s="258"/>
      <c r="BK24" s="258"/>
      <c r="BL24" s="258"/>
      <c r="BM24" s="258"/>
      <c r="BN24" s="258"/>
      <c r="BO24" s="258"/>
      <c r="BP24" s="258"/>
      <c r="BQ24" s="258"/>
      <c r="BR24" s="258"/>
      <c r="BS24" s="258"/>
      <c r="BT24" s="258"/>
      <c r="BU24" s="258"/>
      <c r="BV24" s="258"/>
      <c r="BW24" s="258"/>
      <c r="BX24" s="258"/>
      <c r="BY24" s="258"/>
      <c r="BZ24" s="258"/>
      <c r="CA24" s="258"/>
      <c r="CB24" s="258"/>
      <c r="CC24" s="258"/>
      <c r="CD24" s="258"/>
      <c r="CE24" s="258"/>
      <c r="CF24" s="258"/>
      <c r="CG24" s="258"/>
      <c r="CH24" s="258"/>
    </row>
    <row r="25">
      <c r="A25" s="44"/>
      <c r="B25" s="172"/>
      <c r="C25" s="172"/>
      <c r="D25" s="172"/>
      <c r="E25" s="172"/>
      <c r="F25" s="172"/>
      <c r="G25" s="172"/>
      <c r="H25" s="172"/>
      <c r="I25" s="172"/>
      <c r="J25" s="172"/>
      <c r="K25" s="172"/>
      <c r="L25" s="172"/>
      <c r="M25" s="172"/>
      <c r="N25" s="47"/>
      <c r="O25" s="172"/>
      <c r="P25" s="204">
        <v>308.0</v>
      </c>
      <c r="Q25" s="172"/>
      <c r="R25" s="204">
        <v>318.0</v>
      </c>
      <c r="S25" s="244">
        <v>461.0</v>
      </c>
      <c r="T25" s="241"/>
      <c r="U25" s="241"/>
      <c r="V25" s="241"/>
      <c r="W25" s="265">
        <v>314.0</v>
      </c>
      <c r="X25" s="241"/>
      <c r="Y25" s="241"/>
      <c r="Z25" s="47"/>
      <c r="AA25" s="76"/>
      <c r="AB25" s="76"/>
      <c r="AC25" s="76"/>
      <c r="AD25" s="177"/>
      <c r="AE25" s="172"/>
      <c r="AF25" s="172"/>
      <c r="AG25" s="172"/>
      <c r="AH25" s="172"/>
      <c r="AI25" s="172"/>
      <c r="AJ25" s="172"/>
      <c r="AK25" s="172"/>
      <c r="AL25" s="44"/>
      <c r="AM25" s="172"/>
      <c r="AN25" s="172"/>
      <c r="AO25" s="241"/>
      <c r="AP25" s="200">
        <v>460.0</v>
      </c>
      <c r="AQ25" s="177"/>
      <c r="AR25" s="172"/>
      <c r="AS25" s="44"/>
      <c r="AT25" s="266">
        <v>320.0</v>
      </c>
      <c r="AU25" s="177"/>
      <c r="AV25" s="267" t="str">
        <f>IFERROR(__xludf.DUMMYFUNCTION("TEXTJOIN("" / "", TRUE, FILTER(TO_TEXT(SPLIT($AZ$4, "" / "")), NOT(REGEXMATCH(TO_TEXT(SPLIT($AZ$4, "" / "")), ""\b"" &amp; TEXTJOIN(""|"", TRUE, SPLIT(AW25, "" / "")) &amp; ""\b""))))"),"101 / 102 / 103 / 104 / 105 / 106 / 107 / 108 / 111 / 209 / 300 / 301 / 303 / 304 / 305 / 306 / 307 / 312 / 313 / 316 / 317 / 321 / 421")</f>
        <v>101 / 102 / 103 / 104 / 105 / 106 / 107 / 108 / 111 / 209 / 300 / 301 / 303 / 304 / 305 / 306 / 307 / 312 / 313 / 316 / 317 / 321 / 421</v>
      </c>
      <c r="AW25" s="268" t="str">
        <f>IFERROR(__xludf.DUMMYFUNCTION("TEXTJOIN("" / "", 1, SORT(UNIQUE(TRANSPOSE(SPLIT(TRIM(REGEXREPLACE(AW24,""([0-9]{3}[a-zA-Z]?)|."",""$1 "")), "" "")))))"),"308 / 314 / 318 / 320 / 460 / 461")</f>
        <v>308 / 314 / 318 / 320 / 460 / 461</v>
      </c>
      <c r="AX25" s="163"/>
      <c r="AY25" s="163"/>
      <c r="AZ25" s="163"/>
      <c r="BA25" s="163"/>
      <c r="BB25" s="163"/>
      <c r="BC25" s="163"/>
      <c r="BD25" s="163"/>
      <c r="BE25" s="163"/>
      <c r="BF25" s="163"/>
      <c r="BG25" s="163"/>
      <c r="BH25" s="163"/>
      <c r="BI25" s="163"/>
      <c r="BJ25" s="163"/>
      <c r="BK25" s="163"/>
      <c r="BL25" s="163"/>
      <c r="BM25" s="163"/>
      <c r="BN25" s="163"/>
      <c r="BO25" s="163"/>
      <c r="BP25" s="163"/>
      <c r="BQ25" s="163"/>
      <c r="BR25" s="163"/>
      <c r="BS25" s="163"/>
      <c r="BT25" s="163"/>
      <c r="BU25" s="163"/>
      <c r="BV25" s="163"/>
      <c r="BW25" s="163"/>
      <c r="BX25" s="163"/>
      <c r="BY25" s="163"/>
      <c r="BZ25" s="163"/>
      <c r="CA25" s="163"/>
      <c r="CB25" s="163"/>
      <c r="CC25" s="163"/>
      <c r="CD25" s="163"/>
      <c r="CE25" s="163"/>
      <c r="CF25" s="163"/>
      <c r="CG25" s="163"/>
      <c r="CH25" s="163"/>
    </row>
    <row r="26">
      <c r="A26" s="152" t="s">
        <v>49</v>
      </c>
      <c r="B26" s="181" t="s">
        <v>205</v>
      </c>
      <c r="M26" s="23"/>
      <c r="N26" s="154" t="s">
        <v>139</v>
      </c>
      <c r="O26" s="231" t="s">
        <v>196</v>
      </c>
      <c r="P26" s="256" t="s">
        <v>197</v>
      </c>
      <c r="Q26" s="182" t="s">
        <v>143</v>
      </c>
      <c r="R26" s="231" t="s">
        <v>196</v>
      </c>
      <c r="S26" s="182" t="s">
        <v>143</v>
      </c>
      <c r="T26" s="158"/>
      <c r="U26" s="269"/>
      <c r="V26" s="63"/>
      <c r="W26" s="270" t="s">
        <v>206</v>
      </c>
      <c r="X26" s="271" t="s">
        <v>207</v>
      </c>
      <c r="Y26" s="272" t="s">
        <v>208</v>
      </c>
      <c r="Z26" s="163" t="s">
        <v>145</v>
      </c>
      <c r="AA26" s="228"/>
      <c r="AB26" s="228"/>
      <c r="AC26" s="228"/>
      <c r="AD26" s="156"/>
      <c r="AE26" s="156"/>
      <c r="AF26" s="156"/>
      <c r="AG26" s="273" t="s">
        <v>209</v>
      </c>
      <c r="AH26" s="228"/>
      <c r="AI26" s="156"/>
      <c r="AJ26" s="274"/>
      <c r="AK26" s="63"/>
      <c r="AL26" s="152" t="s">
        <v>49</v>
      </c>
      <c r="AM26" s="275" t="s">
        <v>210</v>
      </c>
      <c r="AN26" s="23"/>
      <c r="AO26" s="156"/>
      <c r="AP26" s="183" t="s">
        <v>211</v>
      </c>
      <c r="AQ26" s="276" t="s">
        <v>212</v>
      </c>
      <c r="AR26" s="277" t="s">
        <v>213</v>
      </c>
      <c r="AS26" s="152" t="s">
        <v>49</v>
      </c>
      <c r="AT26" s="63"/>
      <c r="AU26" s="63"/>
      <c r="AV26" s="163"/>
      <c r="AW26" s="163"/>
      <c r="AX26" s="163"/>
      <c r="AY26" s="163"/>
      <c r="AZ26" s="163"/>
      <c r="BA26" s="163"/>
      <c r="BB26" s="163"/>
      <c r="BC26" s="163"/>
      <c r="BD26" s="163"/>
      <c r="BE26" s="163"/>
      <c r="BF26" s="163"/>
      <c r="BG26" s="163"/>
      <c r="BH26" s="163"/>
      <c r="BI26" s="163"/>
      <c r="BJ26" s="163"/>
      <c r="BK26" s="163"/>
      <c r="BL26" s="163"/>
      <c r="BM26" s="163"/>
      <c r="BN26" s="163"/>
      <c r="BO26" s="163"/>
      <c r="BP26" s="163"/>
      <c r="BQ26" s="163"/>
      <c r="BR26" s="163"/>
      <c r="BS26" s="163"/>
      <c r="BT26" s="163"/>
      <c r="BU26" s="163"/>
      <c r="BV26" s="163"/>
      <c r="BW26" s="163"/>
      <c r="BX26" s="163"/>
      <c r="BY26" s="163"/>
      <c r="BZ26" s="163"/>
      <c r="CA26" s="163"/>
      <c r="CB26" s="163"/>
      <c r="CC26" s="163"/>
      <c r="CD26" s="163"/>
      <c r="CE26" s="163"/>
      <c r="CF26" s="163"/>
      <c r="CG26" s="163"/>
      <c r="CH26" s="163"/>
    </row>
    <row r="27">
      <c r="A27" s="38"/>
      <c r="B27" s="278" t="s">
        <v>214</v>
      </c>
      <c r="M27" s="23"/>
      <c r="N27" s="23"/>
      <c r="O27" s="261" t="s">
        <v>201</v>
      </c>
      <c r="P27" s="262" t="s">
        <v>215</v>
      </c>
      <c r="Q27" s="259" t="s">
        <v>200</v>
      </c>
      <c r="R27" s="279" t="s">
        <v>216</v>
      </c>
      <c r="S27" s="260" t="s">
        <v>170</v>
      </c>
      <c r="T27" s="154"/>
      <c r="U27" s="168"/>
      <c r="V27" s="69"/>
      <c r="W27" s="239" t="s">
        <v>217</v>
      </c>
      <c r="X27" s="280" t="s">
        <v>218</v>
      </c>
      <c r="Y27" s="281" t="s">
        <v>99</v>
      </c>
      <c r="AA27" s="161"/>
      <c r="AB27" s="161"/>
      <c r="AC27" s="161"/>
      <c r="AD27" s="156"/>
      <c r="AE27" s="156"/>
      <c r="AF27" s="156"/>
      <c r="AG27" s="282" t="s">
        <v>219</v>
      </c>
      <c r="AH27" s="161"/>
      <c r="AI27" s="156"/>
      <c r="AJ27" s="283"/>
      <c r="AK27" s="69"/>
      <c r="AL27" s="38"/>
      <c r="AM27" s="284" t="s">
        <v>220</v>
      </c>
      <c r="AN27" s="23"/>
      <c r="AO27" s="156"/>
      <c r="AP27" s="285" t="s">
        <v>221</v>
      </c>
      <c r="AQ27" s="250" t="s">
        <v>222</v>
      </c>
      <c r="AR27" s="192" t="s">
        <v>79</v>
      </c>
      <c r="AS27" s="38"/>
      <c r="AT27" s="69"/>
      <c r="AU27" s="69"/>
      <c r="AV27" s="163"/>
      <c r="AW27" s="163" t="str">
        <f t="array" ref="AW27">TEXTJOIN(" | ", 1, A28:AT28)</f>
        <v>ONLINE | 461 | 209 | 308 | 300 | 318 | 104 | 102 | 103 | 316 | 321 | 460 | 301 STARTS AT 11:10 | 111</v>
      </c>
      <c r="AX27" s="163"/>
      <c r="AY27" s="163"/>
      <c r="AZ27" s="163"/>
      <c r="BA27" s="163"/>
      <c r="BB27" s="163"/>
      <c r="BC27" s="163"/>
      <c r="BD27" s="163"/>
      <c r="BE27" s="163"/>
      <c r="BF27" s="163"/>
      <c r="BG27" s="163"/>
      <c r="BH27" s="163"/>
      <c r="BI27" s="163"/>
      <c r="BJ27" s="163"/>
      <c r="BK27" s="163"/>
      <c r="BL27" s="163"/>
      <c r="BM27" s="163"/>
      <c r="BN27" s="163"/>
      <c r="BO27" s="163"/>
      <c r="BP27" s="163"/>
      <c r="BQ27" s="163"/>
      <c r="BR27" s="163"/>
      <c r="BS27" s="163"/>
      <c r="BT27" s="163"/>
      <c r="BU27" s="163"/>
      <c r="BV27" s="163"/>
      <c r="BW27" s="163"/>
      <c r="BX27" s="163"/>
      <c r="BY27" s="163"/>
      <c r="BZ27" s="163"/>
      <c r="CA27" s="163"/>
      <c r="CB27" s="163"/>
      <c r="CC27" s="163"/>
      <c r="CD27" s="163"/>
      <c r="CE27" s="163"/>
      <c r="CF27" s="163"/>
      <c r="CG27" s="163"/>
      <c r="CH27" s="163"/>
    </row>
    <row r="28">
      <c r="A28" s="44"/>
      <c r="B28" s="286" t="s">
        <v>137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7"/>
      <c r="N28" s="47"/>
      <c r="O28" s="244">
        <v>461.0</v>
      </c>
      <c r="P28" s="265">
        <v>209.0</v>
      </c>
      <c r="Q28" s="204">
        <v>308.0</v>
      </c>
      <c r="R28" s="244">
        <v>300.0</v>
      </c>
      <c r="S28" s="204">
        <v>318.0</v>
      </c>
      <c r="T28" s="174"/>
      <c r="U28" s="287"/>
      <c r="V28" s="76"/>
      <c r="W28" s="288">
        <v>104.0</v>
      </c>
      <c r="X28" s="289">
        <v>102.0</v>
      </c>
      <c r="Y28" s="290">
        <v>103.0</v>
      </c>
      <c r="Z28" s="46"/>
      <c r="AA28" s="177"/>
      <c r="AB28" s="177"/>
      <c r="AC28" s="177"/>
      <c r="AD28" s="172"/>
      <c r="AE28" s="172"/>
      <c r="AF28" s="172"/>
      <c r="AG28" s="204">
        <v>316.0</v>
      </c>
      <c r="AH28" s="177"/>
      <c r="AI28" s="172"/>
      <c r="AJ28" s="291"/>
      <c r="AK28" s="76"/>
      <c r="AL28" s="44"/>
      <c r="AM28" s="292">
        <v>321.0</v>
      </c>
      <c r="AN28" s="47"/>
      <c r="AO28" s="241"/>
      <c r="AP28" s="200">
        <v>460.0</v>
      </c>
      <c r="AQ28" s="252" t="s">
        <v>223</v>
      </c>
      <c r="AR28" s="201">
        <v>111.0</v>
      </c>
      <c r="AS28" s="44"/>
      <c r="AT28" s="76"/>
      <c r="AU28" s="76"/>
      <c r="AV28" s="164" t="str">
        <f>IFERROR(__xludf.DUMMYFUNCTION("TEXTJOIN("" / "", TRUE, FILTER(TO_TEXT(SPLIT($AZ$4, "" / "")), NOT(REGEXMATCH(TO_TEXT(SPLIT($AZ$4, "" / "")), ""\b"" &amp; TEXTJOIN(""|"", TRUE, SPLIT(AW28, "" / "")) &amp; ""\b""))))"),"101 / 105 / 106 / 107 / 108 / 303 / 304 / 305 / 306 / 307 / 312 / 313 / 314 / 317 / 320 / 421")</f>
        <v>101 / 105 / 106 / 107 / 108 / 303 / 304 / 305 / 306 / 307 / 312 / 313 / 314 / 317 / 320 / 421</v>
      </c>
      <c r="AW28" s="178" t="str">
        <f>IFERROR(__xludf.DUMMYFUNCTION("TEXTJOIN("" / "", 1, SORT(UNIQUE(TRANSPOSE(SPLIT(TRIM(REGEXREPLACE(AW27,""([0-9]{3}[a-zA-Z]?)|."",""$1 "")), "" "")))))"),"102 / 103 / 104 / 111 / 209 / 300 / 301 / 308 / 316 / 318 / 321 / 460 / 461")</f>
        <v>102 / 103 / 104 / 111 / 209 / 300 / 301 / 308 / 316 / 318 / 321 / 460 / 461</v>
      </c>
      <c r="AX28" s="163"/>
      <c r="AY28" s="163"/>
      <c r="AZ28" s="163"/>
      <c r="BA28" s="163"/>
      <c r="BB28" s="163"/>
      <c r="BC28" s="163"/>
      <c r="BD28" s="163"/>
      <c r="BE28" s="163"/>
      <c r="BF28" s="163"/>
      <c r="BG28" s="163"/>
      <c r="BH28" s="163"/>
      <c r="BI28" s="163"/>
      <c r="BJ28" s="163"/>
      <c r="BK28" s="163"/>
      <c r="BL28" s="163"/>
      <c r="BM28" s="163"/>
      <c r="BN28" s="163"/>
      <c r="BO28" s="163"/>
      <c r="BP28" s="163"/>
      <c r="BQ28" s="163"/>
      <c r="BR28" s="163"/>
      <c r="BS28" s="163"/>
      <c r="BT28" s="163"/>
      <c r="BU28" s="163"/>
      <c r="BV28" s="163"/>
      <c r="BW28" s="163"/>
      <c r="BX28" s="163"/>
      <c r="BY28" s="163"/>
      <c r="BZ28" s="163"/>
      <c r="CA28" s="163"/>
      <c r="CB28" s="163"/>
      <c r="CC28" s="163"/>
      <c r="CD28" s="163"/>
      <c r="CE28" s="163"/>
      <c r="CF28" s="163"/>
      <c r="CG28" s="163"/>
      <c r="CH28" s="163"/>
    </row>
    <row r="29">
      <c r="A29" s="152" t="s">
        <v>51</v>
      </c>
      <c r="B29" s="181" t="s">
        <v>224</v>
      </c>
      <c r="M29" s="23"/>
      <c r="N29" s="154" t="s">
        <v>158</v>
      </c>
      <c r="O29" s="182" t="s">
        <v>143</v>
      </c>
      <c r="P29" s="231" t="s">
        <v>196</v>
      </c>
      <c r="Q29" s="256" t="s">
        <v>197</v>
      </c>
      <c r="R29" s="256" t="s">
        <v>197</v>
      </c>
      <c r="S29" s="256" t="s">
        <v>197</v>
      </c>
      <c r="T29" s="182" t="s">
        <v>143</v>
      </c>
      <c r="U29" s="182" t="s">
        <v>143</v>
      </c>
      <c r="V29" s="270" t="s">
        <v>206</v>
      </c>
      <c r="W29" s="182" t="s">
        <v>143</v>
      </c>
      <c r="X29" s="271" t="s">
        <v>225</v>
      </c>
      <c r="Y29" s="272" t="s">
        <v>226</v>
      </c>
      <c r="Z29" s="154" t="s">
        <v>162</v>
      </c>
      <c r="AA29" s="156"/>
      <c r="AB29" s="156"/>
      <c r="AC29" s="156"/>
      <c r="AD29" s="156"/>
      <c r="AE29" s="156"/>
      <c r="AF29" s="182" t="s">
        <v>209</v>
      </c>
      <c r="AG29" s="156"/>
      <c r="AH29" s="156"/>
      <c r="AI29" s="156"/>
      <c r="AJ29" s="293"/>
      <c r="AK29" s="294" t="s">
        <v>227</v>
      </c>
      <c r="AL29" s="152" t="s">
        <v>51</v>
      </c>
      <c r="AM29" s="63"/>
      <c r="AN29" s="63"/>
      <c r="AO29" s="228"/>
      <c r="AP29" s="63"/>
      <c r="AQ29" s="276" t="s">
        <v>212</v>
      </c>
      <c r="AR29" s="277" t="s">
        <v>228</v>
      </c>
      <c r="AS29" s="152" t="s">
        <v>51</v>
      </c>
      <c r="AT29" s="63"/>
      <c r="AU29" s="63"/>
      <c r="AV29" s="163"/>
      <c r="AW29" s="163"/>
      <c r="AX29" s="163"/>
      <c r="AY29" s="163"/>
      <c r="AZ29" s="163"/>
      <c r="BA29" s="163"/>
      <c r="BB29" s="163"/>
      <c r="BC29" s="163"/>
      <c r="BD29" s="163"/>
      <c r="BE29" s="163"/>
      <c r="BF29" s="163"/>
      <c r="BG29" s="163"/>
      <c r="BH29" s="163"/>
      <c r="BI29" s="163"/>
      <c r="BJ29" s="163"/>
      <c r="BK29" s="163"/>
      <c r="BL29" s="163"/>
      <c r="BM29" s="163"/>
      <c r="BN29" s="163"/>
      <c r="BO29" s="163"/>
      <c r="BP29" s="163"/>
      <c r="BQ29" s="163"/>
      <c r="BR29" s="163"/>
      <c r="BS29" s="163"/>
      <c r="BT29" s="163"/>
      <c r="BU29" s="163"/>
      <c r="BV29" s="163"/>
      <c r="BW29" s="163"/>
      <c r="BX29" s="163"/>
      <c r="BY29" s="163"/>
      <c r="BZ29" s="163"/>
      <c r="CA29" s="163"/>
      <c r="CB29" s="163"/>
      <c r="CC29" s="163"/>
      <c r="CD29" s="163"/>
      <c r="CE29" s="163"/>
      <c r="CF29" s="163"/>
      <c r="CG29" s="163"/>
      <c r="CH29" s="163"/>
    </row>
    <row r="30">
      <c r="A30" s="38"/>
      <c r="B30" s="278" t="s">
        <v>229</v>
      </c>
      <c r="M30" s="23"/>
      <c r="N30" s="23"/>
      <c r="O30" s="259" t="s">
        <v>200</v>
      </c>
      <c r="P30" s="279" t="s">
        <v>230</v>
      </c>
      <c r="Q30" s="295" t="s">
        <v>231</v>
      </c>
      <c r="R30" s="262" t="s">
        <v>215</v>
      </c>
      <c r="S30" s="262" t="s">
        <v>232</v>
      </c>
      <c r="T30" s="260" t="s">
        <v>170</v>
      </c>
      <c r="U30" s="260" t="s">
        <v>233</v>
      </c>
      <c r="V30" s="239" t="s">
        <v>217</v>
      </c>
      <c r="W30" s="260" t="s">
        <v>152</v>
      </c>
      <c r="X30" s="296" t="s">
        <v>234</v>
      </c>
      <c r="Y30" s="297" t="s">
        <v>235</v>
      </c>
      <c r="Z30" s="23"/>
      <c r="AA30" s="156"/>
      <c r="AB30" s="156"/>
      <c r="AC30" s="156"/>
      <c r="AD30" s="156"/>
      <c r="AE30" s="156"/>
      <c r="AF30" s="259" t="s">
        <v>219</v>
      </c>
      <c r="AG30" s="156"/>
      <c r="AH30" s="156"/>
      <c r="AI30" s="156"/>
      <c r="AJ30" s="298"/>
      <c r="AK30" s="299" t="s">
        <v>236</v>
      </c>
      <c r="AL30" s="38"/>
      <c r="AM30" s="69"/>
      <c r="AN30" s="69"/>
      <c r="AO30" s="161"/>
      <c r="AP30" s="69"/>
      <c r="AQ30" s="250" t="s">
        <v>237</v>
      </c>
      <c r="AR30" s="192" t="s">
        <v>201</v>
      </c>
      <c r="AS30" s="38"/>
      <c r="AT30" s="69"/>
      <c r="AU30" s="69"/>
      <c r="AV30" s="163"/>
      <c r="AW30" s="300" t="str">
        <f t="array" ref="AW30">TEXTJOIN(" | ", 1, A31:AT31)</f>
        <v>108 | 308 | 461 | 300 | 209 | 320 | 318 | 305 | 104 | 304 | 102 | 103 | 316 | 317 | 301 STARTS AT 12:50 | 111</v>
      </c>
      <c r="AX30" s="163"/>
      <c r="AY30" s="163"/>
      <c r="AZ30" s="163"/>
      <c r="BA30" s="163"/>
      <c r="BB30" s="163"/>
      <c r="BC30" s="163"/>
      <c r="BD30" s="163"/>
      <c r="BE30" s="163"/>
      <c r="BF30" s="163"/>
      <c r="BG30" s="163"/>
      <c r="BH30" s="163"/>
      <c r="BI30" s="163"/>
      <c r="BJ30" s="163"/>
      <c r="BK30" s="163"/>
      <c r="BL30" s="163"/>
      <c r="BM30" s="163"/>
      <c r="BN30" s="163"/>
      <c r="BO30" s="163"/>
      <c r="BP30" s="163"/>
      <c r="BQ30" s="163"/>
      <c r="BR30" s="163"/>
      <c r="BS30" s="163"/>
      <c r="BT30" s="163"/>
      <c r="BU30" s="163"/>
      <c r="BV30" s="163"/>
      <c r="BW30" s="163"/>
      <c r="BX30" s="163"/>
      <c r="BY30" s="163"/>
      <c r="BZ30" s="163"/>
      <c r="CA30" s="163"/>
      <c r="CB30" s="163"/>
      <c r="CC30" s="163"/>
      <c r="CD30" s="163"/>
      <c r="CE30" s="163"/>
      <c r="CF30" s="163"/>
      <c r="CG30" s="163"/>
      <c r="CH30" s="163"/>
    </row>
    <row r="31">
      <c r="A31" s="44"/>
      <c r="B31" s="301">
        <v>108.0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7"/>
      <c r="N31" s="47"/>
      <c r="O31" s="204">
        <v>308.0</v>
      </c>
      <c r="P31" s="244">
        <v>461.0</v>
      </c>
      <c r="Q31" s="302">
        <v>300.0</v>
      </c>
      <c r="R31" s="265">
        <v>209.0</v>
      </c>
      <c r="S31" s="265">
        <v>320.0</v>
      </c>
      <c r="T31" s="204">
        <v>318.0</v>
      </c>
      <c r="U31" s="204">
        <v>305.0</v>
      </c>
      <c r="V31" s="288">
        <v>104.0</v>
      </c>
      <c r="W31" s="199">
        <v>304.0</v>
      </c>
      <c r="X31" s="289">
        <v>102.0</v>
      </c>
      <c r="Y31" s="290">
        <v>103.0</v>
      </c>
      <c r="Z31" s="47"/>
      <c r="AA31" s="172"/>
      <c r="AB31" s="172"/>
      <c r="AC31" s="172"/>
      <c r="AD31" s="172"/>
      <c r="AE31" s="172"/>
      <c r="AF31" s="204">
        <v>316.0</v>
      </c>
      <c r="AG31" s="172"/>
      <c r="AH31" s="172"/>
      <c r="AI31" s="172"/>
      <c r="AJ31" s="303"/>
      <c r="AK31" s="304">
        <v>317.0</v>
      </c>
      <c r="AL31" s="44"/>
      <c r="AM31" s="76"/>
      <c r="AN31" s="76"/>
      <c r="AO31" s="172"/>
      <c r="AP31" s="76"/>
      <c r="AQ31" s="252" t="s">
        <v>238</v>
      </c>
      <c r="AR31" s="201">
        <v>111.0</v>
      </c>
      <c r="AS31" s="44"/>
      <c r="AT31" s="76"/>
      <c r="AU31" s="76"/>
      <c r="AV31" s="164" t="str">
        <f>IFERROR(__xludf.DUMMYFUNCTION("TEXTJOIN("" / "", TRUE, FILTER(TO_TEXT(SPLIT($AZ$4, "" / "")), NOT(REGEXMATCH(TO_TEXT(SPLIT($AZ$4, "" / "")), ""\b"" &amp; TEXTJOIN(""|"", TRUE, SPLIT(AW31, "" / "")) &amp; ""\b""))))"),"101 / 105 / 106 / 107 / 303 / 306 / 307 / 312 / 313 / 314 / 321 / 421 / 460")</f>
        <v>101 / 105 / 106 / 107 / 303 / 306 / 307 / 312 / 313 / 314 / 321 / 421 / 460</v>
      </c>
      <c r="AW31" s="178" t="str">
        <f>IFERROR(__xludf.DUMMYFUNCTION("TEXTJOIN("" / "", 1, SORT(UNIQUE(TRANSPOSE(SPLIT(TRIM(REGEXREPLACE(AW30,""([0-9]{3}[a-zA-Z]?)|."",""$1 "")), "" "")))))"),"102 / 103 / 104 / 108 / 111 / 209 / 300 / 301 / 304 / 305 / 308 / 316 / 317 / 318 / 320 / 461")</f>
        <v>102 / 103 / 104 / 108 / 111 / 209 / 300 / 301 / 304 / 305 / 308 / 316 / 317 / 318 / 320 / 461</v>
      </c>
      <c r="AX31" s="163"/>
      <c r="AY31" s="163"/>
      <c r="AZ31" s="163"/>
      <c r="BA31" s="163"/>
      <c r="BB31" s="163"/>
      <c r="BC31" s="163"/>
      <c r="BD31" s="163"/>
      <c r="BE31" s="163"/>
      <c r="BF31" s="163"/>
      <c r="BG31" s="163"/>
      <c r="BH31" s="163"/>
      <c r="BI31" s="163"/>
      <c r="BJ31" s="163"/>
      <c r="BK31" s="163"/>
      <c r="BL31" s="163"/>
      <c r="BM31" s="163"/>
      <c r="BN31" s="163"/>
      <c r="BO31" s="163"/>
      <c r="BP31" s="163"/>
      <c r="BQ31" s="163"/>
      <c r="BR31" s="163"/>
      <c r="BS31" s="163"/>
      <c r="BT31" s="163"/>
      <c r="BU31" s="163"/>
      <c r="BV31" s="163"/>
      <c r="BW31" s="163"/>
      <c r="BX31" s="163"/>
      <c r="BY31" s="163"/>
      <c r="BZ31" s="163"/>
      <c r="CA31" s="163"/>
      <c r="CB31" s="163"/>
      <c r="CC31" s="163"/>
      <c r="CD31" s="163"/>
      <c r="CE31" s="163"/>
      <c r="CF31" s="163"/>
      <c r="CG31" s="163"/>
      <c r="CH31" s="163"/>
    </row>
    <row r="32">
      <c r="A32" s="152" t="s">
        <v>59</v>
      </c>
      <c r="B32" s="270" t="s">
        <v>239</v>
      </c>
      <c r="C32" s="208" t="s">
        <v>157</v>
      </c>
      <c r="D32" s="208" t="s">
        <v>157</v>
      </c>
      <c r="E32" s="270" t="s">
        <v>239</v>
      </c>
      <c r="F32" s="208" t="s">
        <v>157</v>
      </c>
      <c r="G32" s="208" t="s">
        <v>157</v>
      </c>
      <c r="H32" s="270" t="s">
        <v>239</v>
      </c>
      <c r="I32" s="208" t="s">
        <v>157</v>
      </c>
      <c r="J32" s="227"/>
      <c r="K32" s="208" t="s">
        <v>157</v>
      </c>
      <c r="L32" s="270" t="s">
        <v>239</v>
      </c>
      <c r="M32" s="208" t="s">
        <v>157</v>
      </c>
      <c r="N32" s="154" t="s">
        <v>172</v>
      </c>
      <c r="O32" s="256" t="s">
        <v>197</v>
      </c>
      <c r="P32" s="305"/>
      <c r="Q32" s="231" t="s">
        <v>196</v>
      </c>
      <c r="S32" s="228"/>
      <c r="T32" s="305"/>
      <c r="U32" s="254"/>
      <c r="V32" s="182" t="s">
        <v>143</v>
      </c>
      <c r="W32" s="305"/>
      <c r="X32" s="305"/>
      <c r="Y32" s="155" t="s">
        <v>143</v>
      </c>
      <c r="Z32" s="152" t="s">
        <v>174</v>
      </c>
      <c r="AA32" s="156"/>
      <c r="AB32" s="156"/>
      <c r="AC32" s="156"/>
      <c r="AD32" s="306" t="s">
        <v>240</v>
      </c>
      <c r="AE32" s="23"/>
      <c r="AF32" s="155" t="s">
        <v>241</v>
      </c>
      <c r="AI32" s="23"/>
      <c r="AJ32" s="63"/>
      <c r="AK32" s="294" t="s">
        <v>227</v>
      </c>
      <c r="AL32" s="152" t="s">
        <v>59</v>
      </c>
      <c r="AM32" s="307" t="s">
        <v>242</v>
      </c>
      <c r="AN32" s="8"/>
      <c r="AO32" s="156"/>
      <c r="AP32" s="63"/>
      <c r="AQ32" s="156"/>
      <c r="AR32" s="63"/>
      <c r="AS32" s="152" t="s">
        <v>59</v>
      </c>
      <c r="AT32" s="63"/>
      <c r="AU32" s="63"/>
      <c r="AV32" s="163"/>
      <c r="AW32" s="163"/>
      <c r="AX32" s="163"/>
      <c r="AY32" s="163"/>
      <c r="AZ32" s="163"/>
      <c r="BA32" s="163"/>
      <c r="BB32" s="163"/>
      <c r="BC32" s="163"/>
      <c r="BD32" s="163"/>
      <c r="BE32" s="163"/>
      <c r="BF32" s="163"/>
      <c r="BG32" s="163"/>
      <c r="BH32" s="163"/>
      <c r="BI32" s="163"/>
      <c r="BJ32" s="163"/>
      <c r="BK32" s="163"/>
      <c r="BL32" s="163"/>
      <c r="BM32" s="163"/>
      <c r="BN32" s="163"/>
      <c r="BO32" s="163"/>
      <c r="BP32" s="163"/>
      <c r="BQ32" s="163"/>
      <c r="BR32" s="163"/>
      <c r="BS32" s="163"/>
      <c r="BT32" s="163"/>
      <c r="BU32" s="163"/>
      <c r="BV32" s="163"/>
      <c r="BW32" s="163"/>
      <c r="BX32" s="163"/>
      <c r="BY32" s="163"/>
      <c r="BZ32" s="163"/>
      <c r="CA32" s="163"/>
      <c r="CB32" s="163"/>
      <c r="CC32" s="163"/>
      <c r="CD32" s="163"/>
      <c r="CE32" s="163"/>
      <c r="CF32" s="163"/>
      <c r="CG32" s="163"/>
      <c r="CH32" s="163"/>
    </row>
    <row r="33">
      <c r="A33" s="38"/>
      <c r="B33" s="194" t="s">
        <v>243</v>
      </c>
      <c r="C33" s="213" t="s">
        <v>165</v>
      </c>
      <c r="D33" s="213" t="s">
        <v>165</v>
      </c>
      <c r="E33" s="194" t="s">
        <v>244</v>
      </c>
      <c r="F33" s="213" t="s">
        <v>165</v>
      </c>
      <c r="G33" s="213" t="s">
        <v>165</v>
      </c>
      <c r="H33" s="239" t="s">
        <v>245</v>
      </c>
      <c r="I33" s="213" t="s">
        <v>165</v>
      </c>
      <c r="J33" s="234"/>
      <c r="K33" s="213" t="s">
        <v>165</v>
      </c>
      <c r="L33" s="194" t="s">
        <v>232</v>
      </c>
      <c r="M33" s="213" t="s">
        <v>165</v>
      </c>
      <c r="N33" s="23"/>
      <c r="O33" s="262" t="s">
        <v>202</v>
      </c>
      <c r="P33" s="156"/>
      <c r="Q33" s="261" t="s">
        <v>201</v>
      </c>
      <c r="S33" s="161"/>
      <c r="T33" s="156"/>
      <c r="U33" s="254"/>
      <c r="V33" s="260" t="s">
        <v>152</v>
      </c>
      <c r="W33" s="156"/>
      <c r="X33" s="156"/>
      <c r="Y33" s="308" t="s">
        <v>150</v>
      </c>
      <c r="Z33" s="38"/>
      <c r="AA33" s="156"/>
      <c r="AB33" s="156"/>
      <c r="AC33" s="156"/>
      <c r="AD33" s="309" t="s">
        <v>246</v>
      </c>
      <c r="AE33" s="23"/>
      <c r="AF33" s="310" t="s">
        <v>247</v>
      </c>
      <c r="AI33" s="23"/>
      <c r="AJ33" s="69"/>
      <c r="AK33" s="299" t="s">
        <v>236</v>
      </c>
      <c r="AL33" s="38"/>
      <c r="AM33" s="311" t="s">
        <v>248</v>
      </c>
      <c r="AN33" s="23"/>
      <c r="AO33" s="156"/>
      <c r="AP33" s="69"/>
      <c r="AQ33" s="156"/>
      <c r="AR33" s="69"/>
      <c r="AS33" s="38"/>
      <c r="AT33" s="69"/>
      <c r="AU33" s="69"/>
      <c r="AV33" s="163"/>
      <c r="AW33" s="300" t="str">
        <f t="array" ref="AW33">TEXTJOIN(" | ", 1, A34:AT34)</f>
        <v>318 | 103/104/301/111/306/421/460 | 103/104/301/111/306/421/460 | 209 | 103/104/301/111/306/421/460 | 103/104/301/111/306/421/460 | 300 | 103/104/301/111/306/421/460 | 103/104/301/111/306/421/460 | 314 | 103/104/301/111/306/421/460 | 303 | 461 | 304 | 101 | Online | ONLINE | 317 | 321</v>
      </c>
      <c r="AX33" s="163"/>
      <c r="AY33" s="163"/>
      <c r="AZ33" s="163"/>
      <c r="BA33" s="163"/>
      <c r="BB33" s="163"/>
      <c r="BC33" s="163"/>
      <c r="BD33" s="163"/>
      <c r="BE33" s="163"/>
      <c r="BF33" s="163"/>
      <c r="BG33" s="163"/>
      <c r="BH33" s="163"/>
      <c r="BI33" s="163"/>
      <c r="BJ33" s="163"/>
      <c r="BK33" s="163"/>
      <c r="BL33" s="163"/>
      <c r="BM33" s="163"/>
      <c r="BN33" s="163"/>
      <c r="BO33" s="163"/>
      <c r="BP33" s="163"/>
      <c r="BQ33" s="163"/>
      <c r="BR33" s="163"/>
      <c r="BS33" s="163"/>
      <c r="BT33" s="163"/>
      <c r="BU33" s="163"/>
      <c r="BV33" s="163"/>
      <c r="BW33" s="163"/>
      <c r="BX33" s="163"/>
      <c r="BY33" s="163"/>
      <c r="BZ33" s="163"/>
      <c r="CA33" s="163"/>
      <c r="CB33" s="163"/>
      <c r="CC33" s="163"/>
      <c r="CD33" s="163"/>
      <c r="CE33" s="163"/>
      <c r="CF33" s="163"/>
      <c r="CG33" s="163"/>
      <c r="CH33" s="163"/>
    </row>
    <row r="34">
      <c r="A34" s="44"/>
      <c r="B34" s="312">
        <v>318.0</v>
      </c>
      <c r="C34" s="221" t="s">
        <v>249</v>
      </c>
      <c r="D34" s="221" t="s">
        <v>249</v>
      </c>
      <c r="E34" s="313">
        <v>209.0</v>
      </c>
      <c r="F34" s="221" t="s">
        <v>249</v>
      </c>
      <c r="G34" s="221" t="s">
        <v>249</v>
      </c>
      <c r="H34" s="312">
        <v>300.0</v>
      </c>
      <c r="I34" s="221" t="s">
        <v>249</v>
      </c>
      <c r="J34" s="240"/>
      <c r="K34" s="221" t="s">
        <v>249</v>
      </c>
      <c r="L34" s="313">
        <v>314.0</v>
      </c>
      <c r="M34" s="221" t="s">
        <v>249</v>
      </c>
      <c r="N34" s="47"/>
      <c r="O34" s="265">
        <v>303.0</v>
      </c>
      <c r="P34" s="172"/>
      <c r="Q34" s="244">
        <v>461.0</v>
      </c>
      <c r="S34" s="177"/>
      <c r="T34" s="172"/>
      <c r="U34" s="254"/>
      <c r="V34" s="199">
        <v>304.0</v>
      </c>
      <c r="W34" s="172"/>
      <c r="X34" s="172"/>
      <c r="Y34" s="314">
        <v>101.0</v>
      </c>
      <c r="Z34" s="44"/>
      <c r="AA34" s="172"/>
      <c r="AB34" s="172"/>
      <c r="AC34" s="172"/>
      <c r="AD34" s="315" t="s">
        <v>250</v>
      </c>
      <c r="AE34" s="47"/>
      <c r="AF34" s="316" t="s">
        <v>137</v>
      </c>
      <c r="AG34" s="46"/>
      <c r="AH34" s="46"/>
      <c r="AI34" s="47"/>
      <c r="AJ34" s="76"/>
      <c r="AK34" s="304">
        <v>317.0</v>
      </c>
      <c r="AL34" s="44"/>
      <c r="AM34" s="317">
        <v>321.0</v>
      </c>
      <c r="AN34" s="47"/>
      <c r="AO34" s="172"/>
      <c r="AP34" s="76"/>
      <c r="AQ34" s="172"/>
      <c r="AR34" s="76"/>
      <c r="AS34" s="44"/>
      <c r="AT34" s="76"/>
      <c r="AU34" s="76"/>
      <c r="AV34" s="164" t="str">
        <f>IFERROR(__xludf.DUMMYFUNCTION("TEXTJOIN("" / "", TRUE, FILTER(TO_TEXT(SPLIT($AZ$4, "" / "")), NOT(REGEXMATCH(TO_TEXT(SPLIT($AZ$4, "" / "")), ""\b"" &amp; TEXTJOIN(""|"", TRUE, SPLIT(AW34, "" / "")) &amp; ""\b""))))"),"102 / 105 / 106 / 107 / 108 / 305 / 307 / 308 / 312 / 313 / 316 / 320")</f>
        <v>102 / 105 / 106 / 107 / 108 / 305 / 307 / 308 / 312 / 313 / 316 / 320</v>
      </c>
      <c r="AW34" s="178" t="str">
        <f>IFERROR(__xludf.DUMMYFUNCTION("TEXTJOIN("" / "", 1, SORT(UNIQUE(TRANSPOSE(SPLIT(TRIM(REGEXREPLACE(AW33,""([0-9]{3}[a-zA-Z]?)|."",""$1 "")), "" "")))))"),"101 / 103 / 104 / 111 / 209 / 300 / 301 / 303 / 304 / 306 / 314 / 317 / 318 / 321 / 421 / 460 / 461")</f>
        <v>101 / 103 / 104 / 111 / 209 / 300 / 301 / 303 / 304 / 306 / 314 / 317 / 318 / 321 / 421 / 460 / 461</v>
      </c>
      <c r="AX34" s="163"/>
      <c r="AY34" s="163"/>
      <c r="AZ34" s="163"/>
      <c r="BA34" s="163"/>
      <c r="BB34" s="163"/>
      <c r="BC34" s="163"/>
      <c r="BD34" s="163"/>
      <c r="BE34" s="163"/>
      <c r="BF34" s="163"/>
      <c r="BG34" s="163"/>
      <c r="BH34" s="163"/>
      <c r="BI34" s="163"/>
      <c r="BJ34" s="163"/>
      <c r="BK34" s="163"/>
      <c r="BL34" s="163"/>
      <c r="BM34" s="163"/>
      <c r="BN34" s="163"/>
      <c r="BO34" s="163"/>
      <c r="BP34" s="163"/>
      <c r="BQ34" s="163"/>
      <c r="BR34" s="163"/>
      <c r="BS34" s="163"/>
      <c r="BT34" s="163"/>
      <c r="BU34" s="163"/>
      <c r="BV34" s="163"/>
      <c r="BW34" s="163"/>
      <c r="BX34" s="163"/>
      <c r="BY34" s="163"/>
      <c r="BZ34" s="163"/>
      <c r="CA34" s="163"/>
      <c r="CB34" s="163"/>
      <c r="CC34" s="163"/>
      <c r="CD34" s="163"/>
      <c r="CE34" s="163"/>
      <c r="CF34" s="163"/>
      <c r="CG34" s="163"/>
      <c r="CH34" s="163"/>
    </row>
    <row r="35">
      <c r="A35" s="152" t="s">
        <v>64</v>
      </c>
      <c r="B35" s="208" t="s">
        <v>157</v>
      </c>
      <c r="C35" s="270" t="s">
        <v>239</v>
      </c>
      <c r="D35" s="208" t="s">
        <v>157</v>
      </c>
      <c r="E35" s="208" t="s">
        <v>157</v>
      </c>
      <c r="F35" s="270" t="s">
        <v>239</v>
      </c>
      <c r="G35" s="208" t="s">
        <v>157</v>
      </c>
      <c r="H35" s="208" t="s">
        <v>157</v>
      </c>
      <c r="I35" s="270" t="s">
        <v>239</v>
      </c>
      <c r="J35" s="208" t="s">
        <v>157</v>
      </c>
      <c r="K35" s="270" t="s">
        <v>239</v>
      </c>
      <c r="L35" s="208" t="s">
        <v>157</v>
      </c>
      <c r="M35" s="158"/>
      <c r="N35" s="154" t="s">
        <v>184</v>
      </c>
      <c r="O35" s="228"/>
      <c r="P35" s="305"/>
      <c r="R35" s="228"/>
      <c r="S35" s="305"/>
      <c r="T35" s="305"/>
      <c r="U35" s="305"/>
      <c r="V35" s="256" t="s">
        <v>197</v>
      </c>
      <c r="W35" s="305"/>
      <c r="X35" s="305"/>
      <c r="Y35" s="318" t="s">
        <v>251</v>
      </c>
      <c r="Z35" s="154" t="s">
        <v>185</v>
      </c>
      <c r="AA35" s="156"/>
      <c r="AB35" s="156"/>
      <c r="AC35" s="156"/>
      <c r="AD35" s="306" t="s">
        <v>240</v>
      </c>
      <c r="AE35" s="23"/>
      <c r="AF35" s="134"/>
      <c r="AG35" s="158"/>
      <c r="AH35" s="228"/>
      <c r="AI35" s="156"/>
      <c r="AJ35" s="248" t="s">
        <v>187</v>
      </c>
      <c r="AK35" s="156"/>
      <c r="AL35" s="152" t="s">
        <v>64</v>
      </c>
      <c r="AM35" s="230"/>
      <c r="AN35" s="156"/>
      <c r="AO35" s="230"/>
      <c r="AP35" s="156"/>
      <c r="AQ35" s="156"/>
      <c r="AR35" s="156"/>
      <c r="AS35" s="152" t="s">
        <v>64</v>
      </c>
      <c r="AT35" s="257" t="s">
        <v>252</v>
      </c>
      <c r="AU35" s="319"/>
      <c r="AV35" s="258"/>
      <c r="AW35" s="258"/>
      <c r="AX35" s="258"/>
      <c r="AY35" s="258"/>
      <c r="AZ35" s="258"/>
      <c r="BA35" s="258"/>
      <c r="BB35" s="258"/>
      <c r="BC35" s="258"/>
      <c r="BD35" s="258"/>
      <c r="BE35" s="258"/>
      <c r="BF35" s="258"/>
      <c r="BG35" s="258"/>
      <c r="BH35" s="258"/>
      <c r="BI35" s="258"/>
      <c r="BJ35" s="258"/>
      <c r="BK35" s="258"/>
      <c r="BL35" s="258"/>
      <c r="BM35" s="258"/>
      <c r="BN35" s="258"/>
      <c r="BO35" s="258"/>
      <c r="BP35" s="258"/>
      <c r="BQ35" s="258"/>
      <c r="BR35" s="258"/>
      <c r="BS35" s="258"/>
      <c r="BT35" s="258"/>
      <c r="BU35" s="258"/>
      <c r="BV35" s="258"/>
      <c r="BW35" s="258"/>
      <c r="BX35" s="258"/>
      <c r="BY35" s="258"/>
      <c r="BZ35" s="258"/>
      <c r="CA35" s="258"/>
      <c r="CB35" s="258"/>
      <c r="CC35" s="258"/>
      <c r="CD35" s="258"/>
      <c r="CE35" s="258"/>
      <c r="CF35" s="258"/>
      <c r="CG35" s="258"/>
      <c r="CH35" s="258"/>
    </row>
    <row r="36">
      <c r="A36" s="38"/>
      <c r="B36" s="213" t="s">
        <v>165</v>
      </c>
      <c r="C36" s="194" t="s">
        <v>243</v>
      </c>
      <c r="D36" s="213" t="s">
        <v>165</v>
      </c>
      <c r="E36" s="213" t="s">
        <v>165</v>
      </c>
      <c r="F36" s="194" t="s">
        <v>244</v>
      </c>
      <c r="G36" s="213" t="s">
        <v>165</v>
      </c>
      <c r="H36" s="213" t="s">
        <v>165</v>
      </c>
      <c r="I36" s="239" t="s">
        <v>245</v>
      </c>
      <c r="J36" s="213" t="s">
        <v>165</v>
      </c>
      <c r="K36" s="194" t="s">
        <v>232</v>
      </c>
      <c r="L36" s="213" t="s">
        <v>165</v>
      </c>
      <c r="M36" s="168"/>
      <c r="N36" s="23"/>
      <c r="O36" s="161"/>
      <c r="P36" s="156"/>
      <c r="R36" s="161"/>
      <c r="S36" s="156"/>
      <c r="T36" s="156"/>
      <c r="U36" s="156"/>
      <c r="V36" s="262" t="s">
        <v>202</v>
      </c>
      <c r="W36" s="156"/>
      <c r="X36" s="156"/>
      <c r="Y36" s="320" t="s">
        <v>253</v>
      </c>
      <c r="Z36" s="23"/>
      <c r="AA36" s="156"/>
      <c r="AB36" s="156"/>
      <c r="AC36" s="156"/>
      <c r="AD36" s="309" t="s">
        <v>246</v>
      </c>
      <c r="AE36" s="23"/>
      <c r="AF36" s="211"/>
      <c r="AG36" s="154"/>
      <c r="AH36" s="161"/>
      <c r="AI36" s="156"/>
      <c r="AJ36" s="250" t="s">
        <v>189</v>
      </c>
      <c r="AK36" s="156"/>
      <c r="AL36" s="38"/>
      <c r="AM36" s="230"/>
      <c r="AN36" s="156"/>
      <c r="AO36" s="230"/>
      <c r="AP36" s="156"/>
      <c r="AQ36" s="156"/>
      <c r="AR36" s="156"/>
      <c r="AS36" s="38"/>
      <c r="AT36" s="321" t="s">
        <v>254</v>
      </c>
      <c r="AU36" s="152"/>
      <c r="AV36" s="258"/>
      <c r="AW36" s="300" t="str">
        <f t="array" ref="AW36">TEXTJOIN(" | ", 1, A37:AT37)</f>
        <v>103/104/301/111/306/421/460 | 318 | 103/104/301/111/306/421/460 | 103/104/301/111/306/421/460 | 209 | 103/104/301/111/306/421/460 | 103/104/301/111/306/421/460 | 300 | 103/104/301/111/306/421/460 | 314 | 103/104/301/111/306/421/460 | 303 | ONLINE | Online | 102 ON 29/04 | 320 ON 15/04</v>
      </c>
      <c r="AX36" s="258"/>
      <c r="AY36" s="258"/>
      <c r="AZ36" s="258"/>
      <c r="BA36" s="258"/>
      <c r="BB36" s="258"/>
      <c r="BC36" s="258"/>
      <c r="BD36" s="258"/>
      <c r="BE36" s="258"/>
      <c r="BF36" s="258"/>
      <c r="BG36" s="258"/>
      <c r="BH36" s="258"/>
      <c r="BI36" s="258"/>
      <c r="BJ36" s="258"/>
      <c r="BK36" s="258"/>
      <c r="BL36" s="258"/>
      <c r="BM36" s="258"/>
      <c r="BN36" s="258"/>
      <c r="BO36" s="258"/>
      <c r="BP36" s="258"/>
      <c r="BQ36" s="258"/>
      <c r="BR36" s="258"/>
      <c r="BS36" s="258"/>
      <c r="BT36" s="258"/>
      <c r="BU36" s="258"/>
      <c r="BV36" s="258"/>
      <c r="BW36" s="258"/>
      <c r="BX36" s="258"/>
      <c r="BY36" s="258"/>
      <c r="BZ36" s="258"/>
      <c r="CA36" s="258"/>
      <c r="CB36" s="258"/>
      <c r="CC36" s="258"/>
      <c r="CD36" s="258"/>
      <c r="CE36" s="258"/>
      <c r="CF36" s="258"/>
      <c r="CG36" s="258"/>
      <c r="CH36" s="258"/>
    </row>
    <row r="37">
      <c r="A37" s="44"/>
      <c r="B37" s="221" t="s">
        <v>249</v>
      </c>
      <c r="C37" s="312">
        <v>318.0</v>
      </c>
      <c r="D37" s="221" t="s">
        <v>249</v>
      </c>
      <c r="E37" s="221" t="s">
        <v>249</v>
      </c>
      <c r="F37" s="313">
        <v>209.0</v>
      </c>
      <c r="G37" s="221" t="s">
        <v>249</v>
      </c>
      <c r="H37" s="221" t="s">
        <v>249</v>
      </c>
      <c r="I37" s="312">
        <v>300.0</v>
      </c>
      <c r="J37" s="221" t="s">
        <v>249</v>
      </c>
      <c r="K37" s="313">
        <v>314.0</v>
      </c>
      <c r="L37" s="221" t="s">
        <v>249</v>
      </c>
      <c r="M37" s="202"/>
      <c r="N37" s="47"/>
      <c r="O37" s="177"/>
      <c r="P37" s="172"/>
      <c r="R37" s="177"/>
      <c r="S37" s="172"/>
      <c r="T37" s="172"/>
      <c r="U37" s="172"/>
      <c r="V37" s="265">
        <v>303.0</v>
      </c>
      <c r="W37" s="172"/>
      <c r="X37" s="172"/>
      <c r="Y37" s="322" t="s">
        <v>137</v>
      </c>
      <c r="Z37" s="47"/>
      <c r="AA37" s="172"/>
      <c r="AB37" s="172"/>
      <c r="AC37" s="172"/>
      <c r="AD37" s="315" t="s">
        <v>250</v>
      </c>
      <c r="AE37" s="47"/>
      <c r="AF37" s="226"/>
      <c r="AG37" s="202"/>
      <c r="AH37" s="177"/>
      <c r="AI37" s="172"/>
      <c r="AJ37" s="252" t="s">
        <v>255</v>
      </c>
      <c r="AK37" s="172"/>
      <c r="AL37" s="44"/>
      <c r="AM37" s="243"/>
      <c r="AN37" s="172"/>
      <c r="AO37" s="243"/>
      <c r="AP37" s="172"/>
      <c r="AQ37" s="172"/>
      <c r="AR37" s="172"/>
      <c r="AS37" s="44"/>
      <c r="AT37" s="266" t="s">
        <v>256</v>
      </c>
      <c r="AU37" s="323"/>
      <c r="AV37" s="164" t="str">
        <f>IFERROR(__xludf.DUMMYFUNCTION("TEXTJOIN("" / "", TRUE, FILTER(TO_TEXT(SPLIT($AZ$4, "" / "")), NOT(REGEXMATCH(TO_TEXT(SPLIT($AZ$4, "" / "")), ""\b"" &amp; TEXTJOIN(""|"", TRUE, SPLIT(AW37, "" / "")) &amp; ""\b""))))"),"101 / 105 / 106 / 107 / 108 / 304 / 305 / 307 / 308 / 312 / 313 / 316 / 317 / 321 / 461")</f>
        <v>101 / 105 / 106 / 107 / 108 / 304 / 305 / 307 / 308 / 312 / 313 / 316 / 317 / 321 / 461</v>
      </c>
      <c r="AW37" s="178" t="str">
        <f>IFERROR(__xludf.DUMMYFUNCTION("TEXTJOIN("" / "", 1, SORT(UNIQUE(TRANSPOSE(SPLIT(TRIM(REGEXREPLACE(AW36,""([0-9]{3}[a-zA-Z]?)|."",""$1 "")), "" "")))))"),"102 / 103 / 104 / 111 / 209 / 300 / 301 / 303 / 306 / 314 / 318 / 320 / 421 / 460")</f>
        <v>102 / 103 / 104 / 111 / 209 / 300 / 301 / 303 / 306 / 314 / 318 / 320 / 421 / 460</v>
      </c>
      <c r="AX37" s="163"/>
      <c r="AY37" s="163"/>
      <c r="AZ37" s="163"/>
      <c r="BA37" s="163"/>
      <c r="BB37" s="163"/>
      <c r="BC37" s="163"/>
      <c r="BD37" s="163"/>
      <c r="BE37" s="163"/>
      <c r="BF37" s="163"/>
      <c r="BG37" s="163"/>
      <c r="BH37" s="163"/>
      <c r="BI37" s="163"/>
      <c r="BJ37" s="163"/>
      <c r="BK37" s="163"/>
      <c r="BL37" s="163"/>
      <c r="BM37" s="163"/>
      <c r="BN37" s="163"/>
      <c r="BO37" s="163"/>
      <c r="BP37" s="163"/>
      <c r="BQ37" s="163"/>
      <c r="BR37" s="163"/>
      <c r="BS37" s="163"/>
      <c r="BT37" s="163"/>
      <c r="BU37" s="163"/>
      <c r="BV37" s="163"/>
      <c r="BW37" s="163"/>
      <c r="BX37" s="163"/>
      <c r="BY37" s="163"/>
      <c r="BZ37" s="163"/>
      <c r="CA37" s="163"/>
      <c r="CB37" s="163"/>
      <c r="CC37" s="163"/>
      <c r="CD37" s="163"/>
      <c r="CE37" s="163"/>
      <c r="CF37" s="163"/>
      <c r="CG37" s="163"/>
      <c r="CH37" s="163"/>
    </row>
    <row r="38">
      <c r="A38" s="152" t="s">
        <v>66</v>
      </c>
      <c r="B38" s="156"/>
      <c r="C38" s="156"/>
      <c r="D38" s="270" t="s">
        <v>239</v>
      </c>
      <c r="E38" s="156"/>
      <c r="F38" s="156"/>
      <c r="G38" s="270" t="s">
        <v>239</v>
      </c>
      <c r="H38" s="156"/>
      <c r="I38" s="156"/>
      <c r="J38" s="270" t="s">
        <v>239</v>
      </c>
      <c r="K38" s="227"/>
      <c r="L38" s="156"/>
      <c r="M38" s="270" t="s">
        <v>239</v>
      </c>
      <c r="N38" s="154" t="s">
        <v>191</v>
      </c>
      <c r="O38" s="228"/>
      <c r="P38" s="305"/>
      <c r="Q38" s="305"/>
      <c r="R38" s="305"/>
      <c r="S38" s="305"/>
      <c r="T38" s="305"/>
      <c r="U38" s="305"/>
      <c r="V38" s="305"/>
      <c r="W38" s="305"/>
      <c r="X38" s="305"/>
      <c r="Y38" s="156"/>
      <c r="Z38" s="154" t="s">
        <v>192</v>
      </c>
      <c r="AA38" s="156"/>
      <c r="AB38" s="156"/>
      <c r="AC38" s="156"/>
      <c r="AD38" s="156"/>
      <c r="AE38" s="156"/>
      <c r="AF38" s="158"/>
      <c r="AG38" s="63"/>
      <c r="AH38" s="228"/>
      <c r="AI38" s="63"/>
      <c r="AJ38" s="248" t="s">
        <v>187</v>
      </c>
      <c r="AK38" s="156"/>
      <c r="AL38" s="152" t="s">
        <v>66</v>
      </c>
      <c r="AM38" s="63"/>
      <c r="AN38" s="63"/>
      <c r="AO38" s="228"/>
      <c r="AP38" s="228"/>
      <c r="AQ38" s="207" t="s">
        <v>257</v>
      </c>
      <c r="AR38" s="156"/>
      <c r="AS38" s="324" t="s">
        <v>66</v>
      </c>
      <c r="AT38" s="257" t="s">
        <v>252</v>
      </c>
      <c r="AU38" s="319"/>
      <c r="AV38" s="258"/>
      <c r="AW38" s="258"/>
      <c r="AX38" s="258"/>
      <c r="AY38" s="258"/>
      <c r="AZ38" s="258"/>
      <c r="BA38" s="258"/>
      <c r="BB38" s="258"/>
      <c r="BC38" s="258"/>
      <c r="BD38" s="258"/>
      <c r="BE38" s="258"/>
      <c r="BF38" s="258"/>
      <c r="BG38" s="258"/>
      <c r="BH38" s="258"/>
      <c r="BI38" s="258"/>
      <c r="BJ38" s="258"/>
      <c r="BK38" s="258"/>
      <c r="BL38" s="258"/>
      <c r="BM38" s="258"/>
      <c r="BN38" s="258"/>
      <c r="BO38" s="258"/>
      <c r="BP38" s="258"/>
      <c r="BQ38" s="258"/>
      <c r="BR38" s="258"/>
      <c r="BS38" s="258"/>
      <c r="BT38" s="258"/>
      <c r="BU38" s="258"/>
      <c r="BV38" s="258"/>
      <c r="BW38" s="258"/>
      <c r="BX38" s="258"/>
      <c r="BY38" s="258"/>
      <c r="BZ38" s="258"/>
      <c r="CA38" s="258"/>
      <c r="CB38" s="258"/>
      <c r="CC38" s="258"/>
      <c r="CD38" s="258"/>
      <c r="CE38" s="258"/>
      <c r="CF38" s="258"/>
      <c r="CG38" s="258"/>
      <c r="CH38" s="258"/>
    </row>
    <row r="39">
      <c r="A39" s="38"/>
      <c r="B39" s="156"/>
      <c r="C39" s="156"/>
      <c r="D39" s="194" t="s">
        <v>244</v>
      </c>
      <c r="E39" s="156"/>
      <c r="F39" s="156"/>
      <c r="G39" s="194" t="s">
        <v>243</v>
      </c>
      <c r="H39" s="156"/>
      <c r="I39" s="156"/>
      <c r="J39" s="194" t="s">
        <v>245</v>
      </c>
      <c r="K39" s="234"/>
      <c r="L39" s="156"/>
      <c r="M39" s="194" t="s">
        <v>232</v>
      </c>
      <c r="N39" s="23"/>
      <c r="O39" s="161"/>
      <c r="P39" s="156"/>
      <c r="Q39" s="156"/>
      <c r="R39" s="156"/>
      <c r="S39" s="156"/>
      <c r="T39" s="156"/>
      <c r="U39" s="156"/>
      <c r="V39" s="156"/>
      <c r="W39" s="156"/>
      <c r="X39" s="156"/>
      <c r="Y39" s="156"/>
      <c r="Z39" s="23"/>
      <c r="AA39" s="156"/>
      <c r="AB39" s="156"/>
      <c r="AC39" s="156"/>
      <c r="AD39" s="156"/>
      <c r="AE39" s="156"/>
      <c r="AF39" s="154"/>
      <c r="AG39" s="69"/>
      <c r="AH39" s="161"/>
      <c r="AI39" s="69"/>
      <c r="AJ39" s="250" t="s">
        <v>189</v>
      </c>
      <c r="AK39" s="156"/>
      <c r="AL39" s="38"/>
      <c r="AM39" s="69"/>
      <c r="AN39" s="69"/>
      <c r="AO39" s="161"/>
      <c r="AP39" s="161"/>
      <c r="AQ39" s="214" t="s">
        <v>258</v>
      </c>
      <c r="AR39" s="156"/>
      <c r="AS39" s="38"/>
      <c r="AT39" s="321" t="s">
        <v>254</v>
      </c>
      <c r="AU39" s="152"/>
      <c r="AV39" s="258"/>
      <c r="AW39" s="163" t="str">
        <f t="array" ref="AW39">TEXTJOIN(" | ", 1, A40:AT40)</f>
        <v>209 | 318 | 300 | 314 | ONLINE STARTS AT 18:00 TILL 21:10 (102 ON 29/04) | ONLINE STARTS AT 20:00 | 320 ON 15/04</v>
      </c>
      <c r="AX39" s="258"/>
      <c r="AY39" s="258"/>
      <c r="AZ39" s="258"/>
      <c r="BA39" s="258"/>
      <c r="BB39" s="258"/>
      <c r="BC39" s="258"/>
      <c r="BD39" s="258"/>
      <c r="BE39" s="258"/>
      <c r="BF39" s="258"/>
      <c r="BG39" s="258"/>
      <c r="BH39" s="258"/>
      <c r="BI39" s="258"/>
      <c r="BJ39" s="258"/>
      <c r="BK39" s="258"/>
      <c r="BL39" s="258"/>
      <c r="BM39" s="258"/>
      <c r="BN39" s="258"/>
      <c r="BO39" s="258"/>
      <c r="BP39" s="258"/>
      <c r="BQ39" s="258"/>
      <c r="BR39" s="258"/>
      <c r="BS39" s="258"/>
      <c r="BT39" s="258"/>
      <c r="BU39" s="258"/>
      <c r="BV39" s="258"/>
      <c r="BW39" s="258"/>
      <c r="BX39" s="258"/>
      <c r="BY39" s="258"/>
      <c r="BZ39" s="258"/>
      <c r="CA39" s="258"/>
      <c r="CB39" s="258"/>
      <c r="CC39" s="258"/>
      <c r="CD39" s="258"/>
      <c r="CE39" s="258"/>
      <c r="CF39" s="258"/>
      <c r="CG39" s="258"/>
      <c r="CH39" s="258"/>
    </row>
    <row r="40">
      <c r="A40" s="44"/>
      <c r="B40" s="172"/>
      <c r="C40" s="172"/>
      <c r="D40" s="313">
        <v>209.0</v>
      </c>
      <c r="E40" s="172"/>
      <c r="F40" s="172"/>
      <c r="G40" s="313">
        <v>318.0</v>
      </c>
      <c r="H40" s="172"/>
      <c r="I40" s="172"/>
      <c r="J40" s="312">
        <v>300.0</v>
      </c>
      <c r="K40" s="240"/>
      <c r="L40" s="172"/>
      <c r="M40" s="313">
        <v>314.0</v>
      </c>
      <c r="N40" s="47"/>
      <c r="O40" s="177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47"/>
      <c r="AA40" s="172"/>
      <c r="AB40" s="172"/>
      <c r="AC40" s="172"/>
      <c r="AD40" s="172"/>
      <c r="AE40" s="172"/>
      <c r="AF40" s="202"/>
      <c r="AG40" s="76"/>
      <c r="AH40" s="177"/>
      <c r="AI40" s="76"/>
      <c r="AJ40" s="252" t="s">
        <v>259</v>
      </c>
      <c r="AK40" s="172"/>
      <c r="AL40" s="44"/>
      <c r="AM40" s="76"/>
      <c r="AN40" s="76"/>
      <c r="AO40" s="177"/>
      <c r="AP40" s="177"/>
      <c r="AQ40" s="325" t="s">
        <v>260</v>
      </c>
      <c r="AR40" s="172"/>
      <c r="AS40" s="44"/>
      <c r="AT40" s="266" t="s">
        <v>256</v>
      </c>
      <c r="AU40" s="323"/>
      <c r="AV40" s="164" t="str">
        <f>IFERROR(__xludf.DUMMYFUNCTION("TEXTJOIN("" / "", TRUE, FILTER(TO_TEXT(SPLIT($AZ$4, "" / "")), NOT(REGEXMATCH(TO_TEXT(SPLIT($AZ$4, "" / "")), ""\b"" &amp; TEXTJOIN(""|"", TRUE, SPLIT(AW40, "" / "")) &amp; ""\b""))))"),"101 / 103 / 104 / 105 / 106 / 107 / 108 / 111 / 301 / 303 / 304 / 305 / 306 / 307 / 308 / 312 / 313 / 316 / 317 / 321 / 421 / 460 / 461")</f>
        <v>101 / 103 / 104 / 105 / 106 / 107 / 108 / 111 / 301 / 303 / 304 / 305 / 306 / 307 / 308 / 312 / 313 / 316 / 317 / 321 / 421 / 460 / 461</v>
      </c>
      <c r="AW40" s="178" t="str">
        <f>IFERROR(__xludf.DUMMYFUNCTION("TEXTJOIN("" / "", 1, SORT(UNIQUE(TRANSPOSE(SPLIT(TRIM(REGEXREPLACE(AW39,""([0-9]{3}[a-zA-Z]?)|."",""$1 "")), "" "")))))"),"102 / 209 / 300 / 314 / 318 / 320")</f>
        <v>102 / 209 / 300 / 314 / 318 / 320</v>
      </c>
      <c r="AX40" s="164"/>
      <c r="AY40" s="163"/>
      <c r="AZ40" s="163"/>
      <c r="BA40" s="163"/>
      <c r="BB40" s="163"/>
      <c r="BC40" s="163"/>
      <c r="BD40" s="163"/>
      <c r="BE40" s="163"/>
      <c r="BF40" s="163"/>
      <c r="BG40" s="163"/>
      <c r="BH40" s="163"/>
      <c r="BI40" s="163"/>
      <c r="BJ40" s="163"/>
      <c r="BK40" s="163"/>
      <c r="BL40" s="163"/>
      <c r="BM40" s="163"/>
      <c r="BN40" s="163"/>
      <c r="BO40" s="163"/>
      <c r="BP40" s="163"/>
      <c r="BQ40" s="163"/>
      <c r="BR40" s="163"/>
      <c r="BS40" s="163"/>
      <c r="BT40" s="163"/>
      <c r="BU40" s="163"/>
      <c r="BV40" s="163"/>
      <c r="BW40" s="163"/>
      <c r="BX40" s="163"/>
      <c r="BY40" s="163"/>
      <c r="BZ40" s="163"/>
      <c r="CA40" s="163"/>
      <c r="CB40" s="163"/>
      <c r="CC40" s="163"/>
      <c r="CD40" s="163"/>
      <c r="CE40" s="163"/>
      <c r="CF40" s="163"/>
      <c r="CG40" s="163"/>
      <c r="CH40" s="163"/>
    </row>
    <row r="41">
      <c r="A41" s="147" t="s">
        <v>82</v>
      </c>
      <c r="B41" s="148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7"/>
      <c r="N41" s="149" t="s">
        <v>82</v>
      </c>
      <c r="O41" s="148"/>
      <c r="P41" s="46"/>
      <c r="Q41" s="46"/>
      <c r="R41" s="46"/>
      <c r="S41" s="46"/>
      <c r="T41" s="46"/>
      <c r="U41" s="46"/>
      <c r="V41" s="46"/>
      <c r="W41" s="46"/>
      <c r="X41" s="46"/>
      <c r="Y41" s="47"/>
      <c r="Z41" s="149" t="s">
        <v>82</v>
      </c>
      <c r="AA41" s="148"/>
      <c r="AB41" s="46"/>
      <c r="AC41" s="46"/>
      <c r="AD41" s="46"/>
      <c r="AE41" s="46"/>
      <c r="AF41" s="46"/>
      <c r="AG41" s="46"/>
      <c r="AH41" s="46"/>
      <c r="AI41" s="46"/>
      <c r="AJ41" s="46"/>
      <c r="AK41" s="47"/>
      <c r="AL41" s="147" t="s">
        <v>82</v>
      </c>
      <c r="AM41" s="148"/>
      <c r="AN41" s="46"/>
      <c r="AO41" s="46"/>
      <c r="AP41" s="46"/>
      <c r="AQ41" s="46"/>
      <c r="AR41" s="47"/>
      <c r="AS41" s="147" t="s">
        <v>82</v>
      </c>
      <c r="AT41" s="326"/>
      <c r="AU41" s="326"/>
      <c r="AV41" s="151"/>
      <c r="AW41" s="151"/>
      <c r="AX41" s="151"/>
      <c r="AY41" s="151"/>
      <c r="AZ41" s="151"/>
      <c r="BA41" s="151"/>
      <c r="BB41" s="151"/>
      <c r="BC41" s="151"/>
      <c r="BD41" s="151"/>
      <c r="BE41" s="151"/>
      <c r="BF41" s="151"/>
      <c r="BG41" s="151"/>
      <c r="BH41" s="151"/>
      <c r="BI41" s="151"/>
      <c r="BJ41" s="151"/>
      <c r="BK41" s="151"/>
      <c r="BL41" s="151"/>
      <c r="BM41" s="151"/>
      <c r="BN41" s="151"/>
      <c r="BO41" s="151"/>
      <c r="BP41" s="151"/>
      <c r="BQ41" s="151"/>
      <c r="BR41" s="151"/>
      <c r="BS41" s="151"/>
      <c r="BT41" s="151"/>
      <c r="BU41" s="151"/>
      <c r="BV41" s="151"/>
      <c r="BW41" s="151"/>
      <c r="BX41" s="151"/>
      <c r="BY41" s="151"/>
      <c r="BZ41" s="151"/>
      <c r="CA41" s="151"/>
      <c r="CB41" s="151"/>
      <c r="CC41" s="151"/>
      <c r="CD41" s="151"/>
      <c r="CE41" s="151"/>
      <c r="CF41" s="151"/>
      <c r="CG41" s="151"/>
      <c r="CH41" s="151"/>
    </row>
    <row r="42">
      <c r="A42" s="152" t="s">
        <v>39</v>
      </c>
      <c r="B42" s="327" t="s">
        <v>261</v>
      </c>
      <c r="M42" s="23"/>
      <c r="N42" s="154" t="s">
        <v>128</v>
      </c>
      <c r="O42" s="156"/>
      <c r="P42" s="156"/>
      <c r="Q42" s="156"/>
      <c r="R42" s="156"/>
      <c r="S42" s="156"/>
      <c r="T42" s="156"/>
      <c r="U42" s="156"/>
      <c r="V42" s="156"/>
      <c r="W42" s="156"/>
      <c r="X42" s="156"/>
      <c r="Y42" s="156"/>
      <c r="Z42" s="154" t="s">
        <v>130</v>
      </c>
      <c r="AA42" s="156"/>
      <c r="AB42" s="156"/>
      <c r="AC42" s="156"/>
      <c r="AD42" s="156"/>
      <c r="AE42" s="156"/>
      <c r="AF42" s="328" t="s">
        <v>262</v>
      </c>
      <c r="AI42" s="23"/>
      <c r="AJ42" s="274"/>
      <c r="AK42" s="329" t="s">
        <v>263</v>
      </c>
      <c r="AL42" s="152" t="s">
        <v>39</v>
      </c>
      <c r="AM42" s="228"/>
      <c r="AN42" s="228"/>
      <c r="AO42" s="228"/>
      <c r="AP42" s="231" t="s">
        <v>264</v>
      </c>
      <c r="AQ42" s="247" t="s">
        <v>265</v>
      </c>
      <c r="AR42" s="63"/>
      <c r="AS42" s="152" t="s">
        <v>39</v>
      </c>
      <c r="AT42" s="330" t="s">
        <v>266</v>
      </c>
      <c r="AU42" s="331" t="s">
        <v>267</v>
      </c>
      <c r="AV42" s="332"/>
      <c r="AW42" s="332"/>
      <c r="AX42" s="332"/>
      <c r="AY42" s="332"/>
      <c r="AZ42" s="332"/>
      <c r="BA42" s="332"/>
      <c r="BB42" s="332"/>
      <c r="BC42" s="332"/>
      <c r="BD42" s="332"/>
      <c r="BE42" s="332"/>
      <c r="BF42" s="332"/>
      <c r="BG42" s="332"/>
      <c r="BH42" s="332"/>
      <c r="BI42" s="332"/>
      <c r="BJ42" s="332"/>
      <c r="BK42" s="332"/>
      <c r="BL42" s="332"/>
      <c r="BM42" s="332"/>
      <c r="BN42" s="332"/>
      <c r="BO42" s="332"/>
      <c r="BP42" s="332"/>
      <c r="BQ42" s="332"/>
      <c r="BR42" s="332"/>
      <c r="BS42" s="332"/>
      <c r="BT42" s="332"/>
      <c r="BU42" s="332"/>
      <c r="BV42" s="332"/>
      <c r="BW42" s="332"/>
      <c r="BX42" s="332"/>
      <c r="BY42" s="332"/>
      <c r="BZ42" s="332"/>
      <c r="CA42" s="332"/>
      <c r="CB42" s="332"/>
      <c r="CC42" s="332"/>
      <c r="CD42" s="332"/>
      <c r="CE42" s="332"/>
      <c r="CF42" s="332"/>
      <c r="CG42" s="332"/>
      <c r="CH42" s="332"/>
    </row>
    <row r="43">
      <c r="A43" s="38"/>
      <c r="B43" s="333" t="s">
        <v>268</v>
      </c>
      <c r="M43" s="23"/>
      <c r="N43" s="23"/>
      <c r="O43" s="156"/>
      <c r="P43" s="156"/>
      <c r="Q43" s="156"/>
      <c r="R43" s="156"/>
      <c r="S43" s="156"/>
      <c r="T43" s="156"/>
      <c r="U43" s="156"/>
      <c r="V43" s="156"/>
      <c r="W43" s="156"/>
      <c r="X43" s="156"/>
      <c r="Y43" s="156"/>
      <c r="Z43" s="23"/>
      <c r="AA43" s="156"/>
      <c r="AB43" s="156"/>
      <c r="AC43" s="156"/>
      <c r="AD43" s="156"/>
      <c r="AE43" s="156"/>
      <c r="AF43" s="334" t="s">
        <v>269</v>
      </c>
      <c r="AI43" s="23"/>
      <c r="AJ43" s="283"/>
      <c r="AK43" s="335" t="s">
        <v>270</v>
      </c>
      <c r="AL43" s="38"/>
      <c r="AM43" s="161"/>
      <c r="AN43" s="161"/>
      <c r="AO43" s="161"/>
      <c r="AP43" s="336" t="s">
        <v>271</v>
      </c>
      <c r="AQ43" s="337" t="s">
        <v>272</v>
      </c>
      <c r="AR43" s="69"/>
      <c r="AS43" s="38"/>
      <c r="AT43" s="321" t="s">
        <v>254</v>
      </c>
      <c r="AU43" s="338" t="s">
        <v>273</v>
      </c>
      <c r="AV43" s="339"/>
      <c r="AW43" s="163" t="str">
        <f t="array" ref="AW43">TEXTJOIN(" | ", 1, A44:AT44)</f>
        <v>108 | 106 | 104 | ONLINE | ONLINE ON 12/02, 19/02, 05/03, 12/03 STARTS AT 11:00 TILL 14:00 | 101 ON 16/04</v>
      </c>
      <c r="AX43" s="339"/>
      <c r="AY43" s="339"/>
      <c r="AZ43" s="339"/>
      <c r="BA43" s="339"/>
      <c r="BB43" s="339"/>
      <c r="BC43" s="339"/>
      <c r="BD43" s="339"/>
      <c r="BE43" s="339"/>
      <c r="BF43" s="339"/>
      <c r="BG43" s="339"/>
      <c r="BH43" s="339"/>
      <c r="BI43" s="339"/>
      <c r="BJ43" s="339"/>
      <c r="BK43" s="339"/>
      <c r="BL43" s="339"/>
      <c r="BM43" s="339"/>
      <c r="BN43" s="339"/>
      <c r="BO43" s="339"/>
      <c r="BP43" s="339"/>
      <c r="BQ43" s="339"/>
      <c r="BR43" s="339"/>
      <c r="BS43" s="339"/>
      <c r="BT43" s="339"/>
      <c r="BU43" s="339"/>
      <c r="BV43" s="339"/>
      <c r="BW43" s="339"/>
      <c r="BX43" s="339"/>
      <c r="BY43" s="339"/>
      <c r="BZ43" s="339"/>
      <c r="CA43" s="339"/>
      <c r="CB43" s="339"/>
      <c r="CC43" s="339"/>
      <c r="CD43" s="339"/>
      <c r="CE43" s="339"/>
      <c r="CF43" s="339"/>
      <c r="CG43" s="339"/>
      <c r="CH43" s="339"/>
    </row>
    <row r="44">
      <c r="A44" s="44"/>
      <c r="B44" s="340">
        <v>108.0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7"/>
      <c r="N44" s="47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47"/>
      <c r="AA44" s="172"/>
      <c r="AB44" s="172"/>
      <c r="AC44" s="172"/>
      <c r="AD44" s="172"/>
      <c r="AE44" s="172"/>
      <c r="AF44" s="341">
        <v>106.0</v>
      </c>
      <c r="AG44" s="46"/>
      <c r="AH44" s="46"/>
      <c r="AI44" s="47"/>
      <c r="AJ44" s="291"/>
      <c r="AK44" s="342">
        <v>104.0</v>
      </c>
      <c r="AL44" s="44"/>
      <c r="AM44" s="177"/>
      <c r="AN44" s="177"/>
      <c r="AO44" s="177"/>
      <c r="AP44" s="343" t="s">
        <v>137</v>
      </c>
      <c r="AQ44" s="344" t="s">
        <v>274</v>
      </c>
      <c r="AR44" s="76"/>
      <c r="AS44" s="44"/>
      <c r="AT44" s="266" t="s">
        <v>275</v>
      </c>
      <c r="AU44" s="345" t="s">
        <v>276</v>
      </c>
      <c r="AV44" s="164" t="str">
        <f>IFERROR(__xludf.DUMMYFUNCTION("TEXTJOIN("" / "", TRUE, FILTER(TO_TEXT(SPLIT($AZ$4, "" / "")), NOT(REGEXMATCH(TO_TEXT(SPLIT($AZ$4, "" / "")), ""\b"" &amp; TEXTJOIN(""|"", TRUE, SPLIT(AW44, "" / "")) &amp; ""\b""))))"),"102 / 103 / 105 / 107 / 111 / 209 / 300 / 301 / 303 / 304 / 305 / 306 / 307 / 308 / 312 / 313 / 314 / 316 / 317 / 318 / 320 / 321 / 421 / 460 / 461")</f>
        <v>102 / 103 / 105 / 107 / 111 / 209 / 300 / 301 / 303 / 304 / 305 / 306 / 307 / 308 / 312 / 313 / 314 / 316 / 317 / 318 / 320 / 321 / 421 / 460 / 461</v>
      </c>
      <c r="AW44" s="178" t="str">
        <f>IFERROR(__xludf.DUMMYFUNCTION("TEXTJOIN("" / "", 1, SORT(UNIQUE(TRANSPOSE(SPLIT(TRIM(REGEXREPLACE(AW43,""([0-9]{3}[a-zA-Z]?)|."",""$1 "")), "" "")))))"),"101 / 104 / 106 / 108")</f>
        <v>101 / 104 / 106 / 108</v>
      </c>
      <c r="AX44" s="346"/>
      <c r="AY44" s="346"/>
      <c r="AZ44" s="346"/>
      <c r="BA44" s="346"/>
      <c r="BB44" s="346"/>
      <c r="BC44" s="346"/>
      <c r="BD44" s="346"/>
      <c r="BE44" s="346"/>
      <c r="BF44" s="346"/>
      <c r="BG44" s="346"/>
      <c r="BH44" s="346"/>
      <c r="BI44" s="346"/>
      <c r="BJ44" s="346"/>
      <c r="BK44" s="346"/>
      <c r="BL44" s="346"/>
      <c r="BM44" s="346"/>
      <c r="BN44" s="346"/>
      <c r="BO44" s="346"/>
      <c r="BP44" s="346"/>
      <c r="BQ44" s="346"/>
      <c r="BR44" s="346"/>
      <c r="BS44" s="346"/>
      <c r="BT44" s="346"/>
      <c r="BU44" s="346"/>
      <c r="BV44" s="346"/>
      <c r="BW44" s="346"/>
      <c r="BX44" s="346"/>
      <c r="BY44" s="346"/>
      <c r="BZ44" s="346"/>
      <c r="CA44" s="346"/>
      <c r="CB44" s="346"/>
      <c r="CC44" s="346"/>
      <c r="CD44" s="346"/>
      <c r="CE44" s="346"/>
      <c r="CF44" s="346"/>
      <c r="CG44" s="346"/>
      <c r="CH44" s="346"/>
    </row>
    <row r="45">
      <c r="A45" s="152" t="s">
        <v>49</v>
      </c>
      <c r="B45" s="327" t="s">
        <v>277</v>
      </c>
      <c r="M45" s="23"/>
      <c r="N45" s="154" t="s">
        <v>139</v>
      </c>
      <c r="O45" s="156"/>
      <c r="P45" s="156"/>
      <c r="Q45" s="156"/>
      <c r="R45" s="156"/>
      <c r="S45" s="156"/>
      <c r="T45" s="156"/>
      <c r="U45" s="156"/>
      <c r="V45" s="156"/>
      <c r="W45" s="156"/>
      <c r="X45" s="156"/>
      <c r="Y45" s="156"/>
      <c r="Z45" s="154" t="s">
        <v>145</v>
      </c>
      <c r="AA45" s="156"/>
      <c r="AB45" s="156"/>
      <c r="AC45" s="156"/>
      <c r="AD45" s="156"/>
      <c r="AE45" s="156"/>
      <c r="AF45" s="247" t="s">
        <v>278</v>
      </c>
      <c r="AG45" s="158"/>
      <c r="AH45" s="182" t="s">
        <v>209</v>
      </c>
      <c r="AI45" s="247" t="s">
        <v>278</v>
      </c>
      <c r="AJ45" s="274"/>
      <c r="AK45" s="329" t="s">
        <v>263</v>
      </c>
      <c r="AL45" s="152" t="s">
        <v>49</v>
      </c>
      <c r="AM45" s="347" t="s">
        <v>279</v>
      </c>
      <c r="AN45" s="23"/>
      <c r="AO45" s="348" t="s">
        <v>280</v>
      </c>
      <c r="AP45" s="231" t="s">
        <v>281</v>
      </c>
      <c r="AQ45" s="158"/>
      <c r="AR45" s="349"/>
      <c r="AS45" s="152" t="s">
        <v>49</v>
      </c>
      <c r="AT45" s="330" t="s">
        <v>266</v>
      </c>
      <c r="AU45" s="331" t="s">
        <v>282</v>
      </c>
      <c r="AV45" s="332"/>
      <c r="AW45" s="332"/>
      <c r="AX45" s="332"/>
      <c r="AY45" s="332"/>
      <c r="AZ45" s="332"/>
      <c r="BA45" s="332"/>
      <c r="BB45" s="332"/>
      <c r="BC45" s="332"/>
      <c r="BD45" s="332"/>
      <c r="BE45" s="332"/>
      <c r="BF45" s="332"/>
      <c r="BG45" s="332"/>
      <c r="BH45" s="332"/>
      <c r="BI45" s="332"/>
      <c r="BJ45" s="332"/>
      <c r="BK45" s="332"/>
      <c r="BL45" s="332"/>
      <c r="BM45" s="332"/>
      <c r="BN45" s="332"/>
      <c r="BO45" s="332"/>
      <c r="BP45" s="332"/>
      <c r="BQ45" s="332"/>
      <c r="BR45" s="332"/>
      <c r="BS45" s="332"/>
      <c r="BT45" s="332"/>
      <c r="BU45" s="332"/>
      <c r="BV45" s="332"/>
      <c r="BW45" s="332"/>
      <c r="BX45" s="332"/>
      <c r="BY45" s="332"/>
      <c r="BZ45" s="332"/>
      <c r="CA45" s="332"/>
      <c r="CB45" s="332"/>
      <c r="CC45" s="332"/>
      <c r="CD45" s="332"/>
      <c r="CE45" s="332"/>
      <c r="CF45" s="332"/>
      <c r="CG45" s="332"/>
      <c r="CH45" s="332"/>
    </row>
    <row r="46">
      <c r="A46" s="38"/>
      <c r="B46" s="350" t="s">
        <v>283</v>
      </c>
      <c r="M46" s="23"/>
      <c r="N46" s="23"/>
      <c r="O46" s="156"/>
      <c r="P46" s="156"/>
      <c r="Q46" s="156"/>
      <c r="R46" s="156"/>
      <c r="S46" s="156"/>
      <c r="T46" s="156"/>
      <c r="U46" s="156"/>
      <c r="V46" s="156"/>
      <c r="W46" s="156"/>
      <c r="X46" s="156"/>
      <c r="Y46" s="156"/>
      <c r="Z46" s="23"/>
      <c r="AA46" s="156"/>
      <c r="AB46" s="156"/>
      <c r="AC46" s="156"/>
      <c r="AD46" s="156"/>
      <c r="AE46" s="156"/>
      <c r="AF46" s="337" t="s">
        <v>284</v>
      </c>
      <c r="AG46" s="168"/>
      <c r="AH46" s="259" t="s">
        <v>219</v>
      </c>
      <c r="AI46" s="249" t="s">
        <v>150</v>
      </c>
      <c r="AJ46" s="283"/>
      <c r="AK46" s="351" t="s">
        <v>270</v>
      </c>
      <c r="AL46" s="38"/>
      <c r="AM46" s="352" t="s">
        <v>285</v>
      </c>
      <c r="AN46" s="23"/>
      <c r="AO46" s="353" t="s">
        <v>286</v>
      </c>
      <c r="AP46" s="336" t="s">
        <v>271</v>
      </c>
      <c r="AQ46" s="168"/>
      <c r="AR46" s="298"/>
      <c r="AS46" s="38"/>
      <c r="AT46" s="321" t="s">
        <v>254</v>
      </c>
      <c r="AU46" s="338" t="s">
        <v>273</v>
      </c>
      <c r="AV46" s="339"/>
      <c r="AW46" s="163" t="str">
        <f t="array" ref="AW46">TEXTJOIN(" | ", 1, A47:AT47)</f>
        <v>108 | 318 | 308 | 316 | 104 | 321 | 312 | ONLINE | 101 ON 16/04</v>
      </c>
      <c r="AX46" s="339"/>
      <c r="AY46" s="339"/>
      <c r="AZ46" s="339"/>
      <c r="BA46" s="339"/>
      <c r="BB46" s="339"/>
      <c r="BC46" s="339"/>
      <c r="BD46" s="339"/>
      <c r="BE46" s="339"/>
      <c r="BF46" s="339"/>
      <c r="BG46" s="339"/>
      <c r="BH46" s="339"/>
      <c r="BI46" s="339"/>
      <c r="BJ46" s="339"/>
      <c r="BK46" s="339"/>
      <c r="BL46" s="339"/>
      <c r="BM46" s="339"/>
      <c r="BN46" s="339"/>
      <c r="BO46" s="339"/>
      <c r="BP46" s="339"/>
      <c r="BQ46" s="339"/>
      <c r="BR46" s="339"/>
      <c r="BS46" s="339"/>
      <c r="BT46" s="339"/>
      <c r="BU46" s="339"/>
      <c r="BV46" s="339"/>
      <c r="BW46" s="339"/>
      <c r="BX46" s="339"/>
      <c r="BY46" s="339"/>
      <c r="BZ46" s="339"/>
      <c r="CA46" s="339"/>
      <c r="CB46" s="339"/>
      <c r="CC46" s="339"/>
      <c r="CD46" s="339"/>
      <c r="CE46" s="339"/>
      <c r="CF46" s="339"/>
      <c r="CG46" s="339"/>
      <c r="CH46" s="339"/>
    </row>
    <row r="47">
      <c r="A47" s="44"/>
      <c r="B47" s="340">
        <v>108.0</v>
      </c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7"/>
      <c r="N47" s="47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47"/>
      <c r="AA47" s="172"/>
      <c r="AB47" s="172"/>
      <c r="AC47" s="172"/>
      <c r="AD47" s="172"/>
      <c r="AE47" s="172"/>
      <c r="AF47" s="251">
        <v>318.0</v>
      </c>
      <c r="AG47" s="174"/>
      <c r="AH47" s="204">
        <v>308.0</v>
      </c>
      <c r="AI47" s="251">
        <v>316.0</v>
      </c>
      <c r="AJ47" s="291"/>
      <c r="AK47" s="342">
        <v>104.0</v>
      </c>
      <c r="AL47" s="44"/>
      <c r="AM47" s="354">
        <v>321.0</v>
      </c>
      <c r="AN47" s="47"/>
      <c r="AO47" s="224">
        <v>312.0</v>
      </c>
      <c r="AP47" s="343" t="s">
        <v>137</v>
      </c>
      <c r="AQ47" s="205"/>
      <c r="AR47" s="355"/>
      <c r="AS47" s="44"/>
      <c r="AT47" s="266" t="s">
        <v>275</v>
      </c>
      <c r="AU47" s="345" t="s">
        <v>276</v>
      </c>
      <c r="AV47" s="164" t="str">
        <f>IFERROR(__xludf.DUMMYFUNCTION("TEXTJOIN("" / "", TRUE, FILTER(TO_TEXT(SPLIT($AZ$4, "" / "")), NOT(REGEXMATCH(TO_TEXT(SPLIT($AZ$4, "" / "")), ""\b"" &amp; TEXTJOIN(""|"", TRUE, SPLIT(AW47, "" / "")) &amp; ""\b""))))"),"102 / 103 / 105 / 106 / 107 / 111 / 209 / 300 / 301 / 303 / 304 / 305 / 306 / 307 / 313 / 314 / 317 / 320 / 421 / 460 / 461")</f>
        <v>102 / 103 / 105 / 106 / 107 / 111 / 209 / 300 / 301 / 303 / 304 / 305 / 306 / 307 / 313 / 314 / 317 / 320 / 421 / 460 / 461</v>
      </c>
      <c r="AW47" s="178" t="str">
        <f>IFERROR(__xludf.DUMMYFUNCTION("TEXTJOIN("" / "", 1, SORT(UNIQUE(TRANSPOSE(SPLIT(TRIM(REGEXREPLACE(AW46,""([0-9]{3}[a-zA-Z]?)|."",""$1 "")), "" "")))))"),"101 / 104 / 108 / 308 / 312 / 316 / 318 / 321")</f>
        <v>101 / 104 / 108 / 308 / 312 / 316 / 318 / 321</v>
      </c>
      <c r="AX47" s="267"/>
      <c r="AY47" s="346"/>
      <c r="AZ47" s="346"/>
      <c r="BA47" s="346"/>
      <c r="BB47" s="346"/>
      <c r="BC47" s="346"/>
      <c r="BD47" s="346"/>
      <c r="BE47" s="346"/>
      <c r="BF47" s="346"/>
      <c r="BG47" s="346"/>
      <c r="BH47" s="346"/>
      <c r="BI47" s="346"/>
      <c r="BJ47" s="346"/>
      <c r="BK47" s="346"/>
      <c r="BL47" s="346"/>
      <c r="BM47" s="346"/>
      <c r="BN47" s="346"/>
      <c r="BO47" s="346"/>
      <c r="BP47" s="346"/>
      <c r="BQ47" s="346"/>
      <c r="BR47" s="346"/>
      <c r="BS47" s="346"/>
      <c r="BT47" s="346"/>
      <c r="BU47" s="346"/>
      <c r="BV47" s="346"/>
      <c r="BW47" s="346"/>
      <c r="BX47" s="346"/>
      <c r="BY47" s="346"/>
      <c r="BZ47" s="346"/>
      <c r="CA47" s="346"/>
      <c r="CB47" s="346"/>
      <c r="CC47" s="346"/>
      <c r="CD47" s="346"/>
      <c r="CE47" s="346"/>
      <c r="CF47" s="346"/>
      <c r="CG47" s="346"/>
      <c r="CH47" s="346"/>
    </row>
    <row r="48">
      <c r="A48" s="152" t="s">
        <v>51</v>
      </c>
      <c r="B48" s="356" t="s">
        <v>287</v>
      </c>
      <c r="C48" s="208" t="s">
        <v>157</v>
      </c>
      <c r="D48" s="356" t="s">
        <v>287</v>
      </c>
      <c r="E48" s="208" t="s">
        <v>157</v>
      </c>
      <c r="F48" s="208" t="s">
        <v>157</v>
      </c>
      <c r="G48" s="208" t="s">
        <v>157</v>
      </c>
      <c r="H48" s="356" t="s">
        <v>287</v>
      </c>
      <c r="I48" s="208" t="s">
        <v>157</v>
      </c>
      <c r="J48" s="356" t="s">
        <v>287</v>
      </c>
      <c r="K48" s="208" t="s">
        <v>157</v>
      </c>
      <c r="L48" s="356" t="s">
        <v>287</v>
      </c>
      <c r="M48" s="208" t="s">
        <v>157</v>
      </c>
      <c r="N48" s="154" t="s">
        <v>158</v>
      </c>
      <c r="O48" s="357" t="s">
        <v>288</v>
      </c>
      <c r="X48" s="23"/>
      <c r="Y48" s="156"/>
      <c r="Z48" s="154" t="s">
        <v>162</v>
      </c>
      <c r="AA48" s="328" t="s">
        <v>289</v>
      </c>
      <c r="AC48" s="23"/>
      <c r="AD48" s="63"/>
      <c r="AE48" s="63"/>
      <c r="AF48" s="254"/>
      <c r="AG48" s="247" t="s">
        <v>278</v>
      </c>
      <c r="AH48" s="247" t="s">
        <v>278</v>
      </c>
      <c r="AI48" s="182" t="s">
        <v>209</v>
      </c>
      <c r="AJ48" s="63"/>
      <c r="AK48" s="156"/>
      <c r="AL48" s="152" t="s">
        <v>51</v>
      </c>
      <c r="AM48" s="358" t="s">
        <v>290</v>
      </c>
      <c r="AN48" s="23"/>
      <c r="AO48" s="348" t="s">
        <v>291</v>
      </c>
      <c r="AP48" s="63"/>
      <c r="AQ48" s="233" t="s">
        <v>176</v>
      </c>
      <c r="AR48" s="228"/>
      <c r="AS48" s="152" t="s">
        <v>51</v>
      </c>
      <c r="AT48" s="63"/>
      <c r="AU48" s="63"/>
      <c r="AV48" s="359"/>
      <c r="AW48" s="360"/>
      <c r="AX48" s="360"/>
      <c r="AY48" s="360"/>
      <c r="AZ48" s="360"/>
      <c r="BA48" s="360"/>
      <c r="BB48" s="360"/>
      <c r="BC48" s="360"/>
      <c r="BD48" s="360"/>
      <c r="BE48" s="360"/>
      <c r="BF48" s="360"/>
      <c r="BG48" s="360"/>
      <c r="BH48" s="360"/>
      <c r="BI48" s="360"/>
      <c r="BJ48" s="360"/>
      <c r="BK48" s="360"/>
      <c r="BL48" s="360"/>
      <c r="BM48" s="360"/>
      <c r="BN48" s="360"/>
      <c r="BO48" s="360"/>
      <c r="BP48" s="360"/>
      <c r="BQ48" s="360"/>
      <c r="BR48" s="360"/>
      <c r="BS48" s="360"/>
      <c r="BT48" s="360"/>
      <c r="BU48" s="360"/>
      <c r="BV48" s="360"/>
      <c r="BW48" s="360"/>
      <c r="BX48" s="360"/>
      <c r="BY48" s="360"/>
      <c r="BZ48" s="360"/>
      <c r="CA48" s="360"/>
      <c r="CB48" s="360"/>
      <c r="CC48" s="360"/>
      <c r="CD48" s="360"/>
      <c r="CE48" s="360"/>
      <c r="CF48" s="360"/>
      <c r="CG48" s="360"/>
      <c r="CH48" s="360"/>
    </row>
    <row r="49">
      <c r="A49" s="38"/>
      <c r="B49" s="361" t="s">
        <v>215</v>
      </c>
      <c r="C49" s="213" t="s">
        <v>165</v>
      </c>
      <c r="D49" s="362" t="s">
        <v>53</v>
      </c>
      <c r="E49" s="213" t="s">
        <v>165</v>
      </c>
      <c r="F49" s="213" t="s">
        <v>165</v>
      </c>
      <c r="G49" s="213" t="s">
        <v>165</v>
      </c>
      <c r="H49" s="363" t="s">
        <v>292</v>
      </c>
      <c r="I49" s="213" t="s">
        <v>165</v>
      </c>
      <c r="J49" s="363" t="s">
        <v>202</v>
      </c>
      <c r="K49" s="213" t="s">
        <v>165</v>
      </c>
      <c r="L49" s="363" t="s">
        <v>166</v>
      </c>
      <c r="M49" s="213" t="s">
        <v>165</v>
      </c>
      <c r="N49" s="23"/>
      <c r="O49" s="364" t="s">
        <v>293</v>
      </c>
      <c r="X49" s="23"/>
      <c r="Y49" s="156"/>
      <c r="Z49" s="23"/>
      <c r="AA49" s="365" t="s">
        <v>294</v>
      </c>
      <c r="AC49" s="23"/>
      <c r="AD49" s="69"/>
      <c r="AE49" s="69"/>
      <c r="AF49" s="254"/>
      <c r="AG49" s="337" t="s">
        <v>284</v>
      </c>
      <c r="AH49" s="249" t="s">
        <v>150</v>
      </c>
      <c r="AI49" s="259" t="s">
        <v>219</v>
      </c>
      <c r="AJ49" s="69"/>
      <c r="AK49" s="156"/>
      <c r="AL49" s="38"/>
      <c r="AM49" s="366" t="s">
        <v>295</v>
      </c>
      <c r="AN49" s="23"/>
      <c r="AO49" s="367" t="s">
        <v>78</v>
      </c>
      <c r="AP49" s="69"/>
      <c r="AQ49" s="238" t="s">
        <v>296</v>
      </c>
      <c r="AR49" s="161"/>
      <c r="AS49" s="38"/>
      <c r="AT49" s="69"/>
      <c r="AU49" s="69"/>
      <c r="AV49" s="359"/>
      <c r="AW49" s="163" t="str">
        <f t="array" ref="AW49">TEXTJOIN(" | ", 1, A50:AT50)</f>
        <v>101 | 103/104/301/304/306/317/421 | 300 | 103/104/301/304/306/317/421 | 103/104/301/304/306/317/421 | 103/104/301/304/306/317/421 | 460 | 103/104/301/304/306/317/421 | 314 | 103/104/301/304/306/317/421 | 209 | 103/104/301/304/306/317/421 | 108 | 105 | 318 | 316 | 308 | 321 | 312 | ONLINE ON 30/04, STARTS AT 14:00</v>
      </c>
      <c r="AX49" s="346"/>
      <c r="AY49" s="346"/>
      <c r="AZ49" s="346"/>
      <c r="BA49" s="346"/>
      <c r="BB49" s="346"/>
      <c r="BC49" s="346"/>
      <c r="BD49" s="346"/>
      <c r="BE49" s="346"/>
      <c r="BF49" s="346"/>
      <c r="BG49" s="346"/>
      <c r="BH49" s="346"/>
      <c r="BI49" s="346"/>
      <c r="BJ49" s="346"/>
      <c r="BK49" s="346"/>
      <c r="BL49" s="346"/>
      <c r="BM49" s="346"/>
      <c r="BN49" s="346"/>
      <c r="BO49" s="346"/>
      <c r="BP49" s="346"/>
      <c r="BQ49" s="346"/>
      <c r="BR49" s="346"/>
      <c r="BS49" s="346"/>
      <c r="BT49" s="346"/>
      <c r="BU49" s="346"/>
      <c r="BV49" s="346"/>
      <c r="BW49" s="346"/>
      <c r="BX49" s="346"/>
      <c r="BY49" s="346"/>
      <c r="BZ49" s="346"/>
      <c r="CA49" s="346"/>
      <c r="CB49" s="346"/>
      <c r="CC49" s="346"/>
      <c r="CD49" s="346"/>
      <c r="CE49" s="346"/>
      <c r="CF49" s="346"/>
      <c r="CG49" s="346"/>
      <c r="CH49" s="346"/>
    </row>
    <row r="50">
      <c r="A50" s="44"/>
      <c r="B50" s="368">
        <v>101.0</v>
      </c>
      <c r="C50" s="221" t="s">
        <v>171</v>
      </c>
      <c r="D50" s="369">
        <v>300.0</v>
      </c>
      <c r="E50" s="221" t="s">
        <v>171</v>
      </c>
      <c r="F50" s="221" t="s">
        <v>171</v>
      </c>
      <c r="G50" s="221" t="s">
        <v>171</v>
      </c>
      <c r="H50" s="368">
        <v>460.0</v>
      </c>
      <c r="I50" s="221" t="s">
        <v>171</v>
      </c>
      <c r="J50" s="368">
        <v>314.0</v>
      </c>
      <c r="K50" s="221" t="s">
        <v>171</v>
      </c>
      <c r="L50" s="368">
        <v>209.0</v>
      </c>
      <c r="M50" s="221" t="s">
        <v>171</v>
      </c>
      <c r="N50" s="47"/>
      <c r="O50" s="370">
        <v>108.0</v>
      </c>
      <c r="P50" s="46"/>
      <c r="Q50" s="46"/>
      <c r="R50" s="46"/>
      <c r="S50" s="46"/>
      <c r="T50" s="46"/>
      <c r="U50" s="46"/>
      <c r="V50" s="46"/>
      <c r="W50" s="46"/>
      <c r="X50" s="47"/>
      <c r="Y50" s="172"/>
      <c r="Z50" s="47"/>
      <c r="AA50" s="371">
        <v>105.0</v>
      </c>
      <c r="AB50" s="46"/>
      <c r="AC50" s="47"/>
      <c r="AD50" s="76"/>
      <c r="AE50" s="76"/>
      <c r="AF50" s="372"/>
      <c r="AG50" s="251">
        <v>318.0</v>
      </c>
      <c r="AH50" s="251">
        <v>316.0</v>
      </c>
      <c r="AI50" s="204">
        <v>308.0</v>
      </c>
      <c r="AJ50" s="76"/>
      <c r="AK50" s="172"/>
      <c r="AL50" s="44"/>
      <c r="AM50" s="173">
        <v>321.0</v>
      </c>
      <c r="AN50" s="47"/>
      <c r="AO50" s="224">
        <v>312.0</v>
      </c>
      <c r="AP50" s="76"/>
      <c r="AQ50" s="246" t="s">
        <v>297</v>
      </c>
      <c r="AR50" s="177"/>
      <c r="AS50" s="44"/>
      <c r="AT50" s="76"/>
      <c r="AU50" s="76"/>
      <c r="AV50" s="164" t="str">
        <f>IFERROR(__xludf.DUMMYFUNCTION("TEXTJOIN("" / "", TRUE, FILTER(TO_TEXT(SPLIT($AZ$4, "" / "")), NOT(REGEXMATCH(TO_TEXT(SPLIT($AZ$4, "" / "")), ""\b"" &amp; TEXTJOIN(""|"", TRUE, SPLIT(AW50, "" / "")) &amp; ""\b""))))"),"102 / 106 / 107 / 111 / 303 / 305 / 307 / 313 / 320 / 461")</f>
        <v>102 / 106 / 107 / 111 / 303 / 305 / 307 / 313 / 320 / 461</v>
      </c>
      <c r="AW50" s="178" t="str">
        <f>IFERROR(__xludf.DUMMYFUNCTION("TEXTJOIN("" / "", 1, SORT(UNIQUE(TRANSPOSE(SPLIT(TRIM(REGEXREPLACE(AW49,""([0-9]{3}[a-zA-Z]?)|."",""$1 "")), "" "")))))"),"101 / 103 / 104 / 105 / 108 / 209 / 300 / 301 / 304 / 306 / 308 / 312 / 314 / 316 / 317 / 318 / 321 / 421 / 460")</f>
        <v>101 / 103 / 104 / 105 / 108 / 209 / 300 / 301 / 304 / 306 / 308 / 312 / 314 / 316 / 317 / 318 / 321 / 421 / 460</v>
      </c>
      <c r="AX50" s="267"/>
      <c r="AY50" s="346"/>
      <c r="AZ50" s="346"/>
      <c r="BA50" s="346"/>
      <c r="BB50" s="346"/>
      <c r="BC50" s="346"/>
      <c r="BD50" s="346"/>
      <c r="BE50" s="346"/>
      <c r="BF50" s="346"/>
      <c r="BG50" s="346"/>
      <c r="BH50" s="346"/>
      <c r="BI50" s="346"/>
      <c r="BJ50" s="346"/>
      <c r="BK50" s="346"/>
      <c r="BL50" s="346"/>
      <c r="BM50" s="346"/>
      <c r="BN50" s="346"/>
      <c r="BO50" s="346"/>
      <c r="BP50" s="346"/>
      <c r="BQ50" s="346"/>
      <c r="BR50" s="346"/>
      <c r="BS50" s="346"/>
      <c r="BT50" s="346"/>
      <c r="BU50" s="346"/>
      <c r="BV50" s="346"/>
      <c r="BW50" s="346"/>
      <c r="BX50" s="346"/>
      <c r="BY50" s="346"/>
      <c r="BZ50" s="346"/>
      <c r="CA50" s="346"/>
      <c r="CB50" s="346"/>
      <c r="CC50" s="346"/>
      <c r="CD50" s="346"/>
      <c r="CE50" s="346"/>
      <c r="CF50" s="346"/>
      <c r="CG50" s="346"/>
      <c r="CH50" s="346"/>
    </row>
    <row r="51">
      <c r="A51" s="152" t="s">
        <v>59</v>
      </c>
      <c r="B51" s="208" t="s">
        <v>157</v>
      </c>
      <c r="C51" s="208" t="s">
        <v>157</v>
      </c>
      <c r="D51" s="208" t="s">
        <v>157</v>
      </c>
      <c r="E51" s="373" t="s">
        <v>287</v>
      </c>
      <c r="F51" s="208" t="s">
        <v>157</v>
      </c>
      <c r="G51" s="356" t="s">
        <v>287</v>
      </c>
      <c r="H51" s="208" t="s">
        <v>157</v>
      </c>
      <c r="I51" s="356" t="s">
        <v>287</v>
      </c>
      <c r="J51" s="208" t="s">
        <v>157</v>
      </c>
      <c r="K51" s="356" t="s">
        <v>287</v>
      </c>
      <c r="L51" s="208" t="s">
        <v>157</v>
      </c>
      <c r="M51" s="208" t="s">
        <v>157</v>
      </c>
      <c r="N51" s="154" t="s">
        <v>172</v>
      </c>
      <c r="O51" s="357" t="s">
        <v>298</v>
      </c>
      <c r="X51" s="23"/>
      <c r="Y51" s="156"/>
      <c r="Z51" s="154" t="s">
        <v>174</v>
      </c>
      <c r="AA51" s="63"/>
      <c r="AB51" s="63"/>
      <c r="AC51" s="247" t="s">
        <v>186</v>
      </c>
      <c r="AD51" s="63"/>
      <c r="AE51" s="254"/>
      <c r="AF51" s="159"/>
      <c r="AG51" s="158"/>
      <c r="AH51" s="63"/>
      <c r="AI51" s="158"/>
      <c r="AJ51" s="63"/>
      <c r="AK51" s="156"/>
      <c r="AL51" s="152" t="s">
        <v>59</v>
      </c>
      <c r="AM51" s="358" t="s">
        <v>299</v>
      </c>
      <c r="AN51" s="23"/>
      <c r="AO51" s="374" t="s">
        <v>300</v>
      </c>
      <c r="AQ51" s="228"/>
      <c r="AR51" s="228"/>
      <c r="AS51" s="152" t="s">
        <v>59</v>
      </c>
      <c r="AT51" s="63"/>
      <c r="AU51" s="63"/>
      <c r="AV51" s="359"/>
      <c r="AW51" s="360"/>
      <c r="AX51" s="360"/>
      <c r="AY51" s="360"/>
      <c r="AZ51" s="360"/>
      <c r="BA51" s="360"/>
      <c r="BB51" s="360"/>
      <c r="BC51" s="360"/>
      <c r="BD51" s="360"/>
      <c r="BE51" s="360"/>
      <c r="BF51" s="360"/>
      <c r="BG51" s="360"/>
      <c r="BH51" s="360"/>
      <c r="BI51" s="360"/>
      <c r="BJ51" s="360"/>
      <c r="BK51" s="360"/>
      <c r="BL51" s="360"/>
      <c r="BM51" s="360"/>
      <c r="BN51" s="360"/>
      <c r="BO51" s="360"/>
      <c r="BP51" s="360"/>
      <c r="BQ51" s="360"/>
      <c r="BR51" s="360"/>
      <c r="BS51" s="360"/>
      <c r="BT51" s="360"/>
      <c r="BU51" s="360"/>
      <c r="BV51" s="360"/>
      <c r="BW51" s="360"/>
      <c r="BX51" s="360"/>
      <c r="BY51" s="360"/>
      <c r="BZ51" s="360"/>
      <c r="CA51" s="360"/>
      <c r="CB51" s="360"/>
      <c r="CC51" s="360"/>
      <c r="CD51" s="360"/>
      <c r="CE51" s="360"/>
      <c r="CF51" s="360"/>
      <c r="CG51" s="360"/>
      <c r="CH51" s="360"/>
    </row>
    <row r="52">
      <c r="A52" s="38"/>
      <c r="B52" s="213" t="s">
        <v>165</v>
      </c>
      <c r="C52" s="213" t="s">
        <v>165</v>
      </c>
      <c r="D52" s="213" t="s">
        <v>165</v>
      </c>
      <c r="E52" s="362" t="s">
        <v>53</v>
      </c>
      <c r="F52" s="213" t="s">
        <v>165</v>
      </c>
      <c r="G52" s="363" t="s">
        <v>215</v>
      </c>
      <c r="H52" s="213" t="s">
        <v>165</v>
      </c>
      <c r="I52" s="363" t="s">
        <v>202</v>
      </c>
      <c r="J52" s="213" t="s">
        <v>165</v>
      </c>
      <c r="K52" s="363" t="s">
        <v>292</v>
      </c>
      <c r="L52" s="213" t="s">
        <v>165</v>
      </c>
      <c r="M52" s="213" t="s">
        <v>165</v>
      </c>
      <c r="N52" s="23"/>
      <c r="O52" s="375" t="s">
        <v>293</v>
      </c>
      <c r="X52" s="23"/>
      <c r="Y52" s="156"/>
      <c r="Z52" s="23"/>
      <c r="AA52" s="69"/>
      <c r="AB52" s="69"/>
      <c r="AC52" s="249" t="s">
        <v>301</v>
      </c>
      <c r="AD52" s="69"/>
      <c r="AE52" s="254"/>
      <c r="AF52" s="159"/>
      <c r="AG52" s="168"/>
      <c r="AH52" s="69"/>
      <c r="AI52" s="154"/>
      <c r="AJ52" s="69"/>
      <c r="AK52" s="156"/>
      <c r="AL52" s="38"/>
      <c r="AM52" s="376" t="s">
        <v>169</v>
      </c>
      <c r="AN52" s="23"/>
      <c r="AO52" s="377" t="s">
        <v>286</v>
      </c>
      <c r="AQ52" s="161"/>
      <c r="AR52" s="161"/>
      <c r="AS52" s="38"/>
      <c r="AT52" s="69"/>
      <c r="AU52" s="69"/>
      <c r="AV52" s="359"/>
      <c r="AW52" s="163" t="str">
        <f t="array" ref="AW52">TEXTJOIN(" | ", 1, A53:AT53)</f>
        <v>103/104/301/304/306/317/421 | 103/104/301/304/306/317/421 | 103/104/301/304/306/317/421 | 300 | 103/104/301/304/306/317/421 | 101 | 103/104/301/304/306/317/421 | 314 | 103/104/301/304/306/317/421 | 460 | 103/104/301/304/306/317/421 | 103/104/301/304/306/317/421 | 108 | 312 | 321 | 303</v>
      </c>
      <c r="AX52" s="346"/>
      <c r="AY52" s="346"/>
      <c r="AZ52" s="346"/>
      <c r="BA52" s="346"/>
      <c r="BB52" s="346"/>
      <c r="BC52" s="346"/>
      <c r="BD52" s="346"/>
      <c r="BE52" s="346"/>
      <c r="BF52" s="346"/>
      <c r="BG52" s="346"/>
      <c r="BH52" s="346"/>
      <c r="BI52" s="346"/>
      <c r="BJ52" s="346"/>
      <c r="BK52" s="346"/>
      <c r="BL52" s="346"/>
      <c r="BM52" s="346"/>
      <c r="BN52" s="346"/>
      <c r="BO52" s="346"/>
      <c r="BP52" s="346"/>
      <c r="BQ52" s="346"/>
      <c r="BR52" s="346"/>
      <c r="BS52" s="346"/>
      <c r="BT52" s="346"/>
      <c r="BU52" s="346"/>
      <c r="BV52" s="346"/>
      <c r="BW52" s="346"/>
      <c r="BX52" s="346"/>
      <c r="BY52" s="346"/>
      <c r="BZ52" s="346"/>
      <c r="CA52" s="346"/>
      <c r="CB52" s="346"/>
      <c r="CC52" s="346"/>
      <c r="CD52" s="346"/>
      <c r="CE52" s="346"/>
      <c r="CF52" s="346"/>
      <c r="CG52" s="346"/>
      <c r="CH52" s="346"/>
    </row>
    <row r="53">
      <c r="A53" s="44"/>
      <c r="B53" s="221" t="s">
        <v>171</v>
      </c>
      <c r="C53" s="221" t="s">
        <v>171</v>
      </c>
      <c r="D53" s="221" t="s">
        <v>171</v>
      </c>
      <c r="E53" s="369">
        <v>300.0</v>
      </c>
      <c r="F53" s="221" t="s">
        <v>171</v>
      </c>
      <c r="G53" s="368">
        <v>101.0</v>
      </c>
      <c r="H53" s="221" t="s">
        <v>171</v>
      </c>
      <c r="I53" s="368">
        <v>314.0</v>
      </c>
      <c r="J53" s="221" t="s">
        <v>171</v>
      </c>
      <c r="K53" s="368">
        <v>460.0</v>
      </c>
      <c r="L53" s="221" t="s">
        <v>171</v>
      </c>
      <c r="M53" s="221" t="s">
        <v>171</v>
      </c>
      <c r="N53" s="47"/>
      <c r="O53" s="370">
        <v>108.0</v>
      </c>
      <c r="P53" s="46"/>
      <c r="Q53" s="46"/>
      <c r="R53" s="46"/>
      <c r="S53" s="46"/>
      <c r="T53" s="46"/>
      <c r="U53" s="46"/>
      <c r="V53" s="46"/>
      <c r="W53" s="46"/>
      <c r="X53" s="47"/>
      <c r="Y53" s="172"/>
      <c r="Z53" s="47"/>
      <c r="AA53" s="76"/>
      <c r="AB53" s="76"/>
      <c r="AC53" s="251">
        <v>312.0</v>
      </c>
      <c r="AD53" s="76"/>
      <c r="AE53" s="254"/>
      <c r="AF53" s="175"/>
      <c r="AG53" s="174"/>
      <c r="AH53" s="76"/>
      <c r="AI53" s="202"/>
      <c r="AJ53" s="76"/>
      <c r="AK53" s="172"/>
      <c r="AL53" s="44"/>
      <c r="AM53" s="173">
        <v>321.0</v>
      </c>
      <c r="AN53" s="47"/>
      <c r="AO53" s="378">
        <v>303.0</v>
      </c>
      <c r="AQ53" s="177"/>
      <c r="AR53" s="177"/>
      <c r="AS53" s="44"/>
      <c r="AT53" s="76"/>
      <c r="AU53" s="76"/>
      <c r="AV53" s="164" t="str">
        <f>IFERROR(__xludf.DUMMYFUNCTION("TEXTJOIN("" / "", TRUE, FILTER(TO_TEXT(SPLIT($AZ$4, "" / "")), NOT(REGEXMATCH(TO_TEXT(SPLIT($AZ$4, "" / "")), ""\b"" &amp; TEXTJOIN(""|"", TRUE, SPLIT(AW53, "" / "")) &amp; ""\b""))))"),"102 / 105 / 106 / 107 / 111 / 209 / 305 / 307 / 308 / 313 / 316 / 318 / 320 / 461")</f>
        <v>102 / 105 / 106 / 107 / 111 / 209 / 305 / 307 / 308 / 313 / 316 / 318 / 320 / 461</v>
      </c>
      <c r="AW53" s="178" t="str">
        <f>IFERROR(__xludf.DUMMYFUNCTION("TEXTJOIN("" / "", 1, SORT(UNIQUE(TRANSPOSE(SPLIT(TRIM(REGEXREPLACE(AW52,""([0-9]{3}[a-zA-Z]?)|."",""$1 "")), "" "")))))"),"101 / 103 / 104 / 108 / 300 / 301 / 303 / 304 / 306 / 312 / 314 / 317 / 321 / 421 / 460")</f>
        <v>101 / 103 / 104 / 108 / 300 / 301 / 303 / 304 / 306 / 312 / 314 / 317 / 321 / 421 / 460</v>
      </c>
      <c r="AX53" s="164"/>
      <c r="AY53" s="163"/>
      <c r="AZ53" s="163"/>
      <c r="BA53" s="163"/>
      <c r="BB53" s="163"/>
      <c r="BC53" s="163"/>
      <c r="BD53" s="163"/>
      <c r="BE53" s="163"/>
      <c r="BF53" s="163"/>
      <c r="BG53" s="163"/>
      <c r="BH53" s="163"/>
      <c r="BI53" s="163"/>
      <c r="BJ53" s="163"/>
      <c r="BK53" s="163"/>
      <c r="BL53" s="163"/>
      <c r="BM53" s="163"/>
      <c r="BN53" s="163"/>
      <c r="BO53" s="163"/>
      <c r="BP53" s="163"/>
      <c r="BQ53" s="163"/>
      <c r="BR53" s="163"/>
      <c r="BS53" s="163"/>
      <c r="BT53" s="163"/>
      <c r="BU53" s="163"/>
      <c r="BV53" s="163"/>
      <c r="BW53" s="163"/>
      <c r="BX53" s="163"/>
      <c r="BY53" s="163"/>
      <c r="BZ53" s="163"/>
      <c r="CA53" s="163"/>
      <c r="CB53" s="163"/>
      <c r="CC53" s="163"/>
      <c r="CD53" s="163"/>
      <c r="CE53" s="163"/>
      <c r="CF53" s="163"/>
      <c r="CG53" s="163"/>
      <c r="CH53" s="163"/>
    </row>
    <row r="54">
      <c r="A54" s="152" t="s">
        <v>64</v>
      </c>
      <c r="B54" s="208" t="s">
        <v>157</v>
      </c>
      <c r="C54" s="356" t="s">
        <v>287</v>
      </c>
      <c r="D54" s="208" t="s">
        <v>157</v>
      </c>
      <c r="E54" s="208" t="s">
        <v>157</v>
      </c>
      <c r="F54" s="356" t="s">
        <v>287</v>
      </c>
      <c r="G54" s="208" t="s">
        <v>157</v>
      </c>
      <c r="H54" s="208" t="s">
        <v>157</v>
      </c>
      <c r="I54" s="208" t="s">
        <v>157</v>
      </c>
      <c r="J54" s="208" t="s">
        <v>157</v>
      </c>
      <c r="K54" s="208" t="s">
        <v>157</v>
      </c>
      <c r="L54" s="208" t="s">
        <v>157</v>
      </c>
      <c r="M54" s="356" t="s">
        <v>287</v>
      </c>
      <c r="N54" s="154" t="s">
        <v>184</v>
      </c>
      <c r="O54" s="63"/>
      <c r="P54" s="63"/>
      <c r="Q54" s="379" t="s">
        <v>302</v>
      </c>
      <c r="R54" s="156"/>
      <c r="S54" s="156"/>
      <c r="T54" s="156"/>
      <c r="U54" s="156"/>
      <c r="V54" s="156"/>
      <c r="W54" s="156"/>
      <c r="X54" s="156"/>
      <c r="Y54" s="156"/>
      <c r="Z54" s="154" t="s">
        <v>185</v>
      </c>
      <c r="AA54" s="63"/>
      <c r="AB54" s="63"/>
      <c r="AC54" s="63"/>
      <c r="AE54" s="380" t="s">
        <v>303</v>
      </c>
      <c r="AF54" s="159"/>
      <c r="AG54" s="158"/>
      <c r="AH54" s="63"/>
      <c r="AI54" s="156"/>
      <c r="AJ54" s="248" t="s">
        <v>187</v>
      </c>
      <c r="AK54" s="156"/>
      <c r="AL54" s="152" t="s">
        <v>64</v>
      </c>
      <c r="AM54" s="230"/>
      <c r="AN54" s="156"/>
      <c r="AO54" s="381" t="s">
        <v>304</v>
      </c>
      <c r="AP54" s="382" t="s">
        <v>305</v>
      </c>
      <c r="AQ54" s="228"/>
      <c r="AR54" s="228"/>
      <c r="AS54" s="152" t="s">
        <v>64</v>
      </c>
      <c r="AT54" s="63"/>
      <c r="AU54" s="63"/>
      <c r="AV54" s="258"/>
      <c r="AW54" s="258"/>
      <c r="AX54" s="258"/>
      <c r="AY54" s="258"/>
      <c r="AZ54" s="258"/>
      <c r="BA54" s="258"/>
      <c r="BB54" s="258"/>
      <c r="BC54" s="258"/>
      <c r="BD54" s="258"/>
      <c r="BE54" s="258"/>
      <c r="BF54" s="258"/>
      <c r="BG54" s="258"/>
      <c r="BH54" s="258"/>
      <c r="BI54" s="258"/>
      <c r="BJ54" s="258"/>
      <c r="BK54" s="258"/>
      <c r="BL54" s="258"/>
      <c r="BM54" s="258"/>
      <c r="BN54" s="258"/>
      <c r="BO54" s="258"/>
      <c r="BP54" s="258"/>
      <c r="BQ54" s="258"/>
      <c r="BR54" s="258"/>
      <c r="BS54" s="258"/>
      <c r="BT54" s="258"/>
      <c r="BU54" s="258"/>
      <c r="BV54" s="258"/>
      <c r="BW54" s="258"/>
      <c r="BX54" s="258"/>
      <c r="BY54" s="258"/>
      <c r="BZ54" s="258"/>
      <c r="CA54" s="258"/>
      <c r="CB54" s="258"/>
      <c r="CC54" s="258"/>
      <c r="CD54" s="258"/>
      <c r="CE54" s="258"/>
      <c r="CF54" s="258"/>
      <c r="CG54" s="258"/>
      <c r="CH54" s="258"/>
    </row>
    <row r="55">
      <c r="A55" s="38"/>
      <c r="B55" s="213" t="s">
        <v>165</v>
      </c>
      <c r="C55" s="361" t="s">
        <v>215</v>
      </c>
      <c r="D55" s="213" t="s">
        <v>165</v>
      </c>
      <c r="E55" s="213" t="s">
        <v>165</v>
      </c>
      <c r="F55" s="363" t="s">
        <v>166</v>
      </c>
      <c r="G55" s="213" t="s">
        <v>165</v>
      </c>
      <c r="H55" s="213" t="s">
        <v>165</v>
      </c>
      <c r="I55" s="213" t="s">
        <v>165</v>
      </c>
      <c r="J55" s="213" t="s">
        <v>165</v>
      </c>
      <c r="K55" s="213" t="s">
        <v>165</v>
      </c>
      <c r="L55" s="213" t="s">
        <v>165</v>
      </c>
      <c r="M55" s="362" t="s">
        <v>53</v>
      </c>
      <c r="N55" s="23"/>
      <c r="O55" s="69"/>
      <c r="P55" s="69"/>
      <c r="Q55" s="383" t="s">
        <v>168</v>
      </c>
      <c r="R55" s="156"/>
      <c r="S55" s="156"/>
      <c r="T55" s="156"/>
      <c r="U55" s="156"/>
      <c r="V55" s="156"/>
      <c r="W55" s="156"/>
      <c r="X55" s="156"/>
      <c r="Y55" s="156"/>
      <c r="Z55" s="23"/>
      <c r="AA55" s="69"/>
      <c r="AB55" s="69"/>
      <c r="AC55" s="69"/>
      <c r="AE55" s="384" t="s">
        <v>202</v>
      </c>
      <c r="AF55" s="159"/>
      <c r="AG55" s="168"/>
      <c r="AH55" s="69"/>
      <c r="AI55" s="156"/>
      <c r="AJ55" s="250" t="s">
        <v>189</v>
      </c>
      <c r="AK55" s="156"/>
      <c r="AL55" s="38"/>
      <c r="AM55" s="230"/>
      <c r="AN55" s="156"/>
      <c r="AO55" s="385" t="s">
        <v>200</v>
      </c>
      <c r="AP55" s="386" t="s">
        <v>253</v>
      </c>
      <c r="AQ55" s="161"/>
      <c r="AR55" s="161"/>
      <c r="AS55" s="38"/>
      <c r="AT55" s="69"/>
      <c r="AU55" s="69"/>
      <c r="AV55" s="258"/>
      <c r="AW55" s="163" t="str">
        <f t="array" ref="AW55">TEXTJOIN(" | ", 1, A56:AT56)</f>
        <v>103/104/301/304/306/317/421 | 101 | 103/104/301/304/306/317/421 | 103/104/301/304/306/317/421 | 308 | 103/104/301/304/306/317/421 | 103/104/301/304/306/317/421 | 103/104/301/304/306/317/421 | 103/104/301/304/306/317/421 | 103/104/301/304/306/317/421 | 103/104/301/304/306/317/421 | 300 | 321 | 318 | ONLINE ON 07/05 | 303 | ONLINE</v>
      </c>
      <c r="AX55" s="258"/>
      <c r="AY55" s="258"/>
      <c r="AZ55" s="258"/>
      <c r="BA55" s="258"/>
      <c r="BB55" s="258"/>
      <c r="BC55" s="258"/>
      <c r="BD55" s="258"/>
      <c r="BE55" s="258"/>
      <c r="BF55" s="258"/>
      <c r="BG55" s="258"/>
      <c r="BH55" s="258"/>
      <c r="BI55" s="258"/>
      <c r="BJ55" s="258"/>
      <c r="BK55" s="258"/>
      <c r="BL55" s="258"/>
      <c r="BM55" s="258"/>
      <c r="BN55" s="258"/>
      <c r="BO55" s="258"/>
      <c r="BP55" s="258"/>
      <c r="BQ55" s="258"/>
      <c r="BR55" s="258"/>
      <c r="BS55" s="258"/>
      <c r="BT55" s="258"/>
      <c r="BU55" s="258"/>
      <c r="BV55" s="258"/>
      <c r="BW55" s="258"/>
      <c r="BX55" s="258"/>
      <c r="BY55" s="258"/>
      <c r="BZ55" s="258"/>
      <c r="CA55" s="258"/>
      <c r="CB55" s="258"/>
      <c r="CC55" s="258"/>
      <c r="CD55" s="258"/>
      <c r="CE55" s="258"/>
      <c r="CF55" s="258"/>
      <c r="CG55" s="258"/>
      <c r="CH55" s="258"/>
    </row>
    <row r="56">
      <c r="A56" s="44"/>
      <c r="B56" s="221" t="s">
        <v>171</v>
      </c>
      <c r="C56" s="368">
        <v>101.0</v>
      </c>
      <c r="D56" s="221" t="s">
        <v>171</v>
      </c>
      <c r="E56" s="221" t="s">
        <v>171</v>
      </c>
      <c r="F56" s="368">
        <v>308.0</v>
      </c>
      <c r="G56" s="221" t="s">
        <v>171</v>
      </c>
      <c r="H56" s="221" t="s">
        <v>171</v>
      </c>
      <c r="I56" s="221" t="s">
        <v>171</v>
      </c>
      <c r="J56" s="221" t="s">
        <v>171</v>
      </c>
      <c r="K56" s="221" t="s">
        <v>171</v>
      </c>
      <c r="L56" s="221" t="s">
        <v>171</v>
      </c>
      <c r="M56" s="368">
        <v>300.0</v>
      </c>
      <c r="N56" s="47"/>
      <c r="O56" s="76"/>
      <c r="P56" s="76"/>
      <c r="Q56" s="387">
        <v>321.0</v>
      </c>
      <c r="R56" s="172"/>
      <c r="S56" s="172"/>
      <c r="T56" s="172"/>
      <c r="U56" s="172"/>
      <c r="V56" s="172"/>
      <c r="W56" s="172"/>
      <c r="X56" s="172"/>
      <c r="Y56" s="172"/>
      <c r="Z56" s="47"/>
      <c r="AA56" s="76"/>
      <c r="AB56" s="76"/>
      <c r="AC56" s="76"/>
      <c r="AD56" s="388"/>
      <c r="AE56" s="389">
        <v>318.0</v>
      </c>
      <c r="AF56" s="175"/>
      <c r="AG56" s="174"/>
      <c r="AH56" s="76"/>
      <c r="AI56" s="172"/>
      <c r="AJ56" s="252" t="s">
        <v>306</v>
      </c>
      <c r="AK56" s="172"/>
      <c r="AL56" s="44"/>
      <c r="AM56" s="243"/>
      <c r="AN56" s="172"/>
      <c r="AO56" s="221">
        <v>303.0</v>
      </c>
      <c r="AP56" s="390" t="s">
        <v>137</v>
      </c>
      <c r="AQ56" s="177"/>
      <c r="AR56" s="177"/>
      <c r="AS56" s="44"/>
      <c r="AT56" s="76"/>
      <c r="AU56" s="76"/>
      <c r="AV56" s="164" t="str">
        <f>IFERROR(__xludf.DUMMYFUNCTION("TEXTJOIN("" / "", TRUE, FILTER(TO_TEXT(SPLIT($AZ$4, "" / "")), NOT(REGEXMATCH(TO_TEXT(SPLIT($AZ$4, "" / "")), ""\b"" &amp; TEXTJOIN(""|"", TRUE, SPLIT(AW56, "" / "")) &amp; ""\b""))))"),"102 / 105 / 106 / 107 / 108 / 111 / 209 / 305 / 307 / 312 / 313 / 314 / 316 / 320 / 460 / 461")</f>
        <v>102 / 105 / 106 / 107 / 108 / 111 / 209 / 305 / 307 / 312 / 313 / 314 / 316 / 320 / 460 / 461</v>
      </c>
      <c r="AW56" s="178" t="str">
        <f>IFERROR(__xludf.DUMMYFUNCTION("TEXTJOIN("" / "", 1, SORT(UNIQUE(TRANSPOSE(SPLIT(TRIM(REGEXREPLACE(AW55,""([0-9]{3}[a-zA-Z]?)|."",""$1 "")), "" "")))))"),"101 / 103 / 104 / 300 / 301 / 303 / 304 / 306 / 308 / 317 / 318 / 321 / 421")</f>
        <v>101 / 103 / 104 / 300 / 301 / 303 / 304 / 306 / 308 / 317 / 318 / 321 / 421</v>
      </c>
      <c r="AX56" s="258"/>
      <c r="AY56" s="258"/>
      <c r="AZ56" s="258"/>
      <c r="BA56" s="258"/>
      <c r="BB56" s="258"/>
      <c r="BC56" s="258"/>
      <c r="BD56" s="258"/>
      <c r="BE56" s="258"/>
      <c r="BF56" s="258"/>
      <c r="BG56" s="258"/>
      <c r="BH56" s="258"/>
      <c r="BI56" s="258"/>
      <c r="BJ56" s="258"/>
      <c r="BK56" s="258"/>
      <c r="BL56" s="258"/>
      <c r="BM56" s="258"/>
      <c r="BN56" s="258"/>
      <c r="BO56" s="258"/>
      <c r="BP56" s="258"/>
      <c r="BQ56" s="258"/>
      <c r="BR56" s="258"/>
      <c r="BS56" s="258"/>
      <c r="BT56" s="258"/>
      <c r="BU56" s="258"/>
      <c r="BV56" s="258"/>
      <c r="BW56" s="258"/>
      <c r="BX56" s="258"/>
      <c r="BY56" s="258"/>
      <c r="BZ56" s="258"/>
      <c r="CA56" s="258"/>
      <c r="CB56" s="258"/>
      <c r="CC56" s="258"/>
      <c r="CD56" s="258"/>
      <c r="CE56" s="258"/>
      <c r="CF56" s="258"/>
      <c r="CG56" s="258"/>
      <c r="CH56" s="258"/>
    </row>
    <row r="57">
      <c r="A57" s="152" t="s">
        <v>66</v>
      </c>
      <c r="B57" s="230"/>
      <c r="C57" s="230"/>
      <c r="D57" s="230"/>
      <c r="E57" s="230"/>
      <c r="F57" s="230"/>
      <c r="G57" s="230"/>
      <c r="H57" s="156"/>
      <c r="I57" s="63"/>
      <c r="J57" s="156"/>
      <c r="K57" s="158"/>
      <c r="L57" s="63"/>
      <c r="M57" s="156"/>
      <c r="N57" s="154" t="s">
        <v>191</v>
      </c>
      <c r="O57" s="156"/>
      <c r="P57" s="63"/>
      <c r="Q57" s="156"/>
      <c r="R57" s="156"/>
      <c r="S57" s="156"/>
      <c r="T57" s="156"/>
      <c r="U57" s="156"/>
      <c r="V57" s="156"/>
      <c r="W57" s="379" t="s">
        <v>302</v>
      </c>
      <c r="X57" s="156"/>
      <c r="Y57" s="156"/>
      <c r="Z57" s="154" t="s">
        <v>192</v>
      </c>
      <c r="AA57" s="156"/>
      <c r="AB57" s="156"/>
      <c r="AC57" s="156"/>
      <c r="AD57" s="391" t="s">
        <v>303</v>
      </c>
      <c r="AE57" s="156"/>
      <c r="AF57" s="156"/>
      <c r="AG57" s="156"/>
      <c r="AH57" s="156"/>
      <c r="AI57" s="156"/>
      <c r="AJ57" s="248" t="s">
        <v>193</v>
      </c>
      <c r="AK57" s="156"/>
      <c r="AL57" s="152" t="s">
        <v>66</v>
      </c>
      <c r="AM57" s="228"/>
      <c r="AN57" s="228"/>
      <c r="AO57" s="228"/>
      <c r="AP57" s="382" t="s">
        <v>307</v>
      </c>
      <c r="AQ57" s="392" t="s">
        <v>308</v>
      </c>
      <c r="AR57" s="228"/>
      <c r="AS57" s="152" t="s">
        <v>66</v>
      </c>
      <c r="AT57" s="161"/>
      <c r="AU57" s="161"/>
      <c r="AV57" s="258"/>
      <c r="AW57" s="258"/>
      <c r="AX57" s="258"/>
      <c r="AY57" s="258"/>
      <c r="AZ57" s="258"/>
      <c r="BA57" s="258"/>
      <c r="BB57" s="258"/>
      <c r="BC57" s="258"/>
      <c r="BD57" s="258"/>
      <c r="BE57" s="258"/>
      <c r="BF57" s="258"/>
      <c r="BG57" s="258"/>
      <c r="BH57" s="258"/>
      <c r="BI57" s="258"/>
      <c r="BJ57" s="258"/>
      <c r="BK57" s="258"/>
      <c r="BL57" s="258"/>
      <c r="BM57" s="258"/>
      <c r="BN57" s="258"/>
      <c r="BO57" s="258"/>
      <c r="BP57" s="258"/>
      <c r="BQ57" s="258"/>
      <c r="BR57" s="258"/>
      <c r="BS57" s="258"/>
      <c r="BT57" s="258"/>
      <c r="BU57" s="258"/>
      <c r="BV57" s="258"/>
      <c r="BW57" s="258"/>
      <c r="BX57" s="258"/>
      <c r="BY57" s="258"/>
      <c r="BZ57" s="258"/>
      <c r="CA57" s="258"/>
      <c r="CB57" s="258"/>
      <c r="CC57" s="258"/>
      <c r="CD57" s="258"/>
      <c r="CE57" s="258"/>
      <c r="CF57" s="258"/>
      <c r="CG57" s="258"/>
      <c r="CH57" s="258"/>
    </row>
    <row r="58">
      <c r="A58" s="38"/>
      <c r="B58" s="230"/>
      <c r="C58" s="230"/>
      <c r="D58" s="230"/>
      <c r="E58" s="230"/>
      <c r="F58" s="230"/>
      <c r="G58" s="230"/>
      <c r="H58" s="156"/>
      <c r="I58" s="69"/>
      <c r="J58" s="156"/>
      <c r="K58" s="393"/>
      <c r="L58" s="69"/>
      <c r="M58" s="156"/>
      <c r="N58" s="23"/>
      <c r="O58" s="156"/>
      <c r="P58" s="69"/>
      <c r="Q58" s="156"/>
      <c r="R58" s="156"/>
      <c r="S58" s="156"/>
      <c r="T58" s="156"/>
      <c r="U58" s="156"/>
      <c r="V58" s="156"/>
      <c r="W58" s="383" t="s">
        <v>168</v>
      </c>
      <c r="X58" s="156"/>
      <c r="Y58" s="156"/>
      <c r="Z58" s="23"/>
      <c r="AA58" s="156"/>
      <c r="AB58" s="156"/>
      <c r="AC58" s="359"/>
      <c r="AD58" s="394" t="s">
        <v>202</v>
      </c>
      <c r="AE58" s="156"/>
      <c r="AF58" s="156"/>
      <c r="AG58" s="156"/>
      <c r="AH58" s="156"/>
      <c r="AI58" s="156"/>
      <c r="AJ58" s="250" t="s">
        <v>189</v>
      </c>
      <c r="AK58" s="156"/>
      <c r="AL58" s="38"/>
      <c r="AM58" s="161"/>
      <c r="AN58" s="161"/>
      <c r="AO58" s="161"/>
      <c r="AP58" s="386" t="s">
        <v>309</v>
      </c>
      <c r="AQ58" s="192" t="s">
        <v>310</v>
      </c>
      <c r="AR58" s="161"/>
      <c r="AS58" s="38"/>
      <c r="AT58" s="161"/>
      <c r="AU58" s="161"/>
      <c r="AV58" s="258"/>
      <c r="AW58" s="163" t="str">
        <f t="array" ref="AW58">TEXTJOIN(" | ", 1, A59:AT59)</f>
        <v>321 | 318 | ONLINE ON 07/05 TILL 21:10 | 102 | ONLINE STARTS ON 05/03 STARTS AT 18:00</v>
      </c>
      <c r="AX58" s="258"/>
      <c r="AY58" s="258"/>
      <c r="AZ58" s="258"/>
      <c r="BA58" s="258"/>
      <c r="BB58" s="258"/>
      <c r="BC58" s="258"/>
      <c r="BD58" s="258"/>
      <c r="BE58" s="258"/>
      <c r="BF58" s="258"/>
      <c r="BG58" s="258"/>
      <c r="BH58" s="258"/>
      <c r="BI58" s="258"/>
      <c r="BJ58" s="258"/>
      <c r="BK58" s="258"/>
      <c r="BL58" s="258"/>
      <c r="BM58" s="258"/>
      <c r="BN58" s="258"/>
      <c r="BO58" s="258"/>
      <c r="BP58" s="258"/>
      <c r="BQ58" s="258"/>
      <c r="BR58" s="258"/>
      <c r="BS58" s="258"/>
      <c r="BT58" s="258"/>
      <c r="BU58" s="258"/>
      <c r="BV58" s="258"/>
      <c r="BW58" s="258"/>
      <c r="BX58" s="258"/>
      <c r="BY58" s="258"/>
      <c r="BZ58" s="258"/>
      <c r="CA58" s="258"/>
      <c r="CB58" s="258"/>
      <c r="CC58" s="258"/>
      <c r="CD58" s="258"/>
      <c r="CE58" s="258"/>
      <c r="CF58" s="258"/>
      <c r="CG58" s="258"/>
      <c r="CH58" s="258"/>
    </row>
    <row r="59">
      <c r="A59" s="44"/>
      <c r="B59" s="243"/>
      <c r="C59" s="243"/>
      <c r="D59" s="243"/>
      <c r="E59" s="243"/>
      <c r="F59" s="243"/>
      <c r="G59" s="243"/>
      <c r="H59" s="172"/>
      <c r="I59" s="76"/>
      <c r="J59" s="172"/>
      <c r="K59" s="174"/>
      <c r="L59" s="76"/>
      <c r="M59" s="172"/>
      <c r="N59" s="47"/>
      <c r="O59" s="172"/>
      <c r="P59" s="76"/>
      <c r="Q59" s="172"/>
      <c r="R59" s="172"/>
      <c r="S59" s="172"/>
      <c r="T59" s="172"/>
      <c r="U59" s="172"/>
      <c r="V59" s="172"/>
      <c r="W59" s="387">
        <v>321.0</v>
      </c>
      <c r="X59" s="172"/>
      <c r="Y59" s="172"/>
      <c r="Z59" s="47"/>
      <c r="AA59" s="172"/>
      <c r="AB59" s="172"/>
      <c r="AC59" s="172"/>
      <c r="AD59" s="389">
        <v>318.0</v>
      </c>
      <c r="AE59" s="172"/>
      <c r="AF59" s="172"/>
      <c r="AG59" s="172"/>
      <c r="AH59" s="172"/>
      <c r="AI59" s="172"/>
      <c r="AJ59" s="252" t="s">
        <v>311</v>
      </c>
      <c r="AK59" s="172"/>
      <c r="AL59" s="44"/>
      <c r="AM59" s="177"/>
      <c r="AN59" s="177"/>
      <c r="AO59" s="177"/>
      <c r="AP59" s="390">
        <v>102.0</v>
      </c>
      <c r="AQ59" s="395" t="s">
        <v>312</v>
      </c>
      <c r="AR59" s="177"/>
      <c r="AS59" s="44"/>
      <c r="AT59" s="161"/>
      <c r="AU59" s="161"/>
      <c r="AV59" s="164" t="str">
        <f>IFERROR(__xludf.DUMMYFUNCTION("TEXTJOIN("" / "", TRUE, FILTER(TO_TEXT(SPLIT($AZ$4, "" / "")), NOT(REGEXMATCH(TO_TEXT(SPLIT($AZ$4, "" / "")), ""\b"" &amp; TEXTJOIN(""|"", TRUE, SPLIT(AW59, "" / "")) &amp; ""\b""))))"),"101 / 103 / 104 / 105 / 106 / 107 / 108 / 111 / 209 / 300 / 301 / 303 / 304 / 305 / 306 / 307 / 308 / 312 / 313 / 314 / 316 / 317 / 320 / 421 / 460 / 461")</f>
        <v>101 / 103 / 104 / 105 / 106 / 107 / 108 / 111 / 209 / 300 / 301 / 303 / 304 / 305 / 306 / 307 / 308 / 312 / 313 / 314 / 316 / 317 / 320 / 421 / 460 / 461</v>
      </c>
      <c r="AW59" s="178" t="str">
        <f>IFERROR(__xludf.DUMMYFUNCTION("TEXTJOIN("" / "", 1, SORT(UNIQUE(TRANSPOSE(SPLIT(TRIM(REGEXREPLACE(AW58,""([0-9]{3}[a-zA-Z]?)|."",""$1 "")), "" "")))))"),"102 / 318 / 321")</f>
        <v>102 / 318 / 321</v>
      </c>
      <c r="AX59" s="258"/>
      <c r="AY59" s="258"/>
      <c r="AZ59" s="258"/>
      <c r="BA59" s="258"/>
      <c r="BB59" s="258"/>
      <c r="BC59" s="258"/>
      <c r="BD59" s="258"/>
      <c r="BE59" s="258"/>
      <c r="BF59" s="258"/>
      <c r="BG59" s="258"/>
      <c r="BH59" s="258"/>
      <c r="BI59" s="258"/>
      <c r="BJ59" s="258"/>
      <c r="BK59" s="258"/>
      <c r="BL59" s="258"/>
      <c r="BM59" s="258"/>
      <c r="BN59" s="258"/>
      <c r="BO59" s="258"/>
      <c r="BP59" s="258"/>
      <c r="BQ59" s="258"/>
      <c r="BR59" s="258"/>
      <c r="BS59" s="258"/>
      <c r="BT59" s="258"/>
      <c r="BU59" s="258"/>
      <c r="BV59" s="258"/>
      <c r="BW59" s="258"/>
      <c r="BX59" s="258"/>
      <c r="BY59" s="258"/>
      <c r="BZ59" s="258"/>
      <c r="CA59" s="258"/>
      <c r="CB59" s="258"/>
      <c r="CC59" s="258"/>
      <c r="CD59" s="258"/>
      <c r="CE59" s="258"/>
      <c r="CF59" s="258"/>
      <c r="CG59" s="258"/>
      <c r="CH59" s="258"/>
    </row>
    <row r="60">
      <c r="A60" s="147" t="s">
        <v>86</v>
      </c>
      <c r="B60" s="148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7"/>
      <c r="N60" s="149" t="s">
        <v>86</v>
      </c>
      <c r="O60" s="148"/>
      <c r="P60" s="46"/>
      <c r="Q60" s="46"/>
      <c r="R60" s="46"/>
      <c r="S60" s="46"/>
      <c r="T60" s="46"/>
      <c r="U60" s="46"/>
      <c r="V60" s="46"/>
      <c r="W60" s="46"/>
      <c r="X60" s="46"/>
      <c r="Y60" s="47"/>
      <c r="Z60" s="149" t="s">
        <v>86</v>
      </c>
      <c r="AA60" s="148"/>
      <c r="AB60" s="46"/>
      <c r="AC60" s="46"/>
      <c r="AD60" s="46"/>
      <c r="AE60" s="46"/>
      <c r="AF60" s="46"/>
      <c r="AG60" s="46"/>
      <c r="AH60" s="46"/>
      <c r="AI60" s="46"/>
      <c r="AJ60" s="46"/>
      <c r="AK60" s="47"/>
      <c r="AL60" s="147" t="s">
        <v>86</v>
      </c>
      <c r="AM60" s="148"/>
      <c r="AN60" s="46"/>
      <c r="AO60" s="46"/>
      <c r="AP60" s="46"/>
      <c r="AQ60" s="46"/>
      <c r="AR60" s="47"/>
      <c r="AS60" s="147" t="s">
        <v>86</v>
      </c>
      <c r="AT60" s="150"/>
      <c r="AU60" s="150"/>
      <c r="AV60" s="151"/>
      <c r="AW60" s="151"/>
      <c r="AX60" s="151"/>
      <c r="AY60" s="151"/>
      <c r="AZ60" s="151"/>
      <c r="BA60" s="151"/>
      <c r="BB60" s="151"/>
      <c r="BC60" s="151"/>
      <c r="BD60" s="151"/>
      <c r="BE60" s="151"/>
      <c r="BF60" s="151"/>
      <c r="BG60" s="151"/>
      <c r="BH60" s="151"/>
      <c r="BI60" s="151"/>
      <c r="BJ60" s="151"/>
      <c r="BK60" s="151"/>
      <c r="BL60" s="151"/>
      <c r="BM60" s="151"/>
      <c r="BN60" s="151"/>
      <c r="BO60" s="151"/>
      <c r="BP60" s="151"/>
      <c r="BQ60" s="151"/>
      <c r="BR60" s="151"/>
      <c r="BS60" s="151"/>
      <c r="BT60" s="151"/>
      <c r="BU60" s="151"/>
      <c r="BV60" s="151"/>
      <c r="BW60" s="151"/>
      <c r="BX60" s="151"/>
      <c r="BY60" s="151"/>
      <c r="BZ60" s="151"/>
      <c r="CA60" s="151"/>
      <c r="CB60" s="151"/>
      <c r="CC60" s="151"/>
      <c r="CD60" s="151"/>
      <c r="CE60" s="151"/>
      <c r="CF60" s="151"/>
      <c r="CG60" s="151"/>
      <c r="CH60" s="151"/>
    </row>
    <row r="61">
      <c r="A61" s="152" t="s">
        <v>39</v>
      </c>
      <c r="B61" s="396" t="s">
        <v>85</v>
      </c>
      <c r="M61" s="23"/>
      <c r="N61" s="154" t="s">
        <v>128</v>
      </c>
      <c r="O61" s="209" t="s">
        <v>159</v>
      </c>
      <c r="S61" s="23"/>
      <c r="T61" s="156"/>
      <c r="U61" s="156"/>
      <c r="V61" s="209" t="s">
        <v>159</v>
      </c>
      <c r="W61" s="23"/>
      <c r="X61" s="379" t="s">
        <v>302</v>
      </c>
      <c r="Y61" s="156"/>
      <c r="Z61" s="154" t="s">
        <v>130</v>
      </c>
      <c r="AA61" s="397" t="s">
        <v>85</v>
      </c>
      <c r="AK61" s="23"/>
      <c r="AL61" s="152" t="s">
        <v>39</v>
      </c>
      <c r="AM61" s="228"/>
      <c r="AN61" s="228"/>
      <c r="AO61" s="63"/>
      <c r="AP61" s="228"/>
      <c r="AQ61" s="233" t="s">
        <v>176</v>
      </c>
      <c r="AR61" s="228"/>
      <c r="AS61" s="152" t="s">
        <v>39</v>
      </c>
      <c r="AT61" s="160"/>
      <c r="AU61" s="331" t="s">
        <v>267</v>
      </c>
      <c r="AV61" s="258"/>
      <c r="AW61" s="258"/>
      <c r="AX61" s="258"/>
      <c r="AY61" s="258"/>
      <c r="AZ61" s="258"/>
      <c r="BA61" s="258"/>
      <c r="BB61" s="258"/>
      <c r="BC61" s="258"/>
      <c r="BD61" s="258"/>
      <c r="BE61" s="258"/>
      <c r="BF61" s="258"/>
      <c r="BG61" s="258"/>
      <c r="BH61" s="258"/>
      <c r="BI61" s="258"/>
      <c r="BJ61" s="258"/>
      <c r="BK61" s="258"/>
      <c r="BL61" s="258"/>
      <c r="BM61" s="258"/>
      <c r="BN61" s="258"/>
      <c r="BO61" s="258"/>
      <c r="BP61" s="258"/>
      <c r="BQ61" s="258"/>
      <c r="BR61" s="258"/>
      <c r="BS61" s="258"/>
      <c r="BT61" s="258"/>
      <c r="BU61" s="258"/>
      <c r="BV61" s="258"/>
      <c r="BW61" s="258"/>
      <c r="BX61" s="258"/>
      <c r="BY61" s="258"/>
      <c r="BZ61" s="258"/>
      <c r="CA61" s="258"/>
      <c r="CB61" s="258"/>
      <c r="CC61" s="258"/>
      <c r="CD61" s="258"/>
      <c r="CE61" s="258"/>
      <c r="CF61" s="258"/>
      <c r="CG61" s="258"/>
      <c r="CH61" s="258"/>
    </row>
    <row r="62">
      <c r="A62" s="38"/>
      <c r="M62" s="23"/>
      <c r="N62" s="23"/>
      <c r="O62" s="215" t="s">
        <v>169</v>
      </c>
      <c r="S62" s="23"/>
      <c r="T62" s="156"/>
      <c r="U62" s="156"/>
      <c r="V62" s="215" t="s">
        <v>169</v>
      </c>
      <c r="W62" s="23"/>
      <c r="X62" s="398" t="s">
        <v>152</v>
      </c>
      <c r="Y62" s="156"/>
      <c r="Z62" s="23"/>
      <c r="AK62" s="23"/>
      <c r="AL62" s="38"/>
      <c r="AM62" s="161"/>
      <c r="AN62" s="161"/>
      <c r="AO62" s="69"/>
      <c r="AP62" s="161"/>
      <c r="AQ62" s="238" t="s">
        <v>180</v>
      </c>
      <c r="AR62" s="161"/>
      <c r="AS62" s="38"/>
      <c r="AT62" s="169"/>
      <c r="AU62" s="338" t="s">
        <v>273</v>
      </c>
      <c r="AV62" s="258"/>
      <c r="AW62" s="163" t="str">
        <f t="array" ref="AW62">TEXTJOIN(" | ", 1, A63:AT63)</f>
        <v>ONLINE | ONLINE | 209 | ONLINE ON 24/04, STARTS AT 10:00</v>
      </c>
      <c r="AX62" s="258"/>
      <c r="AY62" s="258"/>
      <c r="AZ62" s="258"/>
      <c r="BA62" s="258"/>
      <c r="BB62" s="258"/>
      <c r="BC62" s="258"/>
      <c r="BD62" s="258"/>
      <c r="BE62" s="258"/>
      <c r="BF62" s="258"/>
      <c r="BG62" s="258"/>
      <c r="BH62" s="258"/>
      <c r="BI62" s="258"/>
      <c r="BJ62" s="258"/>
      <c r="BK62" s="258"/>
      <c r="BL62" s="258"/>
      <c r="BM62" s="258"/>
      <c r="BN62" s="258"/>
      <c r="BO62" s="258"/>
      <c r="BP62" s="258"/>
      <c r="BQ62" s="258"/>
      <c r="BR62" s="258"/>
      <c r="BS62" s="258"/>
      <c r="BT62" s="258"/>
      <c r="BU62" s="258"/>
      <c r="BV62" s="258"/>
      <c r="BW62" s="258"/>
      <c r="BX62" s="258"/>
      <c r="BY62" s="258"/>
      <c r="BZ62" s="258"/>
      <c r="CA62" s="258"/>
      <c r="CB62" s="258"/>
      <c r="CC62" s="258"/>
      <c r="CD62" s="258"/>
      <c r="CE62" s="258"/>
      <c r="CF62" s="258"/>
      <c r="CG62" s="258"/>
      <c r="CH62" s="258"/>
    </row>
    <row r="63">
      <c r="A63" s="44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7"/>
      <c r="N63" s="47"/>
      <c r="O63" s="223" t="s">
        <v>137</v>
      </c>
      <c r="P63" s="46"/>
      <c r="Q63" s="46"/>
      <c r="R63" s="46"/>
      <c r="S63" s="47"/>
      <c r="T63" s="172"/>
      <c r="U63" s="172"/>
      <c r="V63" s="223" t="s">
        <v>137</v>
      </c>
      <c r="W63" s="47"/>
      <c r="X63" s="399">
        <v>209.0</v>
      </c>
      <c r="Y63" s="172"/>
      <c r="Z63" s="47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7"/>
      <c r="AL63" s="44"/>
      <c r="AM63" s="177"/>
      <c r="AN63" s="177"/>
      <c r="AO63" s="76"/>
      <c r="AP63" s="177"/>
      <c r="AQ63" s="246" t="s">
        <v>313</v>
      </c>
      <c r="AR63" s="177"/>
      <c r="AS63" s="44"/>
      <c r="AT63" s="176"/>
      <c r="AU63" s="345" t="s">
        <v>314</v>
      </c>
      <c r="AV63" s="164" t="str">
        <f>IFERROR(__xludf.DUMMYFUNCTION("TEXTJOIN("" / "", TRUE, FILTER(TO_TEXT(SPLIT($AZ$4, "" / "")), NOT(REGEXMATCH(TO_TEXT(SPLIT($AZ$4, "" / "")), ""\b"" &amp; TEXTJOIN(""|"", TRUE, SPLIT(AW63, "" / "")) &amp; ""\b""))))"),"101 / 102 / 103 / 104 / 105 / 106 / 107 / 108 / 111 / 300 / 301 / 303 / 304 / 305 / 306 / 307 / 308 / 312 / 313 / 314 / 316 / 317 / 318 / 320 / 321 / 421 / 460 / 461")</f>
        <v>101 / 102 / 103 / 104 / 105 / 106 / 107 / 108 / 111 / 300 / 301 / 303 / 304 / 305 / 306 / 307 / 308 / 312 / 313 / 314 / 316 / 317 / 318 / 320 / 321 / 421 / 460 / 461</v>
      </c>
      <c r="AW63" s="178" t="str">
        <f>IFERROR(__xludf.DUMMYFUNCTION("TEXTJOIN("" / "", 1, SORT(UNIQUE(TRANSPOSE(SPLIT(TRIM(REGEXREPLACE(AW62,""([0-9]{3}[a-zA-Z]?)|."",""$1 "")), "" "")))))"),"209")</f>
        <v>209</v>
      </c>
      <c r="AX63" s="163"/>
      <c r="AY63" s="163"/>
      <c r="AZ63" s="163"/>
      <c r="BA63" s="163"/>
      <c r="BB63" s="163"/>
      <c r="BC63" s="163"/>
      <c r="BD63" s="163"/>
      <c r="BE63" s="163"/>
      <c r="BF63" s="163"/>
      <c r="BG63" s="163"/>
      <c r="BH63" s="163"/>
      <c r="BI63" s="163"/>
      <c r="BJ63" s="163"/>
      <c r="BK63" s="163"/>
      <c r="BL63" s="163"/>
      <c r="BM63" s="163"/>
      <c r="BN63" s="163"/>
      <c r="BO63" s="163"/>
      <c r="BP63" s="163"/>
      <c r="BQ63" s="163"/>
      <c r="BR63" s="163"/>
      <c r="BS63" s="163"/>
      <c r="BT63" s="163"/>
      <c r="BU63" s="163"/>
      <c r="BV63" s="163"/>
      <c r="BW63" s="163"/>
      <c r="BX63" s="163"/>
      <c r="BY63" s="163"/>
      <c r="BZ63" s="163"/>
      <c r="CA63" s="163"/>
      <c r="CB63" s="163"/>
      <c r="CC63" s="163"/>
      <c r="CD63" s="163"/>
      <c r="CE63" s="163"/>
      <c r="CF63" s="163"/>
      <c r="CG63" s="163"/>
      <c r="CH63" s="163"/>
    </row>
    <row r="64">
      <c r="A64" s="152" t="s">
        <v>49</v>
      </c>
      <c r="B64" s="179" t="s">
        <v>315</v>
      </c>
      <c r="M64" s="23"/>
      <c r="N64" s="154" t="s">
        <v>139</v>
      </c>
      <c r="O64" s="379" t="s">
        <v>302</v>
      </c>
      <c r="P64" s="156"/>
      <c r="Q64" s="256" t="s">
        <v>197</v>
      </c>
      <c r="R64" s="63"/>
      <c r="S64" s="379" t="s">
        <v>302</v>
      </c>
      <c r="T64" s="156"/>
      <c r="U64" s="156"/>
      <c r="V64" s="379" t="s">
        <v>302</v>
      </c>
      <c r="W64" s="156"/>
      <c r="X64" s="156"/>
      <c r="Y64" s="156"/>
      <c r="Z64" s="154" t="s">
        <v>145</v>
      </c>
      <c r="AA64" s="156"/>
      <c r="AB64" s="156"/>
      <c r="AC64" s="156"/>
      <c r="AD64" s="156"/>
      <c r="AE64" s="156"/>
      <c r="AF64" s="400" t="s">
        <v>316</v>
      </c>
      <c r="AG64" s="23"/>
      <c r="AH64" s="401" t="s">
        <v>317</v>
      </c>
      <c r="AI64" s="23"/>
      <c r="AJ64" s="402" t="s">
        <v>318</v>
      </c>
      <c r="AK64" s="403" t="s">
        <v>319</v>
      </c>
      <c r="AL64" s="152" t="s">
        <v>49</v>
      </c>
      <c r="AM64" s="230"/>
      <c r="AN64" s="156"/>
      <c r="AO64" s="63"/>
      <c r="AP64" s="237"/>
      <c r="AQ64" s="233" t="s">
        <v>176</v>
      </c>
      <c r="AR64" s="277" t="s">
        <v>213</v>
      </c>
      <c r="AS64" s="152" t="s">
        <v>49</v>
      </c>
      <c r="AT64" s="160"/>
      <c r="AU64" s="331" t="s">
        <v>282</v>
      </c>
      <c r="AV64" s="163"/>
      <c r="AW64" s="163"/>
      <c r="AX64" s="163"/>
      <c r="AY64" s="163"/>
      <c r="AZ64" s="163"/>
      <c r="BA64" s="163"/>
      <c r="BB64" s="163"/>
      <c r="BC64" s="163"/>
      <c r="BD64" s="163"/>
      <c r="BE64" s="163"/>
      <c r="BF64" s="163"/>
      <c r="BG64" s="163"/>
      <c r="BH64" s="163"/>
      <c r="BI64" s="163"/>
      <c r="BJ64" s="163"/>
      <c r="BK64" s="163"/>
      <c r="BL64" s="163"/>
      <c r="BM64" s="163"/>
      <c r="BN64" s="163"/>
      <c r="BO64" s="163"/>
      <c r="BP64" s="163"/>
      <c r="BQ64" s="163"/>
      <c r="BR64" s="163"/>
      <c r="BS64" s="163"/>
      <c r="BT64" s="163"/>
      <c r="BU64" s="163"/>
      <c r="BV64" s="163"/>
      <c r="BW64" s="163"/>
      <c r="BX64" s="163"/>
      <c r="BY64" s="163"/>
      <c r="BZ64" s="163"/>
      <c r="CA64" s="163"/>
      <c r="CB64" s="163"/>
      <c r="CC64" s="163"/>
      <c r="CD64" s="163"/>
      <c r="CE64" s="163"/>
      <c r="CF64" s="163"/>
      <c r="CG64" s="163"/>
      <c r="CH64" s="163"/>
    </row>
    <row r="65">
      <c r="A65" s="38"/>
      <c r="B65" s="187" t="s">
        <v>285</v>
      </c>
      <c r="M65" s="23"/>
      <c r="N65" s="23"/>
      <c r="O65" s="398" t="s">
        <v>152</v>
      </c>
      <c r="P65" s="156"/>
      <c r="Q65" s="295" t="s">
        <v>231</v>
      </c>
      <c r="R65" s="69"/>
      <c r="S65" s="404" t="s">
        <v>215</v>
      </c>
      <c r="T65" s="156"/>
      <c r="U65" s="156"/>
      <c r="V65" s="405" t="s">
        <v>53</v>
      </c>
      <c r="W65" s="156"/>
      <c r="X65" s="156"/>
      <c r="Y65" s="156"/>
      <c r="Z65" s="23"/>
      <c r="AA65" s="156"/>
      <c r="AB65" s="156"/>
      <c r="AC65" s="156"/>
      <c r="AD65" s="156"/>
      <c r="AE65" s="156"/>
      <c r="AF65" s="406" t="s">
        <v>45</v>
      </c>
      <c r="AG65" s="23"/>
      <c r="AH65" s="407" t="s">
        <v>320</v>
      </c>
      <c r="AI65" s="23"/>
      <c r="AJ65" s="263" t="s">
        <v>218</v>
      </c>
      <c r="AK65" s="408" t="s">
        <v>321</v>
      </c>
      <c r="AL65" s="38"/>
      <c r="AM65" s="230"/>
      <c r="AN65" s="156"/>
      <c r="AO65" s="69"/>
      <c r="AP65" s="237"/>
      <c r="AQ65" s="238" t="s">
        <v>180</v>
      </c>
      <c r="AR65" s="192" t="s">
        <v>79</v>
      </c>
      <c r="AS65" s="38"/>
      <c r="AT65" s="169"/>
      <c r="AU65" s="338" t="s">
        <v>273</v>
      </c>
      <c r="AV65" s="163"/>
      <c r="AW65" s="163" t="str">
        <f t="array" ref="AW65">TEXTJOIN(" | ", 1, A66:AT66)</f>
        <v>108 | 209 | 312 | 308 | 314 | 107 | ONLINE | 103 | 461 | ONLINE ON 24/04, STARTS AT 11:30 | 301</v>
      </c>
      <c r="AX65" s="163"/>
      <c r="AY65" s="163"/>
      <c r="AZ65" s="163"/>
      <c r="BA65" s="163"/>
      <c r="BB65" s="163"/>
      <c r="BC65" s="163"/>
      <c r="BD65" s="163"/>
      <c r="BE65" s="163"/>
      <c r="BF65" s="163"/>
      <c r="BG65" s="163"/>
      <c r="BH65" s="163"/>
      <c r="BI65" s="163"/>
      <c r="BJ65" s="163"/>
      <c r="BK65" s="163"/>
      <c r="BL65" s="163"/>
      <c r="BM65" s="163"/>
      <c r="BN65" s="163"/>
      <c r="BO65" s="163"/>
      <c r="BP65" s="163"/>
      <c r="BQ65" s="163"/>
      <c r="BR65" s="163"/>
      <c r="BS65" s="163"/>
      <c r="BT65" s="163"/>
      <c r="BU65" s="163"/>
      <c r="BV65" s="163"/>
      <c r="BW65" s="163"/>
      <c r="BX65" s="163"/>
      <c r="BY65" s="163"/>
      <c r="BZ65" s="163"/>
      <c r="CA65" s="163"/>
      <c r="CB65" s="163"/>
      <c r="CC65" s="163"/>
      <c r="CD65" s="163"/>
      <c r="CE65" s="163"/>
      <c r="CF65" s="163"/>
      <c r="CG65" s="163"/>
      <c r="CH65" s="163"/>
    </row>
    <row r="66">
      <c r="A66" s="44"/>
      <c r="B66" s="196">
        <v>108.0</v>
      </c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7"/>
      <c r="N66" s="47"/>
      <c r="O66" s="399">
        <v>209.0</v>
      </c>
      <c r="P66" s="172"/>
      <c r="Q66" s="302">
        <v>312.0</v>
      </c>
      <c r="R66" s="76"/>
      <c r="S66" s="399">
        <v>308.0</v>
      </c>
      <c r="T66" s="172"/>
      <c r="U66" s="172"/>
      <c r="V66" s="387">
        <v>314.0</v>
      </c>
      <c r="W66" s="172"/>
      <c r="X66" s="172"/>
      <c r="Y66" s="172"/>
      <c r="Z66" s="47"/>
      <c r="AA66" s="172"/>
      <c r="AB66" s="172"/>
      <c r="AC66" s="172"/>
      <c r="AD66" s="172"/>
      <c r="AE66" s="172"/>
      <c r="AF66" s="409">
        <v>107.0</v>
      </c>
      <c r="AG66" s="47"/>
      <c r="AH66" s="410" t="s">
        <v>137</v>
      </c>
      <c r="AI66" s="47"/>
      <c r="AJ66" s="200">
        <v>103.0</v>
      </c>
      <c r="AK66" s="411">
        <v>461.0</v>
      </c>
      <c r="AL66" s="44"/>
      <c r="AM66" s="243"/>
      <c r="AN66" s="172"/>
      <c r="AO66" s="76"/>
      <c r="AP66" s="412"/>
      <c r="AQ66" s="246" t="s">
        <v>322</v>
      </c>
      <c r="AR66" s="201">
        <v>301.0</v>
      </c>
      <c r="AS66" s="44"/>
      <c r="AT66" s="176"/>
      <c r="AU66" s="345" t="s">
        <v>314</v>
      </c>
      <c r="AV66" s="164" t="str">
        <f>IFERROR(__xludf.DUMMYFUNCTION("TEXTJOIN("" / "", TRUE, FILTER(TO_TEXT(SPLIT($AZ$4, "" / "")), NOT(REGEXMATCH(TO_TEXT(SPLIT($AZ$4, "" / "")), ""\b"" &amp; TEXTJOIN(""|"", TRUE, SPLIT(AW66, "" / "")) &amp; ""\b""))))"),"101 / 102 / 104 / 105 / 106 / 111 / 300 / 303 / 304 / 305 / 306 / 307 / 313 / 316 / 317 / 318 / 320 / 321 / 421 / 460")</f>
        <v>101 / 102 / 104 / 105 / 106 / 111 / 300 / 303 / 304 / 305 / 306 / 307 / 313 / 316 / 317 / 318 / 320 / 321 / 421 / 460</v>
      </c>
      <c r="AW66" s="178" t="str">
        <f>IFERROR(__xludf.DUMMYFUNCTION("TEXTJOIN("" / "", 1, SORT(UNIQUE(TRANSPOSE(SPLIT(TRIM(REGEXREPLACE(AW65,""([0-9]{3}[a-zA-Z]?)|."",""$1 "")), "" "")))))"),"103 / 107 / 108 / 209 / 301 / 308 / 312 / 314 / 461")</f>
        <v>103 / 107 / 108 / 209 / 301 / 308 / 312 / 314 / 461</v>
      </c>
      <c r="AX66" s="163"/>
      <c r="AY66" s="163"/>
      <c r="AZ66" s="163"/>
      <c r="BA66" s="163"/>
      <c r="BB66" s="163"/>
      <c r="BC66" s="163"/>
      <c r="BD66" s="163"/>
      <c r="BE66" s="163"/>
      <c r="BF66" s="163"/>
      <c r="BG66" s="163"/>
      <c r="BH66" s="163"/>
      <c r="BI66" s="163"/>
      <c r="BJ66" s="163"/>
      <c r="BK66" s="163"/>
      <c r="BL66" s="163"/>
      <c r="BM66" s="163"/>
      <c r="BN66" s="163"/>
      <c r="BO66" s="163"/>
      <c r="BP66" s="163"/>
      <c r="BQ66" s="163"/>
      <c r="BR66" s="163"/>
      <c r="BS66" s="163"/>
      <c r="BT66" s="163"/>
      <c r="BU66" s="163"/>
      <c r="BV66" s="163"/>
      <c r="BW66" s="163"/>
      <c r="BX66" s="163"/>
      <c r="BY66" s="163"/>
      <c r="BZ66" s="163"/>
      <c r="CA66" s="163"/>
      <c r="CB66" s="163"/>
      <c r="CC66" s="163"/>
      <c r="CD66" s="163"/>
      <c r="CE66" s="163"/>
      <c r="CF66" s="163"/>
      <c r="CG66" s="163"/>
      <c r="CH66" s="163"/>
    </row>
    <row r="67">
      <c r="A67" s="152" t="s">
        <v>51</v>
      </c>
      <c r="B67" s="179" t="s">
        <v>323</v>
      </c>
      <c r="M67" s="23"/>
      <c r="N67" s="154" t="s">
        <v>158</v>
      </c>
      <c r="P67" s="413" t="s">
        <v>302</v>
      </c>
      <c r="Q67" s="228"/>
      <c r="R67" s="379" t="s">
        <v>302</v>
      </c>
      <c r="S67" s="256" t="s">
        <v>197</v>
      </c>
      <c r="T67" s="379" t="s">
        <v>302</v>
      </c>
      <c r="U67" s="156"/>
      <c r="V67" s="156"/>
      <c r="W67" s="156"/>
      <c r="X67" s="63"/>
      <c r="Y67" s="156"/>
      <c r="Z67" s="154" t="s">
        <v>162</v>
      </c>
      <c r="AA67" s="414" t="s">
        <v>324</v>
      </c>
      <c r="AE67" s="23"/>
      <c r="AF67" s="63"/>
      <c r="AG67" s="415" t="s">
        <v>325</v>
      </c>
      <c r="AH67" s="63"/>
      <c r="AI67" s="416" t="s">
        <v>326</v>
      </c>
      <c r="AJ67" s="417" t="s">
        <v>327</v>
      </c>
      <c r="AK67" s="403" t="s">
        <v>319</v>
      </c>
      <c r="AL67" s="152" t="s">
        <v>51</v>
      </c>
      <c r="AM67" s="230"/>
      <c r="AN67" s="156"/>
      <c r="AO67" s="418" t="s">
        <v>328</v>
      </c>
      <c r="AP67" s="237"/>
      <c r="AQ67" s="419"/>
      <c r="AR67" s="277" t="s">
        <v>228</v>
      </c>
      <c r="AS67" s="152" t="s">
        <v>51</v>
      </c>
      <c r="AT67" s="254"/>
      <c r="AU67" s="254"/>
      <c r="AV67" s="163"/>
      <c r="AW67" s="163"/>
      <c r="AX67" s="163"/>
      <c r="AY67" s="163"/>
      <c r="AZ67" s="163"/>
      <c r="BA67" s="163"/>
      <c r="BB67" s="163"/>
      <c r="BC67" s="163"/>
      <c r="BD67" s="163"/>
      <c r="BE67" s="163"/>
      <c r="BF67" s="163"/>
      <c r="BG67" s="163"/>
      <c r="BH67" s="163"/>
      <c r="BI67" s="163"/>
      <c r="BJ67" s="163"/>
      <c r="BK67" s="163"/>
      <c r="BL67" s="163"/>
      <c r="BM67" s="163"/>
      <c r="BN67" s="163"/>
      <c r="BO67" s="163"/>
      <c r="BP67" s="163"/>
      <c r="BQ67" s="163"/>
      <c r="BR67" s="163"/>
      <c r="BS67" s="163"/>
      <c r="BT67" s="163"/>
      <c r="BU67" s="163"/>
      <c r="BV67" s="163"/>
      <c r="BW67" s="163"/>
      <c r="BX67" s="163"/>
      <c r="BY67" s="163"/>
      <c r="BZ67" s="163"/>
      <c r="CA67" s="163"/>
      <c r="CB67" s="163"/>
      <c r="CC67" s="163"/>
      <c r="CD67" s="163"/>
      <c r="CE67" s="163"/>
      <c r="CF67" s="163"/>
      <c r="CG67" s="163"/>
      <c r="CH67" s="163"/>
    </row>
    <row r="68">
      <c r="A68" s="38"/>
      <c r="B68" s="420" t="s">
        <v>283</v>
      </c>
      <c r="M68" s="23"/>
      <c r="N68" s="23"/>
      <c r="P68" s="421" t="s">
        <v>152</v>
      </c>
      <c r="Q68" s="161"/>
      <c r="R68" s="404" t="s">
        <v>215</v>
      </c>
      <c r="S68" s="262" t="s">
        <v>232</v>
      </c>
      <c r="T68" s="405" t="s">
        <v>53</v>
      </c>
      <c r="U68" s="156"/>
      <c r="V68" s="156"/>
      <c r="W68" s="156"/>
      <c r="X68" s="69"/>
      <c r="Y68" s="156"/>
      <c r="Z68" s="23"/>
      <c r="AA68" s="422" t="s">
        <v>329</v>
      </c>
      <c r="AE68" s="23"/>
      <c r="AF68" s="69"/>
      <c r="AG68" s="423" t="s">
        <v>200</v>
      </c>
      <c r="AH68" s="69"/>
      <c r="AI68" s="424" t="s">
        <v>166</v>
      </c>
      <c r="AJ68" s="425" t="s">
        <v>329</v>
      </c>
      <c r="AK68" s="426" t="s">
        <v>330</v>
      </c>
      <c r="AL68" s="38"/>
      <c r="AM68" s="230"/>
      <c r="AN68" s="156"/>
      <c r="AO68" s="427" t="s">
        <v>320</v>
      </c>
      <c r="AP68" s="237"/>
      <c r="AQ68" s="237"/>
      <c r="AR68" s="192" t="s">
        <v>201</v>
      </c>
      <c r="AS68" s="38"/>
      <c r="AT68" s="254"/>
      <c r="AU68" s="254"/>
      <c r="AV68" s="163"/>
      <c r="AW68" s="163" t="str">
        <f t="array" ref="AW68">TEXTJOIN(" | ", 1, A69:AT69)</f>
        <v>108 | 209 | 308 | 320 | 314 | 105 | 317 | 312 | 105 | 461 | ONLINE | 301</v>
      </c>
      <c r="AX68" s="163"/>
      <c r="AY68" s="163"/>
      <c r="AZ68" s="163"/>
      <c r="BA68" s="163"/>
      <c r="BB68" s="163"/>
      <c r="BC68" s="163"/>
      <c r="BD68" s="163"/>
      <c r="BE68" s="163"/>
      <c r="BF68" s="163"/>
      <c r="BG68" s="163"/>
      <c r="BH68" s="163"/>
      <c r="BI68" s="163"/>
      <c r="BJ68" s="163"/>
      <c r="BK68" s="163"/>
      <c r="BL68" s="163"/>
      <c r="BM68" s="163"/>
      <c r="BN68" s="163"/>
      <c r="BO68" s="163"/>
      <c r="BP68" s="163"/>
      <c r="BQ68" s="163"/>
      <c r="BR68" s="163"/>
      <c r="BS68" s="163"/>
      <c r="BT68" s="163"/>
      <c r="BU68" s="163"/>
      <c r="BV68" s="163"/>
      <c r="BW68" s="163"/>
      <c r="BX68" s="163"/>
      <c r="BY68" s="163"/>
      <c r="BZ68" s="163"/>
      <c r="CA68" s="163"/>
      <c r="CB68" s="163"/>
      <c r="CC68" s="163"/>
      <c r="CD68" s="163"/>
      <c r="CE68" s="163"/>
      <c r="CF68" s="163"/>
      <c r="CG68" s="163"/>
      <c r="CH68" s="163"/>
    </row>
    <row r="69">
      <c r="A69" s="44"/>
      <c r="B69" s="225">
        <v>108.0</v>
      </c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7"/>
      <c r="N69" s="47"/>
      <c r="P69" s="428">
        <v>209.0</v>
      </c>
      <c r="Q69" s="177"/>
      <c r="R69" s="399">
        <v>308.0</v>
      </c>
      <c r="S69" s="265">
        <v>320.0</v>
      </c>
      <c r="T69" s="387">
        <v>314.0</v>
      </c>
      <c r="U69" s="172"/>
      <c r="V69" s="172"/>
      <c r="W69" s="172"/>
      <c r="X69" s="76"/>
      <c r="Y69" s="172"/>
      <c r="Z69" s="47"/>
      <c r="AA69" s="429">
        <v>105.0</v>
      </c>
      <c r="AB69" s="46"/>
      <c r="AC69" s="46"/>
      <c r="AD69" s="46"/>
      <c r="AE69" s="47"/>
      <c r="AF69" s="76"/>
      <c r="AG69" s="430">
        <v>317.0</v>
      </c>
      <c r="AH69" s="76"/>
      <c r="AI69" s="431">
        <v>312.0</v>
      </c>
      <c r="AJ69" s="432">
        <v>105.0</v>
      </c>
      <c r="AK69" s="411">
        <v>461.0</v>
      </c>
      <c r="AL69" s="44"/>
      <c r="AM69" s="243"/>
      <c r="AN69" s="172"/>
      <c r="AO69" s="433" t="s">
        <v>137</v>
      </c>
      <c r="AP69" s="412"/>
      <c r="AQ69" s="412"/>
      <c r="AR69" s="201">
        <v>301.0</v>
      </c>
      <c r="AS69" s="44"/>
      <c r="AT69" s="254"/>
      <c r="AU69" s="254"/>
      <c r="AV69" s="164" t="str">
        <f>IFERROR(__xludf.DUMMYFUNCTION("TEXTJOIN("" / "", TRUE, FILTER(TO_TEXT(SPLIT($AZ$4, "" / "")), NOT(REGEXMATCH(TO_TEXT(SPLIT($AZ$4, "" / "")), ""\b"" &amp; TEXTJOIN(""|"", TRUE, SPLIT(AW69, "" / "")) &amp; ""\b""))))"),"101 / 102 / 103 / 104 / 106 / 107 / 111 / 300 / 303 / 304 / 305 / 306 / 307 / 313 / 316 / 318 / 321 / 421 / 460")</f>
        <v>101 / 102 / 103 / 104 / 106 / 107 / 111 / 300 / 303 / 304 / 305 / 306 / 307 / 313 / 316 / 318 / 321 / 421 / 460</v>
      </c>
      <c r="AW69" s="178" t="str">
        <f>IFERROR(__xludf.DUMMYFUNCTION("TEXTJOIN("" / "", 1, SORT(UNIQUE(TRANSPOSE(SPLIT(TRIM(REGEXREPLACE(AW68,""([0-9]{3}[a-zA-Z]?)|."",""$1 "")), "" "")))))"),"105 / 108 / 209 / 301 / 308 / 312 / 314 / 317 / 320 / 461")</f>
        <v>105 / 108 / 209 / 301 / 308 / 312 / 314 / 317 / 320 / 461</v>
      </c>
      <c r="AX69" s="163"/>
      <c r="AY69" s="163"/>
      <c r="AZ69" s="163"/>
      <c r="BA69" s="163"/>
      <c r="BB69" s="163"/>
      <c r="BC69" s="163"/>
      <c r="BD69" s="163"/>
      <c r="BE69" s="163"/>
      <c r="BF69" s="163"/>
      <c r="BG69" s="163"/>
      <c r="BH69" s="163"/>
      <c r="BI69" s="163"/>
      <c r="BJ69" s="163"/>
      <c r="BK69" s="163"/>
      <c r="BL69" s="163"/>
      <c r="BM69" s="163"/>
      <c r="BN69" s="163"/>
      <c r="BO69" s="163"/>
      <c r="BP69" s="163"/>
      <c r="BQ69" s="163"/>
      <c r="BR69" s="163"/>
      <c r="BS69" s="163"/>
      <c r="BT69" s="163"/>
      <c r="BU69" s="163"/>
      <c r="BV69" s="163"/>
      <c r="BW69" s="163"/>
      <c r="BX69" s="163"/>
      <c r="BY69" s="163"/>
      <c r="BZ69" s="163"/>
      <c r="CA69" s="163"/>
      <c r="CB69" s="163"/>
      <c r="CC69" s="163"/>
      <c r="CD69" s="163"/>
      <c r="CE69" s="163"/>
      <c r="CF69" s="163"/>
      <c r="CG69" s="163"/>
      <c r="CH69" s="163"/>
    </row>
    <row r="70">
      <c r="A70" s="152" t="s">
        <v>59</v>
      </c>
      <c r="B70" s="231" t="s">
        <v>331</v>
      </c>
      <c r="C70" s="208" t="s">
        <v>157</v>
      </c>
      <c r="D70" s="208" t="s">
        <v>157</v>
      </c>
      <c r="E70" s="231" t="s">
        <v>331</v>
      </c>
      <c r="F70" s="208" t="s">
        <v>157</v>
      </c>
      <c r="G70" s="208" t="s">
        <v>157</v>
      </c>
      <c r="H70" s="231" t="s">
        <v>331</v>
      </c>
      <c r="I70" s="208" t="s">
        <v>157</v>
      </c>
      <c r="J70" s="231" t="s">
        <v>331</v>
      </c>
      <c r="K70" s="208" t="s">
        <v>157</v>
      </c>
      <c r="L70" s="231" t="s">
        <v>331</v>
      </c>
      <c r="M70" s="208" t="s">
        <v>157</v>
      </c>
      <c r="N70" s="154" t="s">
        <v>172</v>
      </c>
      <c r="O70" s="63"/>
      <c r="P70" s="63"/>
      <c r="Q70" s="63"/>
      <c r="R70" s="156"/>
      <c r="T70" s="228"/>
      <c r="U70" s="379" t="s">
        <v>302</v>
      </c>
      <c r="V70" s="156"/>
      <c r="W70" s="156"/>
      <c r="X70" s="434" t="s">
        <v>332</v>
      </c>
      <c r="Y70" s="156"/>
      <c r="Z70" s="154" t="s">
        <v>174</v>
      </c>
      <c r="AA70" s="358" t="s">
        <v>333</v>
      </c>
      <c r="AE70" s="23"/>
      <c r="AF70" s="415" t="s">
        <v>325</v>
      </c>
      <c r="AG70" s="63"/>
      <c r="AH70" s="416" t="s">
        <v>326</v>
      </c>
      <c r="AI70" s="63"/>
      <c r="AJ70" s="402" t="s">
        <v>334</v>
      </c>
      <c r="AK70" s="435" t="s">
        <v>335</v>
      </c>
      <c r="AL70" s="152" t="s">
        <v>59</v>
      </c>
      <c r="AM70" s="230"/>
      <c r="AN70" s="156"/>
      <c r="AO70" s="436" t="s">
        <v>336</v>
      </c>
      <c r="AP70" s="237"/>
      <c r="AQ70" s="419"/>
      <c r="AR70" s="437" t="s">
        <v>337</v>
      </c>
      <c r="AS70" s="152" t="s">
        <v>59</v>
      </c>
      <c r="AT70" s="63"/>
      <c r="AU70" s="63"/>
      <c r="AV70" s="163"/>
      <c r="AW70" s="163"/>
      <c r="AX70" s="163"/>
      <c r="AY70" s="163"/>
      <c r="AZ70" s="163"/>
      <c r="BA70" s="163"/>
      <c r="BB70" s="163"/>
      <c r="BC70" s="163"/>
      <c r="BD70" s="163"/>
      <c r="BE70" s="163"/>
      <c r="BF70" s="163"/>
      <c r="BG70" s="163"/>
      <c r="BH70" s="163"/>
      <c r="BI70" s="163"/>
      <c r="BJ70" s="163"/>
      <c r="BK70" s="163"/>
      <c r="BL70" s="163"/>
      <c r="BM70" s="163"/>
      <c r="BN70" s="163"/>
      <c r="BO70" s="163"/>
      <c r="BP70" s="163"/>
      <c r="BQ70" s="163"/>
      <c r="BR70" s="163"/>
      <c r="BS70" s="163"/>
      <c r="BT70" s="163"/>
      <c r="BU70" s="163"/>
      <c r="BV70" s="163"/>
      <c r="BW70" s="163"/>
      <c r="BX70" s="163"/>
      <c r="BY70" s="163"/>
      <c r="BZ70" s="163"/>
      <c r="CA70" s="163"/>
      <c r="CB70" s="163"/>
      <c r="CC70" s="163"/>
      <c r="CD70" s="163"/>
      <c r="CE70" s="163"/>
      <c r="CF70" s="163"/>
      <c r="CG70" s="163"/>
      <c r="CH70" s="163"/>
    </row>
    <row r="71">
      <c r="A71" s="38"/>
      <c r="B71" s="235" t="s">
        <v>283</v>
      </c>
      <c r="C71" s="213" t="s">
        <v>165</v>
      </c>
      <c r="D71" s="213" t="s">
        <v>165</v>
      </c>
      <c r="E71" s="236" t="s">
        <v>229</v>
      </c>
      <c r="F71" s="213" t="s">
        <v>165</v>
      </c>
      <c r="G71" s="213" t="s">
        <v>165</v>
      </c>
      <c r="H71" s="236" t="s">
        <v>54</v>
      </c>
      <c r="I71" s="213" t="s">
        <v>165</v>
      </c>
      <c r="J71" s="279" t="s">
        <v>338</v>
      </c>
      <c r="K71" s="213" t="s">
        <v>165</v>
      </c>
      <c r="L71" s="236" t="s">
        <v>232</v>
      </c>
      <c r="M71" s="213" t="s">
        <v>165</v>
      </c>
      <c r="N71" s="23"/>
      <c r="O71" s="69"/>
      <c r="P71" s="69"/>
      <c r="Q71" s="69"/>
      <c r="R71" s="156"/>
      <c r="T71" s="161"/>
      <c r="U71" s="405" t="s">
        <v>53</v>
      </c>
      <c r="V71" s="156"/>
      <c r="W71" s="156"/>
      <c r="X71" s="438" t="s">
        <v>339</v>
      </c>
      <c r="Y71" s="156"/>
      <c r="Z71" s="23"/>
      <c r="AA71" s="439" t="s">
        <v>340</v>
      </c>
      <c r="AE71" s="23"/>
      <c r="AF71" s="423" t="s">
        <v>200</v>
      </c>
      <c r="AG71" s="69"/>
      <c r="AH71" s="424" t="s">
        <v>166</v>
      </c>
      <c r="AI71" s="69"/>
      <c r="AJ71" s="285" t="s">
        <v>215</v>
      </c>
      <c r="AK71" s="320" t="s">
        <v>341</v>
      </c>
      <c r="AL71" s="38"/>
      <c r="AM71" s="230"/>
      <c r="AN71" s="156"/>
      <c r="AO71" s="440" t="s">
        <v>219</v>
      </c>
      <c r="AP71" s="237"/>
      <c r="AQ71" s="237"/>
      <c r="AR71" s="441" t="s">
        <v>342</v>
      </c>
      <c r="AS71" s="38"/>
      <c r="AT71" s="69"/>
      <c r="AU71" s="69"/>
      <c r="AV71" s="163"/>
      <c r="AW71" s="163" t="str">
        <f t="array" ref="AW71">TEXTJOIN(" | ", 1, A72:AT72)</f>
        <v>303 | 103/104/301/304/306/421/460 | 103/104/301/304/306/421/460 | 320 | 103/104/301/304/306/421/460 | 103/104/301/304/306/421/460 | 101 | 103/104/301/304/306/421/460 | 318 | 103/104/301/304/306/421/460 | 300 | 103/104/301/304/306/421/460 | 314 | 102 ON 10/04 (ONLINE ON 27/03, 03/04, 17/04, 24/04, 01/05) | 108 | 317 | 312 | 209 | 461 | 321 | ONLINE ON 03/04 STARTS AT 15:30</v>
      </c>
      <c r="AX71" s="163"/>
      <c r="AY71" s="163"/>
      <c r="AZ71" s="163"/>
      <c r="BA71" s="163"/>
      <c r="BB71" s="163"/>
      <c r="BC71" s="163"/>
      <c r="BD71" s="163"/>
      <c r="BE71" s="163"/>
      <c r="BF71" s="163"/>
      <c r="BG71" s="163"/>
      <c r="BH71" s="163"/>
      <c r="BI71" s="163"/>
      <c r="BJ71" s="163"/>
      <c r="BK71" s="163"/>
      <c r="BL71" s="163"/>
      <c r="BM71" s="163"/>
      <c r="BN71" s="163"/>
      <c r="BO71" s="163"/>
      <c r="BP71" s="163"/>
      <c r="BQ71" s="163"/>
      <c r="BR71" s="163"/>
      <c r="BS71" s="163"/>
      <c r="BT71" s="163"/>
      <c r="BU71" s="163"/>
      <c r="BV71" s="163"/>
      <c r="BW71" s="163"/>
      <c r="BX71" s="163"/>
      <c r="BY71" s="163"/>
      <c r="BZ71" s="163"/>
      <c r="CA71" s="163"/>
      <c r="CB71" s="163"/>
      <c r="CC71" s="163"/>
      <c r="CD71" s="163"/>
      <c r="CE71" s="163"/>
      <c r="CF71" s="163"/>
      <c r="CG71" s="163"/>
      <c r="CH71" s="163"/>
    </row>
    <row r="72">
      <c r="A72" s="44"/>
      <c r="B72" s="244">
        <v>303.0</v>
      </c>
      <c r="C72" s="221" t="s">
        <v>343</v>
      </c>
      <c r="D72" s="221" t="s">
        <v>343</v>
      </c>
      <c r="E72" s="244">
        <v>320.0</v>
      </c>
      <c r="F72" s="221" t="s">
        <v>343</v>
      </c>
      <c r="G72" s="221" t="s">
        <v>343</v>
      </c>
      <c r="H72" s="442">
        <v>101.0</v>
      </c>
      <c r="I72" s="221" t="s">
        <v>343</v>
      </c>
      <c r="J72" s="244">
        <v>318.0</v>
      </c>
      <c r="K72" s="221" t="s">
        <v>343</v>
      </c>
      <c r="L72" s="244">
        <v>300.0</v>
      </c>
      <c r="M72" s="221" t="s">
        <v>343</v>
      </c>
      <c r="N72" s="47"/>
      <c r="O72" s="76"/>
      <c r="P72" s="76"/>
      <c r="Q72" s="76"/>
      <c r="R72" s="241"/>
      <c r="T72" s="177"/>
      <c r="U72" s="387">
        <v>314.0</v>
      </c>
      <c r="V72" s="172"/>
      <c r="W72" s="172"/>
      <c r="X72" s="443" t="s">
        <v>344</v>
      </c>
      <c r="Y72" s="172"/>
      <c r="Z72" s="47"/>
      <c r="AA72" s="444">
        <v>108.0</v>
      </c>
      <c r="AB72" s="46"/>
      <c r="AC72" s="46"/>
      <c r="AD72" s="46"/>
      <c r="AE72" s="47"/>
      <c r="AF72" s="430">
        <v>317.0</v>
      </c>
      <c r="AG72" s="76"/>
      <c r="AH72" s="431">
        <v>312.0</v>
      </c>
      <c r="AI72" s="76"/>
      <c r="AJ72" s="200">
        <v>209.0</v>
      </c>
      <c r="AK72" s="445">
        <v>461.0</v>
      </c>
      <c r="AL72" s="44"/>
      <c r="AM72" s="243"/>
      <c r="AN72" s="172"/>
      <c r="AO72" s="446">
        <v>321.0</v>
      </c>
      <c r="AP72" s="412"/>
      <c r="AQ72" s="412"/>
      <c r="AR72" s="447" t="s">
        <v>345</v>
      </c>
      <c r="AS72" s="44"/>
      <c r="AT72" s="76"/>
      <c r="AU72" s="76"/>
      <c r="AV72" s="164" t="str">
        <f>IFERROR(__xludf.DUMMYFUNCTION("TEXTJOIN("" / "", TRUE, FILTER(TO_TEXT(SPLIT($AZ$4, "" / "")), NOT(REGEXMATCH(TO_TEXT(SPLIT($AZ$4, "" / "")), ""\b"" &amp; TEXTJOIN(""|"", TRUE, SPLIT(AW72, "" / "")) &amp; ""\b""))))"),"105 / 106 / 107 / 111 / 305 / 307 / 308 / 313 / 316")</f>
        <v>105 / 106 / 107 / 111 / 305 / 307 / 308 / 313 / 316</v>
      </c>
      <c r="AW72" s="178" t="str">
        <f>IFERROR(__xludf.DUMMYFUNCTION("TEXTJOIN("" / "", 1, SORT(UNIQUE(TRANSPOSE(SPLIT(TRIM(REGEXREPLACE(AW71,""([0-9]{3}[a-zA-Z]?)|."",""$1 "")), "" "")))))"),"101 / 102 / 103 / 104 / 108 / 209 / 300 / 301 / 303 / 304 / 306 / 312 / 314 / 317 / 318 / 320 / 321 / 421 / 460 / 461")</f>
        <v>101 / 102 / 103 / 104 / 108 / 209 / 300 / 301 / 303 / 304 / 306 / 312 / 314 / 317 / 318 / 320 / 321 / 421 / 460 / 461</v>
      </c>
      <c r="AX72" s="163"/>
      <c r="AY72" s="163"/>
      <c r="AZ72" s="163"/>
      <c r="BA72" s="163"/>
      <c r="BB72" s="163"/>
      <c r="BC72" s="163"/>
      <c r="BD72" s="163"/>
      <c r="BE72" s="163"/>
      <c r="BF72" s="163"/>
      <c r="BG72" s="163"/>
      <c r="BH72" s="163"/>
      <c r="BI72" s="163"/>
      <c r="BJ72" s="163"/>
      <c r="BK72" s="163"/>
      <c r="BL72" s="163"/>
      <c r="BM72" s="163"/>
      <c r="BN72" s="163"/>
      <c r="BO72" s="163"/>
      <c r="BP72" s="163"/>
      <c r="BQ72" s="163"/>
      <c r="BR72" s="163"/>
      <c r="BS72" s="163"/>
      <c r="BT72" s="163"/>
      <c r="BU72" s="163"/>
      <c r="BV72" s="163"/>
      <c r="BW72" s="163"/>
      <c r="BX72" s="163"/>
      <c r="BY72" s="163"/>
      <c r="BZ72" s="163"/>
      <c r="CA72" s="163"/>
      <c r="CB72" s="163"/>
      <c r="CC72" s="163"/>
      <c r="CD72" s="163"/>
      <c r="CE72" s="163"/>
      <c r="CF72" s="163"/>
      <c r="CG72" s="163"/>
      <c r="CH72" s="163"/>
    </row>
    <row r="73">
      <c r="A73" s="152" t="s">
        <v>64</v>
      </c>
      <c r="B73" s="208" t="s">
        <v>157</v>
      </c>
      <c r="C73" s="231" t="s">
        <v>331</v>
      </c>
      <c r="D73" s="208" t="s">
        <v>157</v>
      </c>
      <c r="E73" s="208" t="s">
        <v>157</v>
      </c>
      <c r="F73" s="231" t="s">
        <v>331</v>
      </c>
      <c r="G73" s="208" t="s">
        <v>157</v>
      </c>
      <c r="H73" s="208" t="s">
        <v>157</v>
      </c>
      <c r="I73" s="231" t="s">
        <v>331</v>
      </c>
      <c r="J73" s="208" t="s">
        <v>157</v>
      </c>
      <c r="K73" s="231" t="s">
        <v>331</v>
      </c>
      <c r="L73" s="208" t="s">
        <v>157</v>
      </c>
      <c r="M73" s="231" t="s">
        <v>331</v>
      </c>
      <c r="N73" s="154" t="s">
        <v>184</v>
      </c>
      <c r="O73" s="63"/>
      <c r="P73" s="63"/>
      <c r="Q73" s="156"/>
      <c r="R73" s="156"/>
      <c r="S73" s="63"/>
      <c r="T73" s="156"/>
      <c r="U73" s="158"/>
      <c r="V73" s="63"/>
      <c r="W73" s="156"/>
      <c r="X73" s="434" t="s">
        <v>332</v>
      </c>
      <c r="Y73" s="156"/>
      <c r="Z73" s="154" t="s">
        <v>185</v>
      </c>
      <c r="AA73" s="358" t="s">
        <v>346</v>
      </c>
      <c r="AE73" s="23"/>
      <c r="AF73" s="159"/>
      <c r="AG73" s="448"/>
      <c r="AH73" s="305"/>
      <c r="AI73" s="305"/>
      <c r="AJ73" s="449"/>
      <c r="AK73" s="435" t="s">
        <v>347</v>
      </c>
      <c r="AL73" s="152" t="s">
        <v>64</v>
      </c>
      <c r="AM73" s="228"/>
      <c r="AN73" s="228"/>
      <c r="AO73" s="231" t="s">
        <v>264</v>
      </c>
      <c r="AP73" s="237"/>
      <c r="AQ73" s="228"/>
      <c r="AR73" s="63"/>
      <c r="AS73" s="152" t="s">
        <v>64</v>
      </c>
      <c r="AT73" s="319"/>
      <c r="AU73" s="319"/>
      <c r="AV73" s="258"/>
      <c r="AW73" s="258"/>
      <c r="AX73" s="258"/>
      <c r="AY73" s="258"/>
      <c r="AZ73" s="258"/>
      <c r="BA73" s="258"/>
      <c r="BB73" s="258"/>
      <c r="BC73" s="258"/>
      <c r="BD73" s="258"/>
      <c r="BE73" s="258"/>
      <c r="BF73" s="258"/>
      <c r="BG73" s="258"/>
      <c r="BH73" s="258"/>
      <c r="BI73" s="258"/>
      <c r="BJ73" s="258"/>
      <c r="BK73" s="258"/>
      <c r="BL73" s="258"/>
      <c r="BM73" s="258"/>
      <c r="BN73" s="258"/>
      <c r="BO73" s="258"/>
      <c r="BP73" s="258"/>
      <c r="BQ73" s="258"/>
      <c r="BR73" s="258"/>
      <c r="BS73" s="258"/>
      <c r="BT73" s="258"/>
      <c r="BU73" s="258"/>
      <c r="BV73" s="258"/>
      <c r="BW73" s="258"/>
      <c r="BX73" s="258"/>
      <c r="BY73" s="258"/>
      <c r="BZ73" s="258"/>
      <c r="CA73" s="258"/>
      <c r="CB73" s="258"/>
      <c r="CC73" s="258"/>
      <c r="CD73" s="258"/>
      <c r="CE73" s="258"/>
      <c r="CF73" s="258"/>
      <c r="CG73" s="258"/>
      <c r="CH73" s="258"/>
    </row>
    <row r="74">
      <c r="A74" s="38"/>
      <c r="B74" s="213" t="s">
        <v>165</v>
      </c>
      <c r="C74" s="235" t="s">
        <v>283</v>
      </c>
      <c r="D74" s="213" t="s">
        <v>165</v>
      </c>
      <c r="E74" s="213" t="s">
        <v>165</v>
      </c>
      <c r="F74" s="235" t="s">
        <v>179</v>
      </c>
      <c r="G74" s="213" t="s">
        <v>165</v>
      </c>
      <c r="H74" s="213" t="s">
        <v>165</v>
      </c>
      <c r="I74" s="236" t="s">
        <v>338</v>
      </c>
      <c r="J74" s="213" t="s">
        <v>165</v>
      </c>
      <c r="K74" s="279" t="s">
        <v>54</v>
      </c>
      <c r="L74" s="213" t="s">
        <v>165</v>
      </c>
      <c r="M74" s="236" t="s">
        <v>232</v>
      </c>
      <c r="N74" s="23"/>
      <c r="O74" s="69"/>
      <c r="P74" s="69"/>
      <c r="Q74" s="156"/>
      <c r="R74" s="156"/>
      <c r="S74" s="69"/>
      <c r="T74" s="156"/>
      <c r="U74" s="237"/>
      <c r="V74" s="69"/>
      <c r="W74" s="156"/>
      <c r="X74" s="438" t="s">
        <v>339</v>
      </c>
      <c r="Y74" s="156"/>
      <c r="Z74" s="23"/>
      <c r="AA74" s="439" t="s">
        <v>340</v>
      </c>
      <c r="AE74" s="23"/>
      <c r="AF74" s="159"/>
      <c r="AG74" s="168"/>
      <c r="AH74" s="156"/>
      <c r="AI74" s="156"/>
      <c r="AJ74" s="237"/>
      <c r="AK74" s="450" t="s">
        <v>348</v>
      </c>
      <c r="AL74" s="38"/>
      <c r="AM74" s="161"/>
      <c r="AN74" s="161"/>
      <c r="AO74" s="451" t="s">
        <v>349</v>
      </c>
      <c r="AP74" s="237"/>
      <c r="AQ74" s="161"/>
      <c r="AR74" s="69"/>
      <c r="AS74" s="38"/>
      <c r="AT74" s="152"/>
      <c r="AU74" s="152"/>
      <c r="AV74" s="258"/>
      <c r="AW74" s="163" t="str">
        <f t="array" ref="AW74">TEXTJOIN(" | ", 1, A75:AT75)</f>
        <v>103/104/301/304/306/421/460 | 303 | 103/104/301/304/306/421/460 | 103/104/301/304/306/421/460 | 321 | 103/104/301/304/306/421/460 | 103/104/301/304/306/421/460 | 318 | 103/104/301/304/306/421/460 | 101 | 103/104/301/304/306/421/460 | 300 | 102 ON 10/04 (ONLINE ON 27/03, 03/04, 17/04, 24/04, 01/05) | 108 | 461 | ONLINE</v>
      </c>
      <c r="AX74" s="258"/>
      <c r="AY74" s="258"/>
      <c r="AZ74" s="258"/>
      <c r="BA74" s="258"/>
      <c r="BB74" s="258"/>
      <c r="BC74" s="258"/>
      <c r="BD74" s="258"/>
      <c r="BE74" s="258"/>
      <c r="BF74" s="258"/>
      <c r="BG74" s="258"/>
      <c r="BH74" s="258"/>
      <c r="BI74" s="258"/>
      <c r="BJ74" s="258"/>
      <c r="BK74" s="258"/>
      <c r="BL74" s="258"/>
      <c r="BM74" s="258"/>
      <c r="BN74" s="258"/>
      <c r="BO74" s="258"/>
      <c r="BP74" s="258"/>
      <c r="BQ74" s="258"/>
      <c r="BR74" s="258"/>
      <c r="BS74" s="258"/>
      <c r="BT74" s="258"/>
      <c r="BU74" s="258"/>
      <c r="BV74" s="258"/>
      <c r="BW74" s="258"/>
      <c r="BX74" s="258"/>
      <c r="BY74" s="258"/>
      <c r="BZ74" s="258"/>
      <c r="CA74" s="258"/>
      <c r="CB74" s="258"/>
      <c r="CC74" s="258"/>
      <c r="CD74" s="258"/>
      <c r="CE74" s="258"/>
      <c r="CF74" s="258"/>
      <c r="CG74" s="258"/>
      <c r="CH74" s="258"/>
    </row>
    <row r="75">
      <c r="A75" s="44"/>
      <c r="B75" s="221" t="s">
        <v>343</v>
      </c>
      <c r="C75" s="244">
        <v>303.0</v>
      </c>
      <c r="D75" s="221" t="s">
        <v>343</v>
      </c>
      <c r="E75" s="221" t="s">
        <v>343</v>
      </c>
      <c r="F75" s="442">
        <v>321.0</v>
      </c>
      <c r="G75" s="221" t="s">
        <v>343</v>
      </c>
      <c r="H75" s="221" t="s">
        <v>343</v>
      </c>
      <c r="I75" s="244">
        <v>318.0</v>
      </c>
      <c r="J75" s="221" t="s">
        <v>343</v>
      </c>
      <c r="K75" s="442">
        <v>101.0</v>
      </c>
      <c r="L75" s="221" t="s">
        <v>343</v>
      </c>
      <c r="M75" s="244">
        <v>300.0</v>
      </c>
      <c r="N75" s="47"/>
      <c r="O75" s="76"/>
      <c r="P75" s="76"/>
      <c r="Q75" s="172"/>
      <c r="R75" s="172"/>
      <c r="S75" s="76"/>
      <c r="T75" s="172"/>
      <c r="U75" s="202"/>
      <c r="V75" s="76"/>
      <c r="W75" s="172"/>
      <c r="X75" s="443" t="s">
        <v>344</v>
      </c>
      <c r="Y75" s="172"/>
      <c r="Z75" s="47"/>
      <c r="AA75" s="444">
        <v>108.0</v>
      </c>
      <c r="AB75" s="46"/>
      <c r="AC75" s="46"/>
      <c r="AD75" s="46"/>
      <c r="AE75" s="47"/>
      <c r="AF75" s="175"/>
      <c r="AG75" s="174"/>
      <c r="AH75" s="172"/>
      <c r="AI75" s="172"/>
      <c r="AJ75" s="202"/>
      <c r="AK75" s="445">
        <v>461.0</v>
      </c>
      <c r="AL75" s="44"/>
      <c r="AM75" s="177"/>
      <c r="AN75" s="177"/>
      <c r="AO75" s="452" t="s">
        <v>137</v>
      </c>
      <c r="AP75" s="412"/>
      <c r="AQ75" s="177"/>
      <c r="AR75" s="76"/>
      <c r="AS75" s="44"/>
      <c r="AT75" s="323"/>
      <c r="AU75" s="323"/>
      <c r="AV75" s="164" t="str">
        <f>IFERROR(__xludf.DUMMYFUNCTION("TEXTJOIN("" / "", TRUE, FILTER(TO_TEXT(SPLIT($AZ$4, "" / "")), NOT(REGEXMATCH(TO_TEXT(SPLIT($AZ$4, "" / "")), ""\b"" &amp; TEXTJOIN(""|"", TRUE, SPLIT(AW75, "" / "")) &amp; ""\b""))))"),"105 / 106 / 107 / 111 / 209 / 305 / 307 / 308 / 312 / 313 / 314 / 316 / 317 / 320")</f>
        <v>105 / 106 / 107 / 111 / 209 / 305 / 307 / 308 / 312 / 313 / 314 / 316 / 317 / 320</v>
      </c>
      <c r="AW75" s="178" t="str">
        <f>IFERROR(__xludf.DUMMYFUNCTION("TEXTJOIN("" / "", 1, SORT(UNIQUE(TRANSPOSE(SPLIT(TRIM(REGEXREPLACE(AW74,""([0-9]{3}[a-zA-Z]?)|."",""$1 "")), "" "")))))"),"101 / 102 / 103 / 104 / 108 / 300 / 301 / 303 / 304 / 306 / 318 / 321 / 421 / 460 / 461")</f>
        <v>101 / 102 / 103 / 104 / 108 / 300 / 301 / 303 / 304 / 306 / 318 / 321 / 421 / 460 / 461</v>
      </c>
      <c r="AX75" s="163"/>
      <c r="AY75" s="163"/>
      <c r="AZ75" s="163"/>
      <c r="BA75" s="163"/>
      <c r="BB75" s="163"/>
      <c r="BC75" s="163"/>
      <c r="BD75" s="163"/>
      <c r="BE75" s="163"/>
      <c r="BF75" s="163"/>
      <c r="BG75" s="163"/>
      <c r="BH75" s="163"/>
      <c r="BI75" s="163"/>
      <c r="BJ75" s="163"/>
      <c r="BK75" s="163"/>
      <c r="BL75" s="163"/>
      <c r="BM75" s="163"/>
      <c r="BN75" s="163"/>
      <c r="BO75" s="163"/>
      <c r="BP75" s="163"/>
      <c r="BQ75" s="163"/>
      <c r="BR75" s="163"/>
      <c r="BS75" s="163"/>
      <c r="BT75" s="163"/>
      <c r="BU75" s="163"/>
      <c r="BV75" s="163"/>
      <c r="BW75" s="163"/>
      <c r="BX75" s="163"/>
      <c r="BY75" s="163"/>
      <c r="BZ75" s="163"/>
      <c r="CA75" s="163"/>
      <c r="CB75" s="163"/>
      <c r="CC75" s="163"/>
      <c r="CD75" s="163"/>
      <c r="CE75" s="163"/>
      <c r="CF75" s="163"/>
      <c r="CG75" s="163"/>
      <c r="CH75" s="163"/>
    </row>
    <row r="76">
      <c r="A76" s="152" t="s">
        <v>66</v>
      </c>
      <c r="B76" s="156"/>
      <c r="C76" s="156"/>
      <c r="D76" s="231" t="s">
        <v>331</v>
      </c>
      <c r="E76" s="63"/>
      <c r="F76" s="156"/>
      <c r="G76" s="231" t="s">
        <v>331</v>
      </c>
      <c r="H76" s="156"/>
      <c r="I76" s="63"/>
      <c r="J76" s="63"/>
      <c r="K76" s="156"/>
      <c r="L76" s="156"/>
      <c r="M76" s="156"/>
      <c r="N76" s="154" t="s">
        <v>191</v>
      </c>
      <c r="O76" s="156"/>
      <c r="P76" s="156"/>
      <c r="Q76" s="156"/>
      <c r="R76" s="156"/>
      <c r="S76" s="156"/>
      <c r="T76" s="156"/>
      <c r="U76" s="156"/>
      <c r="V76" s="156"/>
      <c r="W76" s="156"/>
      <c r="X76" s="158"/>
      <c r="Y76" s="156"/>
      <c r="Z76" s="154" t="s">
        <v>192</v>
      </c>
      <c r="AA76" s="156"/>
      <c r="AB76" s="156"/>
      <c r="AC76" s="156"/>
      <c r="AD76" s="156"/>
      <c r="AE76" s="156"/>
      <c r="AF76" s="159"/>
      <c r="AG76" s="158"/>
      <c r="AH76" s="156"/>
      <c r="AI76" s="156"/>
      <c r="AJ76" s="160"/>
      <c r="AK76" s="156"/>
      <c r="AL76" s="152" t="s">
        <v>66</v>
      </c>
      <c r="AM76" s="156"/>
      <c r="AN76" s="156"/>
      <c r="AO76" s="453" t="s">
        <v>281</v>
      </c>
      <c r="AP76" s="382" t="s">
        <v>307</v>
      </c>
      <c r="AQ76" s="293"/>
      <c r="AR76" s="161"/>
      <c r="AS76" s="152" t="s">
        <v>66</v>
      </c>
      <c r="AT76" s="254"/>
      <c r="AU76" s="254"/>
      <c r="AV76" s="258"/>
      <c r="AW76" s="258"/>
      <c r="AX76" s="258"/>
      <c r="AY76" s="258"/>
      <c r="AZ76" s="258"/>
      <c r="BA76" s="258"/>
      <c r="BB76" s="258"/>
      <c r="BC76" s="258"/>
      <c r="BD76" s="258"/>
      <c r="BE76" s="258"/>
      <c r="BF76" s="258"/>
      <c r="BG76" s="258"/>
      <c r="BH76" s="258"/>
      <c r="BI76" s="258"/>
      <c r="BJ76" s="258"/>
      <c r="BK76" s="258"/>
      <c r="BL76" s="258"/>
      <c r="BM76" s="258"/>
      <c r="BN76" s="258"/>
      <c r="BO76" s="258"/>
      <c r="BP76" s="258"/>
      <c r="BQ76" s="258"/>
      <c r="BR76" s="258"/>
      <c r="BS76" s="258"/>
      <c r="BT76" s="258"/>
      <c r="BU76" s="258"/>
      <c r="BV76" s="258"/>
      <c r="BW76" s="258"/>
      <c r="BX76" s="258"/>
      <c r="BY76" s="258"/>
      <c r="BZ76" s="258"/>
      <c r="CA76" s="258"/>
      <c r="CB76" s="258"/>
      <c r="CC76" s="258"/>
      <c r="CD76" s="258"/>
      <c r="CE76" s="258"/>
      <c r="CF76" s="258"/>
      <c r="CG76" s="258"/>
      <c r="CH76" s="258"/>
    </row>
    <row r="77">
      <c r="A77" s="38"/>
      <c r="B77" s="156"/>
      <c r="C77" s="156"/>
      <c r="D77" s="236" t="s">
        <v>54</v>
      </c>
      <c r="E77" s="69"/>
      <c r="F77" s="156"/>
      <c r="G77" s="235" t="s">
        <v>179</v>
      </c>
      <c r="H77" s="156"/>
      <c r="I77" s="69"/>
      <c r="J77" s="69"/>
      <c r="K77" s="156"/>
      <c r="L77" s="156"/>
      <c r="M77" s="156"/>
      <c r="N77" s="23"/>
      <c r="O77" s="156"/>
      <c r="P77" s="156"/>
      <c r="Q77" s="156"/>
      <c r="R77" s="156"/>
      <c r="S77" s="156"/>
      <c r="T77" s="156"/>
      <c r="U77" s="156"/>
      <c r="V77" s="156"/>
      <c r="W77" s="156"/>
      <c r="X77" s="154"/>
      <c r="Y77" s="156"/>
      <c r="Z77" s="23"/>
      <c r="AA77" s="156"/>
      <c r="AB77" s="156"/>
      <c r="AC77" s="156"/>
      <c r="AD77" s="156"/>
      <c r="AE77" s="156"/>
      <c r="AF77" s="159"/>
      <c r="AG77" s="168"/>
      <c r="AH77" s="156"/>
      <c r="AI77" s="156"/>
      <c r="AJ77" s="169"/>
      <c r="AK77" s="156"/>
      <c r="AL77" s="38"/>
      <c r="AM77" s="156"/>
      <c r="AN77" s="156"/>
      <c r="AO77" s="454" t="s">
        <v>168</v>
      </c>
      <c r="AP77" s="386" t="s">
        <v>309</v>
      </c>
      <c r="AQ77" s="455"/>
      <c r="AR77" s="161"/>
      <c r="AS77" s="38"/>
      <c r="AT77" s="254"/>
      <c r="AU77" s="254"/>
      <c r="AV77" s="258"/>
      <c r="AW77" s="163" t="str">
        <f t="array" ref="AW77">TEXTJOIN(" | ", 1, A78:AT78)</f>
        <v>101 (303 ON 24/04) | 321 (318 ON 24/04) | 320 | 104</v>
      </c>
      <c r="AX77" s="258"/>
      <c r="AY77" s="258"/>
      <c r="AZ77" s="258"/>
      <c r="BA77" s="258"/>
      <c r="BB77" s="258"/>
      <c r="BC77" s="258"/>
      <c r="BD77" s="258"/>
      <c r="BE77" s="258"/>
      <c r="BF77" s="258"/>
      <c r="BG77" s="258"/>
      <c r="BH77" s="258"/>
      <c r="BI77" s="258"/>
      <c r="BJ77" s="258"/>
      <c r="BK77" s="258"/>
      <c r="BL77" s="258"/>
      <c r="BM77" s="258"/>
      <c r="BN77" s="258"/>
      <c r="BO77" s="258"/>
      <c r="BP77" s="258"/>
      <c r="BQ77" s="258"/>
      <c r="BR77" s="258"/>
      <c r="BS77" s="258"/>
      <c r="BT77" s="258"/>
      <c r="BU77" s="258"/>
      <c r="BV77" s="258"/>
      <c r="BW77" s="258"/>
      <c r="BX77" s="258"/>
      <c r="BY77" s="258"/>
      <c r="BZ77" s="258"/>
      <c r="CA77" s="258"/>
      <c r="CB77" s="258"/>
      <c r="CC77" s="258"/>
      <c r="CD77" s="258"/>
      <c r="CE77" s="258"/>
      <c r="CF77" s="258"/>
      <c r="CG77" s="258"/>
      <c r="CH77" s="258"/>
    </row>
    <row r="78">
      <c r="A78" s="44"/>
      <c r="B78" s="172"/>
      <c r="C78" s="172"/>
      <c r="D78" s="456" t="s">
        <v>350</v>
      </c>
      <c r="E78" s="76"/>
      <c r="F78" s="172"/>
      <c r="G78" s="244" t="s">
        <v>351</v>
      </c>
      <c r="H78" s="172"/>
      <c r="I78" s="76"/>
      <c r="J78" s="76"/>
      <c r="K78" s="172"/>
      <c r="L78" s="172"/>
      <c r="M78" s="172"/>
      <c r="N78" s="47"/>
      <c r="O78" s="241"/>
      <c r="P78" s="241"/>
      <c r="Q78" s="241"/>
      <c r="R78" s="241"/>
      <c r="S78" s="241"/>
      <c r="T78" s="241"/>
      <c r="U78" s="241"/>
      <c r="V78" s="241"/>
      <c r="W78" s="241"/>
      <c r="X78" s="457"/>
      <c r="Y78" s="241"/>
      <c r="Z78" s="47"/>
      <c r="AA78" s="172"/>
      <c r="AB78" s="172"/>
      <c r="AC78" s="172"/>
      <c r="AD78" s="172"/>
      <c r="AE78" s="172"/>
      <c r="AF78" s="175"/>
      <c r="AG78" s="174"/>
      <c r="AH78" s="172"/>
      <c r="AI78" s="172"/>
      <c r="AJ78" s="176"/>
      <c r="AK78" s="172"/>
      <c r="AL78" s="44"/>
      <c r="AM78" s="172"/>
      <c r="AN78" s="172"/>
      <c r="AO78" s="458">
        <v>320.0</v>
      </c>
      <c r="AP78" s="390">
        <v>104.0</v>
      </c>
      <c r="AQ78" s="303"/>
      <c r="AR78" s="177"/>
      <c r="AS78" s="44"/>
      <c r="AT78" s="254"/>
      <c r="AU78" s="254"/>
      <c r="AV78" s="164" t="str">
        <f>IFERROR(__xludf.DUMMYFUNCTION("TEXTJOIN("" / "", TRUE, FILTER(TO_TEXT(SPLIT($AZ$4, "" / "")), NOT(REGEXMATCH(TO_TEXT(SPLIT($AZ$4, "" / "")), ""\b"" &amp; TEXTJOIN(""|"", TRUE, SPLIT(AW78, "" / "")) &amp; ""\b""))))"),"102 / 103 / 105 / 106 / 107 / 108 / 111 / 209 / 300 / 301 / 304 / 305 / 306 / 307 / 308 / 312 / 313 / 314 / 316 / 317 / 421 / 460 / 461")</f>
        <v>102 / 103 / 105 / 106 / 107 / 108 / 111 / 209 / 300 / 301 / 304 / 305 / 306 / 307 / 308 / 312 / 313 / 314 / 316 / 317 / 421 / 460 / 461</v>
      </c>
      <c r="AW78" s="178" t="str">
        <f>IFERROR(__xludf.DUMMYFUNCTION("TEXTJOIN("" / "", 1, SORT(UNIQUE(TRANSPOSE(SPLIT(TRIM(REGEXREPLACE(AW77,""([0-9]{3}[a-zA-Z]?)|."",""$1 "")), "" "")))))"),"101 / 104 / 303 / 318 / 320 / 321")</f>
        <v>101 / 104 / 303 / 318 / 320 / 321</v>
      </c>
      <c r="AX78" s="164"/>
      <c r="AY78" s="163"/>
      <c r="AZ78" s="163"/>
      <c r="BA78" s="163"/>
      <c r="BB78" s="163"/>
      <c r="BC78" s="163"/>
      <c r="BD78" s="163"/>
      <c r="BE78" s="163"/>
      <c r="BF78" s="163"/>
      <c r="BG78" s="163"/>
      <c r="BH78" s="163"/>
      <c r="BI78" s="163"/>
      <c r="BJ78" s="163"/>
      <c r="BK78" s="163"/>
      <c r="BL78" s="163"/>
      <c r="BM78" s="163"/>
      <c r="BN78" s="163"/>
      <c r="BO78" s="163"/>
      <c r="BP78" s="163"/>
      <c r="BQ78" s="163"/>
      <c r="BR78" s="163"/>
      <c r="BS78" s="163"/>
      <c r="BT78" s="163"/>
      <c r="BU78" s="163"/>
      <c r="BV78" s="163"/>
      <c r="BW78" s="163"/>
      <c r="BX78" s="163"/>
      <c r="BY78" s="163"/>
      <c r="BZ78" s="163"/>
      <c r="CA78" s="163"/>
      <c r="CB78" s="163"/>
      <c r="CC78" s="163"/>
      <c r="CD78" s="163"/>
      <c r="CE78" s="163"/>
      <c r="CF78" s="163"/>
      <c r="CG78" s="163"/>
      <c r="CH78" s="163"/>
    </row>
    <row r="79">
      <c r="A79" s="147" t="s">
        <v>92</v>
      </c>
      <c r="B79" s="148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7"/>
      <c r="N79" s="149" t="s">
        <v>92</v>
      </c>
      <c r="O79" s="148"/>
      <c r="P79" s="46"/>
      <c r="Q79" s="46"/>
      <c r="R79" s="46"/>
      <c r="S79" s="46"/>
      <c r="T79" s="46"/>
      <c r="U79" s="46"/>
      <c r="V79" s="46"/>
      <c r="W79" s="46"/>
      <c r="X79" s="46"/>
      <c r="Y79" s="47"/>
      <c r="Z79" s="149" t="s">
        <v>92</v>
      </c>
      <c r="AA79" s="148"/>
      <c r="AB79" s="46"/>
      <c r="AC79" s="46"/>
      <c r="AD79" s="46"/>
      <c r="AE79" s="46"/>
      <c r="AF79" s="46"/>
      <c r="AG79" s="46"/>
      <c r="AH79" s="46"/>
      <c r="AI79" s="46"/>
      <c r="AJ79" s="46"/>
      <c r="AK79" s="47"/>
      <c r="AL79" s="147" t="s">
        <v>92</v>
      </c>
      <c r="AM79" s="459"/>
      <c r="AN79" s="3"/>
      <c r="AO79" s="3"/>
      <c r="AP79" s="3"/>
      <c r="AQ79" s="3"/>
      <c r="AR79" s="4"/>
      <c r="AS79" s="147" t="s">
        <v>92</v>
      </c>
      <c r="AT79" s="150"/>
      <c r="AU79" s="150"/>
      <c r="AV79" s="151"/>
      <c r="AW79" s="151"/>
      <c r="AX79" s="151"/>
      <c r="AY79" s="151"/>
      <c r="AZ79" s="151"/>
      <c r="BA79" s="151"/>
      <c r="BB79" s="151"/>
      <c r="BC79" s="151"/>
      <c r="BD79" s="151"/>
      <c r="BE79" s="151"/>
      <c r="BF79" s="151"/>
      <c r="BG79" s="151"/>
      <c r="BH79" s="151"/>
      <c r="BI79" s="151"/>
      <c r="BJ79" s="151"/>
      <c r="BK79" s="151"/>
      <c r="BL79" s="151"/>
      <c r="BM79" s="151"/>
      <c r="BN79" s="151"/>
      <c r="BO79" s="151"/>
      <c r="BP79" s="151"/>
      <c r="BQ79" s="151"/>
      <c r="BR79" s="151"/>
      <c r="BS79" s="151"/>
      <c r="BT79" s="151"/>
      <c r="BU79" s="151"/>
      <c r="BV79" s="151"/>
      <c r="BW79" s="151"/>
      <c r="BX79" s="151"/>
      <c r="BY79" s="151"/>
      <c r="BZ79" s="151"/>
      <c r="CA79" s="151"/>
      <c r="CB79" s="151"/>
      <c r="CC79" s="151"/>
      <c r="CD79" s="151"/>
      <c r="CE79" s="151"/>
      <c r="CF79" s="151"/>
      <c r="CG79" s="151"/>
      <c r="CH79" s="151"/>
    </row>
    <row r="80">
      <c r="A80" s="152" t="s">
        <v>39</v>
      </c>
      <c r="B80" s="460" t="s">
        <v>352</v>
      </c>
      <c r="M80" s="23"/>
      <c r="N80" s="154" t="s">
        <v>128</v>
      </c>
      <c r="O80" s="156"/>
      <c r="P80" s="156"/>
      <c r="Q80" s="156"/>
      <c r="R80" s="256" t="s">
        <v>197</v>
      </c>
      <c r="S80" s="156"/>
      <c r="T80" s="358" t="s">
        <v>353</v>
      </c>
      <c r="U80" s="23"/>
      <c r="V80" s="156"/>
      <c r="W80" s="156"/>
      <c r="X80" s="461" t="s">
        <v>353</v>
      </c>
      <c r="Y80" s="63"/>
      <c r="Z80" s="154" t="s">
        <v>130</v>
      </c>
      <c r="AA80" s="159"/>
      <c r="AB80" s="159"/>
      <c r="AC80" s="159"/>
      <c r="AD80" s="230"/>
      <c r="AE80" s="230"/>
      <c r="AF80" s="159"/>
      <c r="AG80" s="159"/>
      <c r="AH80" s="230"/>
      <c r="AI80" s="230"/>
      <c r="AJ80" s="230"/>
      <c r="AK80" s="230"/>
      <c r="AL80" s="152" t="s">
        <v>39</v>
      </c>
      <c r="AM80" s="156"/>
      <c r="AN80" s="156"/>
      <c r="AO80" s="156"/>
      <c r="AP80" s="156"/>
      <c r="AQ80" s="462" t="s">
        <v>212</v>
      </c>
      <c r="AR80" s="63"/>
      <c r="AS80" s="152" t="s">
        <v>39</v>
      </c>
      <c r="AT80" s="63"/>
      <c r="AU80" s="63"/>
      <c r="AV80" s="258"/>
      <c r="AW80" s="258"/>
      <c r="AX80" s="258"/>
      <c r="AY80" s="258"/>
      <c r="AZ80" s="258"/>
      <c r="BA80" s="258"/>
      <c r="BB80" s="258"/>
      <c r="BC80" s="258"/>
      <c r="BD80" s="258"/>
      <c r="BE80" s="258"/>
      <c r="BF80" s="258"/>
      <c r="BG80" s="258"/>
      <c r="BH80" s="258"/>
      <c r="BI80" s="258"/>
      <c r="BJ80" s="258"/>
      <c r="BK80" s="258"/>
      <c r="BL80" s="258"/>
      <c r="BM80" s="258"/>
      <c r="BN80" s="258"/>
      <c r="BO80" s="258"/>
      <c r="BP80" s="258"/>
      <c r="BQ80" s="258"/>
      <c r="BR80" s="258"/>
      <c r="BS80" s="258"/>
      <c r="BT80" s="258"/>
      <c r="BU80" s="258"/>
      <c r="BV80" s="258"/>
      <c r="BW80" s="258"/>
      <c r="BX80" s="258"/>
      <c r="BY80" s="258"/>
      <c r="BZ80" s="258"/>
      <c r="CA80" s="258"/>
      <c r="CB80" s="258"/>
      <c r="CC80" s="258"/>
      <c r="CD80" s="258"/>
      <c r="CE80" s="258"/>
      <c r="CF80" s="258"/>
      <c r="CG80" s="258"/>
      <c r="CH80" s="258"/>
    </row>
    <row r="81">
      <c r="A81" s="38"/>
      <c r="B81" s="463" t="s">
        <v>354</v>
      </c>
      <c r="M81" s="23"/>
      <c r="N81" s="23"/>
      <c r="O81" s="156"/>
      <c r="P81" s="156"/>
      <c r="Q81" s="156"/>
      <c r="R81" s="262" t="s">
        <v>215</v>
      </c>
      <c r="S81" s="156"/>
      <c r="T81" s="167" t="s">
        <v>136</v>
      </c>
      <c r="U81" s="23"/>
      <c r="V81" s="156"/>
      <c r="W81" s="156"/>
      <c r="X81" s="464" t="s">
        <v>136</v>
      </c>
      <c r="Y81" s="69"/>
      <c r="Z81" s="23"/>
      <c r="AA81" s="159"/>
      <c r="AB81" s="159"/>
      <c r="AC81" s="159"/>
      <c r="AD81" s="230"/>
      <c r="AE81" s="230"/>
      <c r="AF81" s="159"/>
      <c r="AG81" s="159"/>
      <c r="AH81" s="230"/>
      <c r="AI81" s="230"/>
      <c r="AJ81" s="230"/>
      <c r="AK81" s="230"/>
      <c r="AL81" s="38"/>
      <c r="AM81" s="156"/>
      <c r="AN81" s="156"/>
      <c r="AO81" s="156"/>
      <c r="AP81" s="156"/>
      <c r="AQ81" s="465" t="s">
        <v>222</v>
      </c>
      <c r="AR81" s="69"/>
      <c r="AS81" s="38"/>
      <c r="AT81" s="69"/>
      <c r="AU81" s="69"/>
      <c r="AV81" s="258"/>
      <c r="AW81" s="163" t="str">
        <f t="array" ref="AW81">TEXTJOIN(" | ", 1, A82:AT82)</f>
        <v>108 | 461 | ONLINE | ONLINE | 301 STARTS AT 10:00 ON 04/04, 11/04, 18/04, 25/04</v>
      </c>
      <c r="AX81" s="258"/>
      <c r="AY81" s="258"/>
      <c r="AZ81" s="258"/>
      <c r="BA81" s="258"/>
      <c r="BB81" s="258"/>
      <c r="BC81" s="258"/>
      <c r="BD81" s="258"/>
      <c r="BE81" s="258"/>
      <c r="BF81" s="258"/>
      <c r="BG81" s="258"/>
      <c r="BH81" s="258"/>
      <c r="BI81" s="258"/>
      <c r="BJ81" s="258"/>
      <c r="BK81" s="258"/>
      <c r="BL81" s="258"/>
      <c r="BM81" s="258"/>
      <c r="BN81" s="258"/>
      <c r="BO81" s="258"/>
      <c r="BP81" s="258"/>
      <c r="BQ81" s="258"/>
      <c r="BR81" s="258"/>
      <c r="BS81" s="258"/>
      <c r="BT81" s="258"/>
      <c r="BU81" s="258"/>
      <c r="BV81" s="258"/>
      <c r="BW81" s="258"/>
      <c r="BX81" s="258"/>
      <c r="BY81" s="258"/>
      <c r="BZ81" s="258"/>
      <c r="CA81" s="258"/>
      <c r="CB81" s="258"/>
      <c r="CC81" s="258"/>
      <c r="CD81" s="258"/>
      <c r="CE81" s="258"/>
      <c r="CF81" s="258"/>
      <c r="CG81" s="258"/>
      <c r="CH81" s="258"/>
    </row>
    <row r="82">
      <c r="A82" s="44"/>
      <c r="B82" s="466">
        <v>108.0</v>
      </c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7"/>
      <c r="N82" s="47"/>
      <c r="O82" s="172"/>
      <c r="P82" s="172"/>
      <c r="Q82" s="172"/>
      <c r="R82" s="265">
        <v>461.0</v>
      </c>
      <c r="S82" s="172"/>
      <c r="T82" s="173" t="s">
        <v>137</v>
      </c>
      <c r="U82" s="47"/>
      <c r="V82" s="172"/>
      <c r="W82" s="172"/>
      <c r="X82" s="467" t="s">
        <v>137</v>
      </c>
      <c r="Y82" s="76"/>
      <c r="Z82" s="47"/>
      <c r="AA82" s="175"/>
      <c r="AB82" s="175"/>
      <c r="AC82" s="175"/>
      <c r="AD82" s="243"/>
      <c r="AE82" s="243"/>
      <c r="AF82" s="175"/>
      <c r="AG82" s="175"/>
      <c r="AH82" s="243"/>
      <c r="AI82" s="243"/>
      <c r="AJ82" s="243"/>
      <c r="AK82" s="243"/>
      <c r="AL82" s="44"/>
      <c r="AM82" s="172"/>
      <c r="AN82" s="172"/>
      <c r="AO82" s="172"/>
      <c r="AP82" s="172"/>
      <c r="AQ82" s="468" t="s">
        <v>355</v>
      </c>
      <c r="AR82" s="76"/>
      <c r="AS82" s="44"/>
      <c r="AT82" s="76"/>
      <c r="AU82" s="76"/>
      <c r="AV82" s="164" t="str">
        <f>IFERROR(__xludf.DUMMYFUNCTION("TEXTJOIN("" / "", TRUE, FILTER(TO_TEXT(SPLIT($AZ$4, "" / "")), NOT(REGEXMATCH(TO_TEXT(SPLIT($AZ$4, "" / "")), ""\b"" &amp; TEXTJOIN(""|"", TRUE, SPLIT(AW82, "" / "")) &amp; ""\b""))))"),"101 / 102 / 103 / 104 / 105 / 106 / 107 / 111 / 209 / 300 / 303 / 304 / 305 / 306 / 307 / 308 / 312 / 313 / 314 / 316 / 317 / 318 / 320 / 321 / 421 / 460")</f>
        <v>101 / 102 / 103 / 104 / 105 / 106 / 107 / 111 / 209 / 300 / 303 / 304 / 305 / 306 / 307 / 308 / 312 / 313 / 314 / 316 / 317 / 318 / 320 / 321 / 421 / 460</v>
      </c>
      <c r="AW82" s="178" t="str">
        <f>IFERROR(__xludf.DUMMYFUNCTION("TEXTJOIN("" / "", 1, SORT(UNIQUE(TRANSPOSE(SPLIT(TRIM(REGEXREPLACE(AW81,""([0-9]{3}[a-zA-Z]?)|."",""$1 "")), "" "")))))"),"108 / 301 / 461")</f>
        <v>108 / 301 / 461</v>
      </c>
      <c r="AX82" s="163"/>
      <c r="AY82" s="163"/>
      <c r="AZ82" s="163"/>
      <c r="BA82" s="163"/>
      <c r="BB82" s="163"/>
      <c r="BC82" s="163"/>
      <c r="BD82" s="163"/>
      <c r="BE82" s="163"/>
      <c r="BF82" s="163"/>
      <c r="BG82" s="163"/>
      <c r="BH82" s="163"/>
      <c r="BI82" s="163"/>
      <c r="BJ82" s="163"/>
      <c r="BK82" s="163"/>
      <c r="BL82" s="163"/>
      <c r="BM82" s="163"/>
      <c r="BN82" s="163"/>
      <c r="BO82" s="163"/>
      <c r="BP82" s="163"/>
      <c r="BQ82" s="163"/>
      <c r="BR82" s="163"/>
      <c r="BS82" s="163"/>
      <c r="BT82" s="163"/>
      <c r="BU82" s="163"/>
      <c r="BV82" s="163"/>
      <c r="BW82" s="163"/>
      <c r="BX82" s="163"/>
      <c r="BY82" s="163"/>
      <c r="BZ82" s="163"/>
      <c r="CA82" s="163"/>
      <c r="CB82" s="163"/>
      <c r="CC82" s="163"/>
      <c r="CD82" s="163"/>
      <c r="CE82" s="163"/>
      <c r="CF82" s="163"/>
      <c r="CG82" s="163"/>
      <c r="CH82" s="163"/>
    </row>
    <row r="83">
      <c r="A83" s="152" t="s">
        <v>49</v>
      </c>
      <c r="B83" s="469" t="s">
        <v>356</v>
      </c>
      <c r="M83" s="23"/>
      <c r="N83" s="154" t="s">
        <v>139</v>
      </c>
      <c r="O83" s="256" t="s">
        <v>197</v>
      </c>
      <c r="P83" s="156"/>
      <c r="Q83" s="63"/>
      <c r="R83" s="63"/>
      <c r="S83" s="156"/>
      <c r="T83" s="156"/>
      <c r="U83" s="156"/>
      <c r="V83" s="156"/>
      <c r="W83" s="156"/>
      <c r="X83" s="470" t="s">
        <v>357</v>
      </c>
      <c r="Y83" s="318" t="s">
        <v>358</v>
      </c>
      <c r="Z83" s="154" t="s">
        <v>145</v>
      </c>
      <c r="AA83" s="159"/>
      <c r="AB83" s="159"/>
      <c r="AC83" s="159"/>
      <c r="AD83" s="230"/>
      <c r="AE83" s="230"/>
      <c r="AF83" s="159"/>
      <c r="AG83" s="159"/>
      <c r="AH83" s="230"/>
      <c r="AI83" s="230"/>
      <c r="AJ83" s="158"/>
      <c r="AK83" s="158"/>
      <c r="AL83" s="152" t="s">
        <v>49</v>
      </c>
      <c r="AM83" s="347" t="s">
        <v>359</v>
      </c>
      <c r="AN83" s="23"/>
      <c r="AO83" s="471" t="s">
        <v>360</v>
      </c>
      <c r="AP83" s="228"/>
      <c r="AQ83" s="462" t="s">
        <v>212</v>
      </c>
      <c r="AR83" s="63"/>
      <c r="AS83" s="152" t="s">
        <v>49</v>
      </c>
      <c r="AT83" s="63"/>
      <c r="AU83" s="63"/>
      <c r="AV83" s="258"/>
      <c r="AW83" s="258"/>
      <c r="AX83" s="258"/>
      <c r="AY83" s="258"/>
      <c r="AZ83" s="258"/>
      <c r="BA83" s="258"/>
      <c r="BB83" s="258"/>
      <c r="BC83" s="258"/>
      <c r="BD83" s="258"/>
      <c r="BE83" s="258"/>
      <c r="BF83" s="258"/>
      <c r="BG83" s="258"/>
      <c r="BH83" s="258"/>
      <c r="BI83" s="258"/>
      <c r="BJ83" s="258"/>
      <c r="BK83" s="258"/>
      <c r="BL83" s="258"/>
      <c r="BM83" s="258"/>
      <c r="BN83" s="258"/>
      <c r="BO83" s="258"/>
      <c r="BP83" s="258"/>
      <c r="BQ83" s="258"/>
      <c r="BR83" s="258"/>
      <c r="BS83" s="258"/>
      <c r="BT83" s="258"/>
      <c r="BU83" s="258"/>
      <c r="BV83" s="258"/>
      <c r="BW83" s="258"/>
      <c r="BX83" s="258"/>
      <c r="BY83" s="258"/>
      <c r="BZ83" s="258"/>
      <c r="CA83" s="258"/>
      <c r="CB83" s="258"/>
      <c r="CC83" s="258"/>
      <c r="CD83" s="258"/>
      <c r="CE83" s="258"/>
      <c r="CF83" s="258"/>
      <c r="CG83" s="258"/>
      <c r="CH83" s="258"/>
    </row>
    <row r="84">
      <c r="A84" s="38"/>
      <c r="B84" s="472" t="s">
        <v>354</v>
      </c>
      <c r="M84" s="23"/>
      <c r="N84" s="23"/>
      <c r="O84" s="262" t="s">
        <v>202</v>
      </c>
      <c r="P84" s="156"/>
      <c r="Q84" s="69"/>
      <c r="R84" s="69"/>
      <c r="S84" s="156"/>
      <c r="T84" s="156"/>
      <c r="U84" s="156"/>
      <c r="V84" s="156"/>
      <c r="W84" s="156"/>
      <c r="X84" s="473" t="s">
        <v>78</v>
      </c>
      <c r="Y84" s="320" t="s">
        <v>361</v>
      </c>
      <c r="Z84" s="23"/>
      <c r="AA84" s="159"/>
      <c r="AB84" s="159"/>
      <c r="AC84" s="159"/>
      <c r="AD84" s="230"/>
      <c r="AE84" s="230"/>
      <c r="AF84" s="159"/>
      <c r="AG84" s="159"/>
      <c r="AH84" s="230"/>
      <c r="AI84" s="230"/>
      <c r="AJ84" s="154"/>
      <c r="AK84" s="154"/>
      <c r="AL84" s="38"/>
      <c r="AM84" s="352" t="s">
        <v>218</v>
      </c>
      <c r="AN84" s="23"/>
      <c r="AO84" s="474" t="s">
        <v>321</v>
      </c>
      <c r="AP84" s="161"/>
      <c r="AQ84" s="465" t="s">
        <v>222</v>
      </c>
      <c r="AR84" s="69"/>
      <c r="AS84" s="38"/>
      <c r="AT84" s="69"/>
      <c r="AU84" s="69"/>
      <c r="AV84" s="258"/>
      <c r="AW84" s="163" t="str">
        <f t="array" ref="AW84">TEXTJOIN(" | ", 1, A85:AT85)</f>
        <v>108 | 209 | 104 | 103 (316 ON 25/04) | 321 (314 ON 25/04) | 300 (209 ON 25/04) | 301 STARTS AT 11:40 ON 04/04, 11/04, 18/04, 25/04</v>
      </c>
      <c r="AX84" s="258"/>
      <c r="AY84" s="258"/>
      <c r="AZ84" s="258"/>
      <c r="BA84" s="258"/>
      <c r="BB84" s="258"/>
      <c r="BC84" s="258"/>
      <c r="BD84" s="258"/>
      <c r="BE84" s="258"/>
      <c r="BF84" s="258"/>
      <c r="BG84" s="258"/>
      <c r="BH84" s="258"/>
      <c r="BI84" s="258"/>
      <c r="BJ84" s="258"/>
      <c r="BK84" s="258"/>
      <c r="BL84" s="258"/>
      <c r="BM84" s="258"/>
      <c r="BN84" s="258"/>
      <c r="BO84" s="258"/>
      <c r="BP84" s="258"/>
      <c r="BQ84" s="258"/>
      <c r="BR84" s="258"/>
      <c r="BS84" s="258"/>
      <c r="BT84" s="258"/>
      <c r="BU84" s="258"/>
      <c r="BV84" s="258"/>
      <c r="BW84" s="258"/>
      <c r="BX84" s="258"/>
      <c r="BY84" s="258"/>
      <c r="BZ84" s="258"/>
      <c r="CA84" s="258"/>
      <c r="CB84" s="258"/>
      <c r="CC84" s="258"/>
      <c r="CD84" s="258"/>
      <c r="CE84" s="258"/>
      <c r="CF84" s="258"/>
      <c r="CG84" s="258"/>
      <c r="CH84" s="258"/>
    </row>
    <row r="85">
      <c r="A85" s="44"/>
      <c r="B85" s="466">
        <v>108.0</v>
      </c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7"/>
      <c r="N85" s="47"/>
      <c r="O85" s="265">
        <v>209.0</v>
      </c>
      <c r="P85" s="172"/>
      <c r="Q85" s="76"/>
      <c r="R85" s="76"/>
      <c r="S85" s="172"/>
      <c r="T85" s="172"/>
      <c r="U85" s="172"/>
      <c r="V85" s="172"/>
      <c r="W85" s="172"/>
      <c r="X85" s="201">
        <v>104.0</v>
      </c>
      <c r="Y85" s="445" t="s">
        <v>362</v>
      </c>
      <c r="Z85" s="47"/>
      <c r="AA85" s="175"/>
      <c r="AB85" s="175"/>
      <c r="AC85" s="175"/>
      <c r="AD85" s="243"/>
      <c r="AE85" s="243"/>
      <c r="AF85" s="175"/>
      <c r="AG85" s="175"/>
      <c r="AH85" s="243"/>
      <c r="AI85" s="243"/>
      <c r="AJ85" s="174"/>
      <c r="AK85" s="174"/>
      <c r="AL85" s="44"/>
      <c r="AM85" s="475" t="s">
        <v>363</v>
      </c>
      <c r="AN85" s="47"/>
      <c r="AO85" s="200" t="s">
        <v>364</v>
      </c>
      <c r="AP85" s="177"/>
      <c r="AQ85" s="468" t="s">
        <v>365</v>
      </c>
      <c r="AR85" s="76"/>
      <c r="AS85" s="44"/>
      <c r="AT85" s="76"/>
      <c r="AU85" s="76"/>
      <c r="AV85" s="164" t="str">
        <f>IFERROR(__xludf.DUMMYFUNCTION("TEXTJOIN("" / "", TRUE, FILTER(TO_TEXT(SPLIT($AZ$4, "" / "")), NOT(REGEXMATCH(TO_TEXT(SPLIT($AZ$4, "" / "")), ""\b"" &amp; TEXTJOIN(""|"", TRUE, SPLIT(AW85, "" / "")) &amp; ""\b""))))"),"101 / 102 / 105 / 106 / 107 / 111 / 303 / 304 / 305 / 306 / 307 / 308 / 312 / 313 / 317 / 318 / 320 / 421 / 460 / 461")</f>
        <v>101 / 102 / 105 / 106 / 107 / 111 / 303 / 304 / 305 / 306 / 307 / 308 / 312 / 313 / 317 / 318 / 320 / 421 / 460 / 461</v>
      </c>
      <c r="AW85" s="178" t="str">
        <f>IFERROR(__xludf.DUMMYFUNCTION("TEXTJOIN("" / "", 1, SORT(UNIQUE(TRANSPOSE(SPLIT(TRIM(REGEXREPLACE(AW84,""([0-9]{3}[a-zA-Z]?)|."",""$1 "")), "" "")))))"),"103 / 104 / 108 / 209 / 300 / 301 / 314 / 316 / 321")</f>
        <v>103 / 104 / 108 / 209 / 300 / 301 / 314 / 316 / 321</v>
      </c>
      <c r="AX85" s="164"/>
      <c r="AY85" s="163"/>
      <c r="AZ85" s="163"/>
      <c r="BA85" s="163"/>
      <c r="BB85" s="163"/>
      <c r="BC85" s="163"/>
      <c r="BD85" s="163"/>
      <c r="BE85" s="163"/>
      <c r="BF85" s="163"/>
      <c r="BG85" s="163"/>
      <c r="BH85" s="163"/>
      <c r="BI85" s="163"/>
      <c r="BJ85" s="163"/>
      <c r="BK85" s="163"/>
      <c r="BL85" s="163"/>
      <c r="BM85" s="163"/>
      <c r="BN85" s="163"/>
      <c r="BO85" s="163"/>
      <c r="BP85" s="163"/>
      <c r="BQ85" s="163"/>
      <c r="BR85" s="163"/>
      <c r="BS85" s="163"/>
      <c r="BT85" s="163"/>
      <c r="BU85" s="163"/>
      <c r="BV85" s="163"/>
      <c r="BW85" s="163"/>
      <c r="BX85" s="163"/>
      <c r="BY85" s="163"/>
      <c r="BZ85" s="163"/>
      <c r="CA85" s="163"/>
      <c r="CB85" s="163"/>
      <c r="CC85" s="163"/>
      <c r="CD85" s="163"/>
      <c r="CE85" s="163"/>
      <c r="CF85" s="163"/>
      <c r="CG85" s="163"/>
      <c r="CH85" s="163"/>
    </row>
    <row r="86">
      <c r="A86" s="152" t="s">
        <v>51</v>
      </c>
      <c r="B86" s="418" t="s">
        <v>366</v>
      </c>
      <c r="C86" s="418" t="s">
        <v>366</v>
      </c>
      <c r="D86" s="156"/>
      <c r="E86" s="156"/>
      <c r="F86" s="418" t="s">
        <v>366</v>
      </c>
      <c r="G86" s="143"/>
      <c r="H86" s="293"/>
      <c r="I86" s="418" t="s">
        <v>366</v>
      </c>
      <c r="J86" s="156"/>
      <c r="K86" s="158"/>
      <c r="L86" s="418" t="s">
        <v>366</v>
      </c>
      <c r="M86" s="158"/>
      <c r="N86" s="154" t="s">
        <v>158</v>
      </c>
      <c r="O86" s="476" t="s">
        <v>367</v>
      </c>
      <c r="W86" s="23"/>
      <c r="X86" s="230"/>
      <c r="Y86" s="272" t="s">
        <v>208</v>
      </c>
      <c r="Z86" s="154" t="s">
        <v>162</v>
      </c>
      <c r="AA86" s="230"/>
      <c r="AB86" s="230"/>
      <c r="AC86" s="230"/>
      <c r="AD86" s="156"/>
      <c r="AE86" s="156"/>
      <c r="AF86" s="230"/>
      <c r="AG86" s="230"/>
      <c r="AH86" s="156"/>
      <c r="AI86" s="156"/>
      <c r="AJ86" s="158"/>
      <c r="AK86" s="158"/>
      <c r="AL86" s="152" t="s">
        <v>51</v>
      </c>
      <c r="AM86" s="347" t="s">
        <v>368</v>
      </c>
      <c r="AN86" s="23"/>
      <c r="AO86" s="471" t="s">
        <v>369</v>
      </c>
      <c r="AP86" s="63"/>
      <c r="AQ86" s="158"/>
      <c r="AR86" s="232"/>
      <c r="AS86" s="152" t="s">
        <v>51</v>
      </c>
      <c r="AT86" s="254"/>
      <c r="AU86" s="254"/>
      <c r="AV86" s="258"/>
      <c r="AW86" s="258"/>
      <c r="AX86" s="258"/>
      <c r="AY86" s="258"/>
      <c r="AZ86" s="258"/>
      <c r="BA86" s="258"/>
      <c r="BB86" s="258"/>
      <c r="BC86" s="258"/>
      <c r="BD86" s="258"/>
      <c r="BE86" s="258"/>
      <c r="BF86" s="258"/>
      <c r="BG86" s="258"/>
      <c r="BH86" s="258"/>
      <c r="BI86" s="258"/>
      <c r="BJ86" s="258"/>
      <c r="BK86" s="258"/>
      <c r="BL86" s="258"/>
      <c r="BM86" s="258"/>
      <c r="BN86" s="258"/>
      <c r="BO86" s="258"/>
      <c r="BP86" s="258"/>
      <c r="BQ86" s="258"/>
      <c r="BR86" s="258"/>
      <c r="BS86" s="258"/>
      <c r="BT86" s="258"/>
      <c r="BU86" s="258"/>
      <c r="BV86" s="258"/>
      <c r="BW86" s="258"/>
      <c r="BX86" s="258"/>
      <c r="BY86" s="258"/>
      <c r="BZ86" s="258"/>
      <c r="CA86" s="258"/>
      <c r="CB86" s="258"/>
      <c r="CC86" s="258"/>
      <c r="CD86" s="258"/>
      <c r="CE86" s="258"/>
      <c r="CF86" s="258"/>
      <c r="CG86" s="258"/>
      <c r="CH86" s="258"/>
    </row>
    <row r="87">
      <c r="A87" s="38"/>
      <c r="B87" s="477" t="s">
        <v>354</v>
      </c>
      <c r="C87" s="477" t="s">
        <v>167</v>
      </c>
      <c r="D87" s="156"/>
      <c r="E87" s="156"/>
      <c r="F87" s="477" t="s">
        <v>370</v>
      </c>
      <c r="G87" s="143"/>
      <c r="H87" s="478"/>
      <c r="I87" s="477" t="s">
        <v>338</v>
      </c>
      <c r="J87" s="156"/>
      <c r="K87" s="393"/>
      <c r="L87" s="477" t="s">
        <v>179</v>
      </c>
      <c r="M87" s="393"/>
      <c r="N87" s="23"/>
      <c r="O87" s="479" t="s">
        <v>371</v>
      </c>
      <c r="W87" s="23"/>
      <c r="X87" s="230"/>
      <c r="Y87" s="281" t="s">
        <v>99</v>
      </c>
      <c r="Z87" s="23"/>
      <c r="AA87" s="230"/>
      <c r="AB87" s="230"/>
      <c r="AC87" s="230"/>
      <c r="AD87" s="156"/>
      <c r="AE87" s="156"/>
      <c r="AF87" s="230"/>
      <c r="AG87" s="230"/>
      <c r="AH87" s="156"/>
      <c r="AI87" s="156"/>
      <c r="AJ87" s="154"/>
      <c r="AK87" s="154"/>
      <c r="AL87" s="38"/>
      <c r="AM87" s="480" t="s">
        <v>372</v>
      </c>
      <c r="AN87" s="23"/>
      <c r="AO87" s="481" t="s">
        <v>233</v>
      </c>
      <c r="AP87" s="69"/>
      <c r="AQ87" s="168"/>
      <c r="AR87" s="482"/>
      <c r="AS87" s="38"/>
      <c r="AT87" s="254"/>
      <c r="AU87" s="254"/>
      <c r="AV87" s="258"/>
      <c r="AW87" s="163" t="str">
        <f t="array" ref="AW87">TEXTJOIN(" | ", 1, A88:AT88)</f>
        <v>300 (312 ON 25/04) | 303 | 320 | 461 | 318 | 108 | 103 (316 ON 25/04) | 321 (314 ON 25/04) | 304 (209 ON 25/04)</v>
      </c>
      <c r="AX87" s="258"/>
      <c r="AY87" s="258"/>
      <c r="AZ87" s="258"/>
      <c r="BA87" s="258"/>
      <c r="BB87" s="258"/>
      <c r="BC87" s="258"/>
      <c r="BD87" s="258"/>
      <c r="BE87" s="258"/>
      <c r="BF87" s="258"/>
      <c r="BG87" s="258"/>
      <c r="BH87" s="258"/>
      <c r="BI87" s="258"/>
      <c r="BJ87" s="258"/>
      <c r="BK87" s="258"/>
      <c r="BL87" s="258"/>
      <c r="BM87" s="258"/>
      <c r="BN87" s="258"/>
      <c r="BO87" s="258"/>
      <c r="BP87" s="258"/>
      <c r="BQ87" s="258"/>
      <c r="BR87" s="258"/>
      <c r="BS87" s="258"/>
      <c r="BT87" s="258"/>
      <c r="BU87" s="258"/>
      <c r="BV87" s="258"/>
      <c r="BW87" s="258"/>
      <c r="BX87" s="258"/>
      <c r="BY87" s="258"/>
      <c r="BZ87" s="258"/>
      <c r="CA87" s="258"/>
      <c r="CB87" s="258"/>
      <c r="CC87" s="258"/>
      <c r="CD87" s="258"/>
      <c r="CE87" s="258"/>
      <c r="CF87" s="258"/>
      <c r="CG87" s="258"/>
      <c r="CH87" s="258"/>
    </row>
    <row r="88">
      <c r="A88" s="44"/>
      <c r="B88" s="483" t="s">
        <v>373</v>
      </c>
      <c r="C88" s="484">
        <v>303.0</v>
      </c>
      <c r="D88" s="172"/>
      <c r="E88" s="172"/>
      <c r="F88" s="483">
        <v>320.0</v>
      </c>
      <c r="G88" s="143"/>
      <c r="H88" s="485"/>
      <c r="I88" s="483">
        <v>461.0</v>
      </c>
      <c r="J88" s="172"/>
      <c r="K88" s="174"/>
      <c r="L88" s="483">
        <v>318.0</v>
      </c>
      <c r="M88" s="174"/>
      <c r="N88" s="47"/>
      <c r="O88" s="486">
        <v>108.0</v>
      </c>
      <c r="P88" s="46"/>
      <c r="Q88" s="46"/>
      <c r="R88" s="46"/>
      <c r="S88" s="46"/>
      <c r="T88" s="46"/>
      <c r="U88" s="46"/>
      <c r="V88" s="46"/>
      <c r="W88" s="47"/>
      <c r="X88" s="243"/>
      <c r="Y88" s="290" t="s">
        <v>362</v>
      </c>
      <c r="Z88" s="47"/>
      <c r="AA88" s="243"/>
      <c r="AB88" s="243"/>
      <c r="AC88" s="243"/>
      <c r="AD88" s="172"/>
      <c r="AE88" s="172"/>
      <c r="AF88" s="243"/>
      <c r="AG88" s="243"/>
      <c r="AH88" s="172"/>
      <c r="AI88" s="172"/>
      <c r="AJ88" s="174"/>
      <c r="AK88" s="174"/>
      <c r="AL88" s="44"/>
      <c r="AM88" s="475" t="s">
        <v>363</v>
      </c>
      <c r="AN88" s="47"/>
      <c r="AO88" s="200" t="s">
        <v>374</v>
      </c>
      <c r="AP88" s="76"/>
      <c r="AQ88" s="205"/>
      <c r="AR88" s="412"/>
      <c r="AS88" s="44"/>
      <c r="AT88" s="254"/>
      <c r="AU88" s="254"/>
      <c r="AV88" s="164" t="str">
        <f>IFERROR(__xludf.DUMMYFUNCTION("TEXTJOIN("" / "", TRUE, FILTER(TO_TEXT(SPLIT($AZ$4, "" / "")), NOT(REGEXMATCH(TO_TEXT(SPLIT($AZ$4, "" / "")), ""\b"" &amp; TEXTJOIN(""|"", TRUE, SPLIT(AW88, "" / "")) &amp; ""\b""))))"),"101 / 102 / 104 / 105 / 106 / 107 / 111 / 301 / 305 / 306 / 307 / 308 / 313 / 317 / 421 / 460")</f>
        <v>101 / 102 / 104 / 105 / 106 / 107 / 111 / 301 / 305 / 306 / 307 / 308 / 313 / 317 / 421 / 460</v>
      </c>
      <c r="AW88" s="178" t="str">
        <f>IFERROR(__xludf.DUMMYFUNCTION("TEXTJOIN("" / "", 1, SORT(UNIQUE(TRANSPOSE(SPLIT(TRIM(REGEXREPLACE(AW87,""([0-9]{3}[a-zA-Z]?)|."",""$1 "")), "" "")))))"),"103 / 108 / 209 / 300 / 303 / 304 / 312 / 314 / 316 / 318 / 320 / 321 / 461")</f>
        <v>103 / 108 / 209 / 300 / 303 / 304 / 312 / 314 / 316 / 318 / 320 / 321 / 461</v>
      </c>
      <c r="AX88" s="164"/>
      <c r="AY88" s="163"/>
      <c r="AZ88" s="163"/>
      <c r="BA88" s="163"/>
      <c r="BB88" s="163"/>
      <c r="BC88" s="163"/>
      <c r="BD88" s="163"/>
      <c r="BE88" s="163"/>
      <c r="BF88" s="163"/>
      <c r="BG88" s="163"/>
      <c r="BH88" s="163"/>
      <c r="BI88" s="163"/>
      <c r="BJ88" s="163"/>
      <c r="BK88" s="163"/>
      <c r="BL88" s="163"/>
      <c r="BM88" s="163"/>
      <c r="BN88" s="163"/>
      <c r="BO88" s="163"/>
      <c r="BP88" s="163"/>
      <c r="BQ88" s="163"/>
      <c r="BR88" s="163"/>
      <c r="BS88" s="163"/>
      <c r="BT88" s="163"/>
      <c r="BU88" s="163"/>
      <c r="BV88" s="163"/>
      <c r="BW88" s="163"/>
      <c r="BX88" s="163"/>
      <c r="BY88" s="163"/>
      <c r="BZ88" s="163"/>
      <c r="CA88" s="163"/>
      <c r="CB88" s="163"/>
      <c r="CC88" s="163"/>
      <c r="CD88" s="163"/>
      <c r="CE88" s="163"/>
      <c r="CF88" s="163"/>
      <c r="CG88" s="163"/>
      <c r="CH88" s="163"/>
    </row>
    <row r="89">
      <c r="A89" s="152" t="s">
        <v>59</v>
      </c>
      <c r="B89" s="158"/>
      <c r="C89" s="156"/>
      <c r="D89" s="156"/>
      <c r="E89" s="418" t="s">
        <v>366</v>
      </c>
      <c r="F89" s="156"/>
      <c r="G89" s="487" t="s">
        <v>366</v>
      </c>
      <c r="H89" s="159"/>
      <c r="I89" s="158"/>
      <c r="J89" s="418" t="s">
        <v>366</v>
      </c>
      <c r="K89" s="230"/>
      <c r="L89" s="158"/>
      <c r="M89" s="418" t="s">
        <v>366</v>
      </c>
      <c r="N89" s="154" t="s">
        <v>172</v>
      </c>
      <c r="O89" s="476" t="s">
        <v>375</v>
      </c>
      <c r="W89" s="23"/>
      <c r="X89" s="158"/>
      <c r="Y89" s="272" t="s">
        <v>226</v>
      </c>
      <c r="Z89" s="154" t="s">
        <v>174</v>
      </c>
      <c r="AA89" s="230"/>
      <c r="AB89" s="230"/>
      <c r="AC89" s="230"/>
      <c r="AD89" s="156"/>
      <c r="AE89" s="156"/>
      <c r="AF89" s="230"/>
      <c r="AG89" s="230"/>
      <c r="AH89" s="156"/>
      <c r="AI89" s="156"/>
      <c r="AJ89" s="230"/>
      <c r="AK89" s="230"/>
      <c r="AL89" s="152" t="s">
        <v>59</v>
      </c>
      <c r="AM89" s="159"/>
      <c r="AN89" s="228"/>
      <c r="AO89" s="228"/>
      <c r="AP89" s="382" t="s">
        <v>305</v>
      </c>
      <c r="AQ89" s="207" t="s">
        <v>257</v>
      </c>
      <c r="AS89" s="152" t="s">
        <v>59</v>
      </c>
      <c r="AT89" s="382" t="s">
        <v>376</v>
      </c>
      <c r="AU89" s="349"/>
      <c r="AV89" s="258"/>
      <c r="AW89" s="258"/>
      <c r="AX89" s="258"/>
      <c r="AY89" s="258"/>
      <c r="AZ89" s="258"/>
      <c r="BA89" s="258"/>
      <c r="BB89" s="258"/>
      <c r="BC89" s="258"/>
      <c r="BD89" s="258"/>
      <c r="BE89" s="258"/>
      <c r="BF89" s="258"/>
      <c r="BG89" s="258"/>
      <c r="BH89" s="258"/>
      <c r="BI89" s="258"/>
      <c r="BJ89" s="258"/>
      <c r="BK89" s="258"/>
      <c r="BL89" s="258"/>
      <c r="BM89" s="258"/>
      <c r="BN89" s="258"/>
      <c r="BO89" s="258"/>
      <c r="BP89" s="258"/>
      <c r="BQ89" s="258"/>
      <c r="BR89" s="258"/>
      <c r="BS89" s="258"/>
      <c r="BT89" s="258"/>
      <c r="BU89" s="258"/>
      <c r="BV89" s="258"/>
      <c r="BW89" s="258"/>
      <c r="BX89" s="258"/>
      <c r="BY89" s="258"/>
      <c r="BZ89" s="258"/>
      <c r="CA89" s="258"/>
      <c r="CB89" s="258"/>
      <c r="CC89" s="258"/>
      <c r="CD89" s="258"/>
      <c r="CE89" s="258"/>
      <c r="CF89" s="258"/>
      <c r="CG89" s="258"/>
      <c r="CH89" s="258"/>
    </row>
    <row r="90">
      <c r="A90" s="38"/>
      <c r="B90" s="488"/>
      <c r="C90" s="156"/>
      <c r="D90" s="156"/>
      <c r="E90" s="477" t="s">
        <v>370</v>
      </c>
      <c r="F90" s="156"/>
      <c r="G90" s="489" t="s">
        <v>167</v>
      </c>
      <c r="H90" s="159"/>
      <c r="I90" s="393"/>
      <c r="J90" s="477" t="s">
        <v>338</v>
      </c>
      <c r="K90" s="230"/>
      <c r="L90" s="393"/>
      <c r="M90" s="477" t="s">
        <v>179</v>
      </c>
      <c r="N90" s="23"/>
      <c r="O90" s="479" t="s">
        <v>371</v>
      </c>
      <c r="W90" s="23"/>
      <c r="X90" s="490"/>
      <c r="Y90" s="297" t="s">
        <v>235</v>
      </c>
      <c r="Z90" s="23"/>
      <c r="AA90" s="230"/>
      <c r="AB90" s="230"/>
      <c r="AC90" s="230"/>
      <c r="AD90" s="156"/>
      <c r="AE90" s="156"/>
      <c r="AF90" s="230"/>
      <c r="AG90" s="230"/>
      <c r="AH90" s="156"/>
      <c r="AI90" s="156"/>
      <c r="AJ90" s="230"/>
      <c r="AK90" s="230"/>
      <c r="AL90" s="38"/>
      <c r="AM90" s="159"/>
      <c r="AN90" s="161"/>
      <c r="AO90" s="161"/>
      <c r="AP90" s="386" t="s">
        <v>253</v>
      </c>
      <c r="AQ90" s="214" t="s">
        <v>258</v>
      </c>
      <c r="AS90" s="38"/>
      <c r="AT90" s="386" t="s">
        <v>377</v>
      </c>
      <c r="AU90" s="298"/>
      <c r="AV90" s="258"/>
      <c r="AW90" s="163" t="str">
        <f t="array" ref="AW90">TEXTJOIN(" | ", 1, A91:AT91)</f>
        <v>320 | 303 | 461 | 318 | 108 | 103 (316 ON 25/04) | ONLINE | ONLINE STARTS AT 15:00 | ONLINE</v>
      </c>
      <c r="AX90" s="258"/>
      <c r="AY90" s="258"/>
      <c r="AZ90" s="258"/>
      <c r="BA90" s="258"/>
      <c r="BB90" s="258"/>
      <c r="BC90" s="258"/>
      <c r="BD90" s="258"/>
      <c r="BE90" s="258"/>
      <c r="BF90" s="258"/>
      <c r="BG90" s="258"/>
      <c r="BH90" s="258"/>
      <c r="BI90" s="258"/>
      <c r="BJ90" s="258"/>
      <c r="BK90" s="258"/>
      <c r="BL90" s="258"/>
      <c r="BM90" s="258"/>
      <c r="BN90" s="258"/>
      <c r="BO90" s="258"/>
      <c r="BP90" s="258"/>
      <c r="BQ90" s="258"/>
      <c r="BR90" s="258"/>
      <c r="BS90" s="258"/>
      <c r="BT90" s="258"/>
      <c r="BU90" s="258"/>
      <c r="BV90" s="258"/>
      <c r="BW90" s="258"/>
      <c r="BX90" s="258"/>
      <c r="BY90" s="258"/>
      <c r="BZ90" s="258"/>
      <c r="CA90" s="258"/>
      <c r="CB90" s="258"/>
      <c r="CC90" s="258"/>
      <c r="CD90" s="258"/>
      <c r="CE90" s="258"/>
      <c r="CF90" s="258"/>
      <c r="CG90" s="258"/>
      <c r="CH90" s="258"/>
    </row>
    <row r="91">
      <c r="A91" s="44"/>
      <c r="B91" s="202"/>
      <c r="C91" s="172"/>
      <c r="D91" s="172"/>
      <c r="E91" s="483">
        <v>320.0</v>
      </c>
      <c r="F91" s="172"/>
      <c r="G91" s="446">
        <v>303.0</v>
      </c>
      <c r="H91" s="175"/>
      <c r="I91" s="174"/>
      <c r="J91" s="483">
        <v>461.0</v>
      </c>
      <c r="K91" s="243"/>
      <c r="L91" s="174"/>
      <c r="M91" s="483">
        <v>318.0</v>
      </c>
      <c r="N91" s="47"/>
      <c r="O91" s="486">
        <v>108.0</v>
      </c>
      <c r="P91" s="46"/>
      <c r="Q91" s="46"/>
      <c r="R91" s="46"/>
      <c r="S91" s="46"/>
      <c r="T91" s="46"/>
      <c r="U91" s="46"/>
      <c r="V91" s="46"/>
      <c r="W91" s="47"/>
      <c r="X91" s="457"/>
      <c r="Y91" s="290" t="s">
        <v>362</v>
      </c>
      <c r="Z91" s="47"/>
      <c r="AA91" s="243"/>
      <c r="AB91" s="243"/>
      <c r="AC91" s="243"/>
      <c r="AD91" s="172"/>
      <c r="AE91" s="172"/>
      <c r="AF91" s="243"/>
      <c r="AG91" s="243"/>
      <c r="AH91" s="172"/>
      <c r="AI91" s="172"/>
      <c r="AJ91" s="243"/>
      <c r="AK91" s="243"/>
      <c r="AL91" s="44"/>
      <c r="AM91" s="175"/>
      <c r="AN91" s="177"/>
      <c r="AO91" s="177"/>
      <c r="AP91" s="390" t="s">
        <v>137</v>
      </c>
      <c r="AQ91" s="491" t="s">
        <v>378</v>
      </c>
      <c r="AS91" s="44"/>
      <c r="AT91" s="390" t="s">
        <v>137</v>
      </c>
      <c r="AU91" s="355"/>
      <c r="AV91" s="164" t="str">
        <f>IFERROR(__xludf.DUMMYFUNCTION("TEXTJOIN("" / "", TRUE, FILTER(TO_TEXT(SPLIT($AZ$4, "" / "")), NOT(REGEXMATCH(TO_TEXT(SPLIT($AZ$4, "" / "")), ""\b"" &amp; TEXTJOIN(""|"", TRUE, SPLIT(AW91, "" / "")) &amp; ""\b""))))"),"101 / 102 / 104 / 105 / 106 / 107 / 111 / 209 / 300 / 301 / 304 / 305 / 306 / 307 / 308 / 312 / 313 / 314 / 317 / 321 / 421 / 460")</f>
        <v>101 / 102 / 104 / 105 / 106 / 107 / 111 / 209 / 300 / 301 / 304 / 305 / 306 / 307 / 308 / 312 / 313 / 314 / 317 / 321 / 421 / 460</v>
      </c>
      <c r="AW91" s="178" t="str">
        <f>IFERROR(__xludf.DUMMYFUNCTION("TEXTJOIN("" / "", 1, SORT(UNIQUE(TRANSPOSE(SPLIT(TRIM(REGEXREPLACE(AW90,""([0-9]{3}[a-zA-Z]?)|."",""$1 "")), "" "")))))"),"103 / 108 / 303 / 316 / 318 / 320 / 461")</f>
        <v>103 / 108 / 303 / 316 / 318 / 320 / 461</v>
      </c>
      <c r="AX91" s="164"/>
      <c r="AY91" s="163"/>
      <c r="AZ91" s="163"/>
      <c r="BA91" s="163"/>
      <c r="BB91" s="163"/>
      <c r="BC91" s="163"/>
      <c r="BD91" s="163"/>
      <c r="BE91" s="163"/>
      <c r="BF91" s="163"/>
      <c r="BG91" s="163"/>
      <c r="BH91" s="163"/>
      <c r="BI91" s="163"/>
      <c r="BJ91" s="163"/>
      <c r="BK91" s="163"/>
      <c r="BL91" s="163"/>
      <c r="BM91" s="163"/>
      <c r="BN91" s="163"/>
      <c r="BO91" s="163"/>
      <c r="BP91" s="163"/>
      <c r="BQ91" s="163"/>
      <c r="BR91" s="163"/>
      <c r="BS91" s="163"/>
      <c r="BT91" s="163"/>
      <c r="BU91" s="163"/>
      <c r="BV91" s="163"/>
      <c r="BW91" s="163"/>
      <c r="BX91" s="163"/>
      <c r="BY91" s="163"/>
      <c r="BZ91" s="163"/>
      <c r="CA91" s="163"/>
      <c r="CB91" s="163"/>
      <c r="CC91" s="163"/>
      <c r="CD91" s="163"/>
      <c r="CE91" s="163"/>
      <c r="CF91" s="163"/>
      <c r="CG91" s="163"/>
      <c r="CH91" s="163"/>
    </row>
    <row r="92">
      <c r="A92" s="152" t="s">
        <v>64</v>
      </c>
      <c r="B92" s="158"/>
      <c r="C92" s="158"/>
      <c r="D92" s="418" t="s">
        <v>366</v>
      </c>
      <c r="E92" s="158"/>
      <c r="F92" s="156"/>
      <c r="G92" s="158"/>
      <c r="H92" s="418" t="s">
        <v>366</v>
      </c>
      <c r="I92" s="158"/>
      <c r="J92" s="158"/>
      <c r="K92" s="418" t="s">
        <v>366</v>
      </c>
      <c r="L92" s="158"/>
      <c r="M92" s="158"/>
      <c r="N92" s="154" t="s">
        <v>184</v>
      </c>
      <c r="O92" s="492" t="s">
        <v>379</v>
      </c>
      <c r="P92" s="256" t="s">
        <v>197</v>
      </c>
      <c r="Q92" s="492" t="s">
        <v>379</v>
      </c>
      <c r="R92" s="492" t="s">
        <v>379</v>
      </c>
      <c r="S92" s="63"/>
      <c r="T92" s="461" t="s">
        <v>357</v>
      </c>
      <c r="U92" s="492" t="s">
        <v>379</v>
      </c>
      <c r="V92" s="492" t="s">
        <v>379</v>
      </c>
      <c r="W92" s="256" t="s">
        <v>197</v>
      </c>
      <c r="X92" s="158"/>
      <c r="Y92" s="230"/>
      <c r="Z92" s="154" t="s">
        <v>185</v>
      </c>
      <c r="AA92" s="230"/>
      <c r="AB92" s="230"/>
      <c r="AC92" s="230"/>
      <c r="AD92" s="230"/>
      <c r="AE92" s="230"/>
      <c r="AF92" s="230"/>
      <c r="AG92" s="230"/>
      <c r="AH92" s="230"/>
      <c r="AI92" s="230"/>
      <c r="AJ92" s="230"/>
      <c r="AK92" s="230"/>
      <c r="AL92" s="152" t="s">
        <v>64</v>
      </c>
      <c r="AM92" s="159"/>
      <c r="AN92" s="228"/>
      <c r="AO92" s="156"/>
      <c r="AP92" s="415" t="s">
        <v>380</v>
      </c>
      <c r="AQ92" s="156"/>
      <c r="AR92" s="63"/>
      <c r="AS92" s="152" t="s">
        <v>64</v>
      </c>
      <c r="AT92" s="493" t="s">
        <v>376</v>
      </c>
      <c r="AU92" s="494"/>
      <c r="AV92" s="258"/>
      <c r="AW92" s="258"/>
      <c r="AX92" s="258"/>
      <c r="AY92" s="258"/>
      <c r="AZ92" s="258"/>
      <c r="BA92" s="258"/>
      <c r="BB92" s="258"/>
      <c r="BC92" s="258"/>
      <c r="BD92" s="258"/>
      <c r="BE92" s="258"/>
      <c r="BF92" s="258"/>
      <c r="BG92" s="258"/>
      <c r="BH92" s="258"/>
      <c r="BI92" s="258"/>
      <c r="BJ92" s="258"/>
      <c r="BK92" s="258"/>
      <c r="BL92" s="258"/>
      <c r="BM92" s="258"/>
      <c r="BN92" s="258"/>
      <c r="BO92" s="258"/>
      <c r="BP92" s="258"/>
      <c r="BQ92" s="258"/>
      <c r="BR92" s="258"/>
      <c r="BS92" s="258"/>
      <c r="BT92" s="258"/>
      <c r="BU92" s="258"/>
      <c r="BV92" s="258"/>
      <c r="BW92" s="258"/>
      <c r="BX92" s="258"/>
      <c r="BY92" s="258"/>
      <c r="BZ92" s="258"/>
      <c r="CA92" s="258"/>
      <c r="CB92" s="258"/>
      <c r="CC92" s="258"/>
      <c r="CD92" s="258"/>
      <c r="CE92" s="258"/>
      <c r="CF92" s="258"/>
      <c r="CG92" s="258"/>
      <c r="CH92" s="258"/>
    </row>
    <row r="93">
      <c r="A93" s="38"/>
      <c r="B93" s="393"/>
      <c r="C93" s="393"/>
      <c r="D93" s="477" t="s">
        <v>370</v>
      </c>
      <c r="E93" s="393"/>
      <c r="F93" s="156"/>
      <c r="G93" s="393"/>
      <c r="H93" s="477" t="s">
        <v>167</v>
      </c>
      <c r="I93" s="393"/>
      <c r="J93" s="393"/>
      <c r="K93" s="477" t="s">
        <v>179</v>
      </c>
      <c r="L93" s="393"/>
      <c r="M93" s="393"/>
      <c r="N93" s="23"/>
      <c r="O93" s="385" t="s">
        <v>233</v>
      </c>
      <c r="P93" s="262" t="s">
        <v>215</v>
      </c>
      <c r="Q93" s="385" t="s">
        <v>56</v>
      </c>
      <c r="R93" s="385" t="s">
        <v>381</v>
      </c>
      <c r="S93" s="69"/>
      <c r="T93" s="495" t="s">
        <v>217</v>
      </c>
      <c r="U93" s="385" t="s">
        <v>382</v>
      </c>
      <c r="V93" s="385" t="s">
        <v>383</v>
      </c>
      <c r="W93" s="262" t="s">
        <v>202</v>
      </c>
      <c r="X93" s="154"/>
      <c r="Y93" s="230"/>
      <c r="Z93" s="23"/>
      <c r="AA93" s="230"/>
      <c r="AB93" s="230"/>
      <c r="AC93" s="230"/>
      <c r="AD93" s="230"/>
      <c r="AE93" s="230"/>
      <c r="AF93" s="230"/>
      <c r="AG93" s="230"/>
      <c r="AH93" s="230"/>
      <c r="AI93" s="230"/>
      <c r="AJ93" s="230"/>
      <c r="AK93" s="230"/>
      <c r="AL93" s="38"/>
      <c r="AM93" s="159"/>
      <c r="AN93" s="161"/>
      <c r="AO93" s="156"/>
      <c r="AP93" s="423" t="s">
        <v>384</v>
      </c>
      <c r="AQ93" s="156"/>
      <c r="AR93" s="69"/>
      <c r="AS93" s="38"/>
      <c r="AT93" s="386" t="s">
        <v>377</v>
      </c>
      <c r="AU93" s="298"/>
      <c r="AV93" s="258"/>
      <c r="AW93" s="300" t="str">
        <f t="array" ref="AW93">TEXTJOIN(" | ", 1, A94:AT94)</f>
        <v>320 | 303 | 318 | 101 | 209 | 421 | 308 | 316 | 312 | 460 | 461 | ONLINE | ONLINE</v>
      </c>
      <c r="AX93" s="258"/>
      <c r="AY93" s="258"/>
      <c r="AZ93" s="258"/>
      <c r="BA93" s="258"/>
      <c r="BB93" s="258"/>
      <c r="BC93" s="258"/>
      <c r="BD93" s="258"/>
      <c r="BE93" s="258"/>
      <c r="BF93" s="258"/>
      <c r="BG93" s="258"/>
      <c r="BH93" s="258"/>
      <c r="BI93" s="258"/>
      <c r="BJ93" s="258"/>
      <c r="BK93" s="258"/>
      <c r="BL93" s="258"/>
      <c r="BM93" s="258"/>
      <c r="BN93" s="258"/>
      <c r="BO93" s="258"/>
      <c r="BP93" s="258"/>
      <c r="BQ93" s="258"/>
      <c r="BR93" s="258"/>
      <c r="BS93" s="258"/>
      <c r="BT93" s="258"/>
      <c r="BU93" s="258"/>
      <c r="BV93" s="258"/>
      <c r="BW93" s="258"/>
      <c r="BX93" s="258"/>
      <c r="BY93" s="258"/>
      <c r="BZ93" s="258"/>
      <c r="CA93" s="258"/>
      <c r="CB93" s="258"/>
      <c r="CC93" s="258"/>
      <c r="CD93" s="258"/>
      <c r="CE93" s="258"/>
      <c r="CF93" s="258"/>
      <c r="CG93" s="258"/>
      <c r="CH93" s="258"/>
    </row>
    <row r="94">
      <c r="A94" s="44"/>
      <c r="B94" s="174"/>
      <c r="C94" s="174"/>
      <c r="D94" s="483">
        <v>320.0</v>
      </c>
      <c r="E94" s="174"/>
      <c r="F94" s="172"/>
      <c r="G94" s="174"/>
      <c r="H94" s="483">
        <v>303.0</v>
      </c>
      <c r="I94" s="174"/>
      <c r="J94" s="174"/>
      <c r="K94" s="483">
        <v>318.0</v>
      </c>
      <c r="L94" s="174"/>
      <c r="M94" s="174"/>
      <c r="N94" s="47"/>
      <c r="O94" s="496">
        <v>101.0</v>
      </c>
      <c r="P94" s="265">
        <v>209.0</v>
      </c>
      <c r="Q94" s="496">
        <v>421.0</v>
      </c>
      <c r="R94" s="496">
        <v>308.0</v>
      </c>
      <c r="S94" s="76"/>
      <c r="T94" s="497">
        <v>316.0</v>
      </c>
      <c r="U94" s="496">
        <v>312.0</v>
      </c>
      <c r="V94" s="496">
        <v>460.0</v>
      </c>
      <c r="W94" s="265">
        <v>461.0</v>
      </c>
      <c r="X94" s="457"/>
      <c r="Y94" s="243"/>
      <c r="Z94" s="47"/>
      <c r="AA94" s="243"/>
      <c r="AB94" s="243"/>
      <c r="AC94" s="243"/>
      <c r="AD94" s="243"/>
      <c r="AE94" s="243"/>
      <c r="AF94" s="243"/>
      <c r="AG94" s="243"/>
      <c r="AH94" s="243"/>
      <c r="AI94" s="243"/>
      <c r="AJ94" s="243"/>
      <c r="AK94" s="243"/>
      <c r="AL94" s="44"/>
      <c r="AM94" s="175"/>
      <c r="AN94" s="177"/>
      <c r="AO94" s="172"/>
      <c r="AP94" s="430" t="s">
        <v>137</v>
      </c>
      <c r="AQ94" s="172"/>
      <c r="AR94" s="76"/>
      <c r="AS94" s="44"/>
      <c r="AT94" s="390" t="s">
        <v>137</v>
      </c>
      <c r="AU94" s="355"/>
      <c r="AV94" s="164" t="str">
        <f>IFERROR(__xludf.DUMMYFUNCTION("TEXTJOIN("" / "", TRUE, FILTER(TO_TEXT(SPLIT($AZ$4, "" / "")), NOT(REGEXMATCH(TO_TEXT(SPLIT($AZ$4, "" / "")), ""\b"" &amp; TEXTJOIN(""|"", TRUE, SPLIT(AW94, "" / "")) &amp; ""\b""))))"),"102 / 103 / 104 / 105 / 106 / 107 / 108 / 111 / 300 / 301 / 304 / 305 / 306 / 307 / 313 / 314 / 317 / 321")</f>
        <v>102 / 103 / 104 / 105 / 106 / 107 / 108 / 111 / 300 / 301 / 304 / 305 / 306 / 307 / 313 / 314 / 317 / 321</v>
      </c>
      <c r="AW94" s="178" t="str">
        <f>IFERROR(__xludf.DUMMYFUNCTION("TEXTJOIN("" / "", 1, SORT(UNIQUE(TRANSPOSE(SPLIT(TRIM(REGEXREPLACE(AW93,""([0-9]{3}[a-zA-Z]?)|."",""$1 "")), "" "")))))"),"101 / 209 / 303 / 308 / 312 / 316 / 318 / 320 / 421 / 460 / 461")</f>
        <v>101 / 209 / 303 / 308 / 312 / 316 / 318 / 320 / 421 / 460 / 461</v>
      </c>
      <c r="AX94" s="164"/>
      <c r="AY94" s="163"/>
      <c r="AZ94" s="163"/>
      <c r="BA94" s="163"/>
      <c r="BB94" s="163"/>
      <c r="BC94" s="163"/>
      <c r="BD94" s="163"/>
      <c r="BE94" s="163"/>
      <c r="BF94" s="163"/>
      <c r="BG94" s="163"/>
      <c r="BH94" s="163"/>
      <c r="BI94" s="163"/>
      <c r="BJ94" s="163"/>
      <c r="BK94" s="163"/>
      <c r="BL94" s="163"/>
      <c r="BM94" s="163"/>
      <c r="BN94" s="163"/>
      <c r="BO94" s="163"/>
      <c r="BP94" s="163"/>
      <c r="BQ94" s="163"/>
      <c r="BR94" s="163"/>
      <c r="BS94" s="163"/>
      <c r="BT94" s="163"/>
      <c r="BU94" s="163"/>
      <c r="BV94" s="163"/>
      <c r="BW94" s="163"/>
      <c r="BX94" s="163"/>
      <c r="BY94" s="163"/>
      <c r="BZ94" s="163"/>
      <c r="CA94" s="163"/>
      <c r="CB94" s="163"/>
      <c r="CC94" s="163"/>
      <c r="CD94" s="163"/>
      <c r="CE94" s="163"/>
      <c r="CF94" s="163"/>
      <c r="CG94" s="163"/>
      <c r="CH94" s="163"/>
    </row>
    <row r="95">
      <c r="A95" s="152" t="s">
        <v>66</v>
      </c>
      <c r="B95" s="230"/>
      <c r="C95" s="230"/>
      <c r="D95" s="230"/>
      <c r="E95" s="230"/>
      <c r="F95" s="230"/>
      <c r="G95" s="230"/>
      <c r="H95" s="156"/>
      <c r="I95" s="158"/>
      <c r="J95" s="156"/>
      <c r="K95" s="158"/>
      <c r="L95" s="158"/>
      <c r="M95" s="227"/>
      <c r="N95" s="498" t="s">
        <v>191</v>
      </c>
      <c r="O95" s="156"/>
      <c r="P95" s="492" t="s">
        <v>379</v>
      </c>
      <c r="Q95" s="156"/>
      <c r="R95" s="63"/>
      <c r="S95" s="499" t="s">
        <v>379</v>
      </c>
      <c r="T95" s="492" t="s">
        <v>379</v>
      </c>
      <c r="U95" s="470" t="s">
        <v>357</v>
      </c>
      <c r="V95" s="256" t="s">
        <v>197</v>
      </c>
      <c r="W95" s="492" t="s">
        <v>379</v>
      </c>
      <c r="X95" s="158"/>
      <c r="Y95" s="230"/>
      <c r="Z95" s="154" t="s">
        <v>192</v>
      </c>
      <c r="AA95" s="230"/>
      <c r="AB95" s="230"/>
      <c r="AC95" s="230"/>
      <c r="AD95" s="230"/>
      <c r="AE95" s="230"/>
      <c r="AF95" s="230"/>
      <c r="AG95" s="230"/>
      <c r="AH95" s="227"/>
      <c r="AI95" s="156"/>
      <c r="AJ95" s="230"/>
      <c r="AK95" s="230"/>
      <c r="AL95" s="154" t="s">
        <v>66</v>
      </c>
      <c r="AM95" s="156"/>
      <c r="AN95" s="156"/>
      <c r="AO95" s="228"/>
      <c r="AP95" s="63"/>
      <c r="AQ95" s="228"/>
      <c r="AR95" s="63"/>
      <c r="AS95" s="152" t="s">
        <v>66</v>
      </c>
      <c r="AT95" s="330" t="s">
        <v>266</v>
      </c>
      <c r="AU95" s="500"/>
      <c r="AV95" s="258"/>
      <c r="AW95" s="258"/>
      <c r="AX95" s="258"/>
      <c r="AY95" s="258"/>
      <c r="AZ95" s="258"/>
      <c r="BA95" s="258"/>
      <c r="BB95" s="258"/>
      <c r="BC95" s="258"/>
      <c r="BD95" s="258"/>
      <c r="BE95" s="258"/>
      <c r="BF95" s="258"/>
      <c r="BG95" s="258"/>
      <c r="BH95" s="258"/>
      <c r="BI95" s="258"/>
      <c r="BJ95" s="258"/>
      <c r="BK95" s="258"/>
      <c r="BL95" s="258"/>
      <c r="BM95" s="258"/>
      <c r="BN95" s="258"/>
      <c r="BO95" s="258"/>
      <c r="BP95" s="258"/>
      <c r="BQ95" s="258"/>
      <c r="BR95" s="258"/>
      <c r="BS95" s="258"/>
      <c r="BT95" s="258"/>
      <c r="BU95" s="258"/>
      <c r="BV95" s="258"/>
      <c r="BW95" s="258"/>
      <c r="BX95" s="258"/>
      <c r="BY95" s="258"/>
      <c r="BZ95" s="258"/>
      <c r="CA95" s="258"/>
      <c r="CB95" s="258"/>
      <c r="CC95" s="258"/>
      <c r="CD95" s="258"/>
      <c r="CE95" s="258"/>
      <c r="CF95" s="258"/>
      <c r="CG95" s="258"/>
      <c r="CH95" s="258"/>
    </row>
    <row r="96">
      <c r="A96" s="38"/>
      <c r="B96" s="230"/>
      <c r="C96" s="230"/>
      <c r="D96" s="230"/>
      <c r="E96" s="230"/>
      <c r="F96" s="230"/>
      <c r="G96" s="230"/>
      <c r="H96" s="156"/>
      <c r="I96" s="393"/>
      <c r="J96" s="156"/>
      <c r="K96" s="393"/>
      <c r="L96" s="393"/>
      <c r="M96" s="234"/>
      <c r="N96" s="38"/>
      <c r="O96" s="156"/>
      <c r="P96" s="385" t="s">
        <v>233</v>
      </c>
      <c r="Q96" s="156"/>
      <c r="R96" s="69"/>
      <c r="S96" s="501" t="s">
        <v>381</v>
      </c>
      <c r="T96" s="385" t="s">
        <v>382</v>
      </c>
      <c r="U96" s="473" t="s">
        <v>78</v>
      </c>
      <c r="V96" s="262" t="s">
        <v>202</v>
      </c>
      <c r="W96" s="502" t="s">
        <v>383</v>
      </c>
      <c r="X96" s="154"/>
      <c r="Y96" s="230"/>
      <c r="Z96" s="23"/>
      <c r="AA96" s="230"/>
      <c r="AB96" s="230"/>
      <c r="AC96" s="230"/>
      <c r="AD96" s="230"/>
      <c r="AE96" s="230"/>
      <c r="AF96" s="230"/>
      <c r="AG96" s="230"/>
      <c r="AH96" s="234"/>
      <c r="AI96" s="156"/>
      <c r="AJ96" s="230"/>
      <c r="AK96" s="230"/>
      <c r="AL96" s="23"/>
      <c r="AM96" s="156"/>
      <c r="AN96" s="156"/>
      <c r="AO96" s="161"/>
      <c r="AP96" s="69"/>
      <c r="AQ96" s="161"/>
      <c r="AR96" s="69"/>
      <c r="AS96" s="38"/>
      <c r="AT96" s="321" t="s">
        <v>254</v>
      </c>
      <c r="AU96" s="152"/>
      <c r="AV96" s="258"/>
      <c r="AW96" s="163" t="str">
        <f t="array" ref="AW96">TEXTJOIN(" | ", 1, A97:AT97)</f>
        <v>101 | 308 | 312 | 316 | 461 | 460 | 320 ON 18/04</v>
      </c>
      <c r="AX96" s="258"/>
      <c r="AY96" s="258"/>
      <c r="AZ96" s="258"/>
      <c r="BA96" s="258"/>
      <c r="BB96" s="258"/>
      <c r="BC96" s="258"/>
      <c r="BD96" s="258"/>
      <c r="BE96" s="258"/>
      <c r="BF96" s="258"/>
      <c r="BG96" s="258"/>
      <c r="BH96" s="258"/>
      <c r="BI96" s="258"/>
      <c r="BJ96" s="258"/>
      <c r="BK96" s="258"/>
      <c r="BL96" s="258"/>
      <c r="BM96" s="258"/>
      <c r="BN96" s="258"/>
      <c r="BO96" s="258"/>
      <c r="BP96" s="258"/>
      <c r="BQ96" s="258"/>
      <c r="BR96" s="258"/>
      <c r="BS96" s="258"/>
      <c r="BT96" s="258"/>
      <c r="BU96" s="258"/>
      <c r="BV96" s="258"/>
      <c r="BW96" s="258"/>
      <c r="BX96" s="258"/>
      <c r="BY96" s="258"/>
      <c r="BZ96" s="258"/>
      <c r="CA96" s="258"/>
      <c r="CB96" s="258"/>
      <c r="CC96" s="258"/>
      <c r="CD96" s="258"/>
      <c r="CE96" s="258"/>
      <c r="CF96" s="258"/>
      <c r="CG96" s="258"/>
      <c r="CH96" s="258"/>
    </row>
    <row r="97">
      <c r="A97" s="44"/>
      <c r="B97" s="243"/>
      <c r="C97" s="243"/>
      <c r="D97" s="243"/>
      <c r="E97" s="243"/>
      <c r="F97" s="243"/>
      <c r="G97" s="243"/>
      <c r="H97" s="172"/>
      <c r="I97" s="174"/>
      <c r="J97" s="172"/>
      <c r="K97" s="174"/>
      <c r="L97" s="174"/>
      <c r="M97" s="240"/>
      <c r="N97" s="44"/>
      <c r="O97" s="172"/>
      <c r="P97" s="496">
        <v>101.0</v>
      </c>
      <c r="Q97" s="172"/>
      <c r="R97" s="76"/>
      <c r="S97" s="496">
        <v>308.0</v>
      </c>
      <c r="T97" s="496">
        <v>312.0</v>
      </c>
      <c r="U97" s="503">
        <v>316.0</v>
      </c>
      <c r="V97" s="504">
        <v>461.0</v>
      </c>
      <c r="W97" s="496">
        <v>460.0</v>
      </c>
      <c r="X97" s="457"/>
      <c r="Y97" s="243"/>
      <c r="Z97" s="47"/>
      <c r="AA97" s="243"/>
      <c r="AB97" s="243"/>
      <c r="AC97" s="243"/>
      <c r="AD97" s="243"/>
      <c r="AE97" s="243"/>
      <c r="AF97" s="243"/>
      <c r="AG97" s="243"/>
      <c r="AH97" s="240"/>
      <c r="AI97" s="172"/>
      <c r="AJ97" s="243"/>
      <c r="AK97" s="243"/>
      <c r="AL97" s="47"/>
      <c r="AM97" s="172"/>
      <c r="AN97" s="172"/>
      <c r="AO97" s="177"/>
      <c r="AP97" s="76"/>
      <c r="AQ97" s="177"/>
      <c r="AR97" s="76"/>
      <c r="AS97" s="44"/>
      <c r="AT97" s="266" t="s">
        <v>385</v>
      </c>
      <c r="AU97" s="323"/>
      <c r="AV97" s="164" t="str">
        <f>IFERROR(__xludf.DUMMYFUNCTION("TEXTJOIN("" / "", TRUE, FILTER(TO_TEXT(SPLIT($AZ$4, "" / "")), NOT(REGEXMATCH(TO_TEXT(SPLIT($AZ$4, "" / "")), ""\b"" &amp; TEXTJOIN(""|"", TRUE, SPLIT(AW97, "" / "")) &amp; ""\b""))))"),"102 / 103 / 104 / 105 / 106 / 107 / 108 / 111 / 209 / 300 / 301 / 303 / 304 / 305 / 306 / 307 / 313 / 314 / 317 / 318 / 321 / 421")</f>
        <v>102 / 103 / 104 / 105 / 106 / 107 / 108 / 111 / 209 / 300 / 301 / 303 / 304 / 305 / 306 / 307 / 313 / 314 / 317 / 318 / 321 / 421</v>
      </c>
      <c r="AW97" s="178" t="str">
        <f>IFERROR(__xludf.DUMMYFUNCTION("TEXTJOIN("" / "", 1, SORT(UNIQUE(TRANSPOSE(SPLIT(TRIM(REGEXREPLACE(AW96,""([0-9]{3}[a-zA-Z]?)|."",""$1 "")), "" "")))))"),"101 / 308 / 312 / 316 / 320 / 460 / 461")</f>
        <v>101 / 308 / 312 / 316 / 320 / 460 / 461</v>
      </c>
      <c r="AX97" s="163"/>
      <c r="AY97" s="163"/>
      <c r="AZ97" s="163"/>
      <c r="BA97" s="163"/>
      <c r="BB97" s="163"/>
      <c r="BC97" s="163"/>
      <c r="BD97" s="163"/>
      <c r="BE97" s="163"/>
      <c r="BF97" s="163"/>
      <c r="BG97" s="163"/>
      <c r="BH97" s="163"/>
      <c r="BI97" s="163"/>
      <c r="BJ97" s="163"/>
      <c r="BK97" s="163"/>
      <c r="BL97" s="163"/>
      <c r="BM97" s="163"/>
      <c r="BN97" s="163"/>
      <c r="BO97" s="163"/>
      <c r="BP97" s="163"/>
      <c r="BQ97" s="163"/>
      <c r="BR97" s="163"/>
      <c r="BS97" s="163"/>
      <c r="BT97" s="163"/>
      <c r="BU97" s="163"/>
      <c r="BV97" s="163"/>
      <c r="BW97" s="163"/>
      <c r="BX97" s="163"/>
      <c r="BY97" s="163"/>
      <c r="BZ97" s="163"/>
      <c r="CA97" s="163"/>
      <c r="CB97" s="163"/>
      <c r="CC97" s="163"/>
      <c r="CD97" s="163"/>
      <c r="CE97" s="163"/>
      <c r="CF97" s="163"/>
      <c r="CG97" s="163"/>
      <c r="CH97" s="163"/>
    </row>
    <row r="98">
      <c r="A98" s="147" t="s">
        <v>103</v>
      </c>
      <c r="B98" s="148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7"/>
      <c r="N98" s="149" t="s">
        <v>103</v>
      </c>
      <c r="O98" s="148"/>
      <c r="P98" s="46"/>
      <c r="Q98" s="46"/>
      <c r="R98" s="46"/>
      <c r="S98" s="46"/>
      <c r="T98" s="46"/>
      <c r="U98" s="46"/>
      <c r="V98" s="46"/>
      <c r="W98" s="46"/>
      <c r="X98" s="46"/>
      <c r="Y98" s="47"/>
      <c r="Z98" s="149" t="s">
        <v>103</v>
      </c>
      <c r="AA98" s="148"/>
      <c r="AB98" s="46"/>
      <c r="AC98" s="46"/>
      <c r="AD98" s="46"/>
      <c r="AE98" s="46"/>
      <c r="AF98" s="46"/>
      <c r="AG98" s="46"/>
      <c r="AH98" s="46"/>
      <c r="AI98" s="46"/>
      <c r="AJ98" s="46"/>
      <c r="AK98" s="47"/>
      <c r="AL98" s="149" t="s">
        <v>103</v>
      </c>
      <c r="AM98" s="148"/>
      <c r="AN98" s="46"/>
      <c r="AO98" s="46"/>
      <c r="AP98" s="46"/>
      <c r="AQ98" s="46"/>
      <c r="AR98" s="47"/>
      <c r="AS98" s="149" t="s">
        <v>103</v>
      </c>
      <c r="AT98" s="326"/>
      <c r="AU98" s="326"/>
      <c r="AV98" s="151"/>
      <c r="AW98" s="151"/>
      <c r="AX98" s="151"/>
      <c r="AY98" s="151"/>
      <c r="AZ98" s="151"/>
      <c r="BA98" s="151"/>
      <c r="BB98" s="151"/>
      <c r="BC98" s="151"/>
      <c r="BD98" s="151"/>
      <c r="BE98" s="151"/>
      <c r="BF98" s="151"/>
      <c r="BG98" s="151"/>
      <c r="BH98" s="151"/>
      <c r="BI98" s="151"/>
      <c r="BJ98" s="151"/>
      <c r="BK98" s="151"/>
      <c r="BL98" s="151"/>
      <c r="BM98" s="151"/>
      <c r="BN98" s="151"/>
      <c r="BO98" s="151"/>
      <c r="BP98" s="151"/>
      <c r="BQ98" s="151"/>
      <c r="BR98" s="151"/>
      <c r="BS98" s="151"/>
      <c r="BT98" s="151"/>
      <c r="BU98" s="151"/>
      <c r="BV98" s="151"/>
      <c r="BW98" s="151"/>
      <c r="BX98" s="151"/>
      <c r="BY98" s="151"/>
      <c r="BZ98" s="151"/>
      <c r="CA98" s="151"/>
      <c r="CB98" s="151"/>
      <c r="CC98" s="151"/>
      <c r="CD98" s="151"/>
      <c r="CE98" s="151"/>
      <c r="CF98" s="151"/>
      <c r="CG98" s="151"/>
      <c r="CH98" s="151"/>
    </row>
    <row r="99">
      <c r="A99" s="152" t="s">
        <v>39</v>
      </c>
      <c r="B99" s="396" t="s">
        <v>85</v>
      </c>
      <c r="M99" s="23"/>
      <c r="N99" s="154" t="s">
        <v>128</v>
      </c>
      <c r="O99" s="396" t="s">
        <v>85</v>
      </c>
      <c r="Y99" s="23"/>
      <c r="Z99" s="154" t="s">
        <v>130</v>
      </c>
      <c r="AA99" s="396" t="s">
        <v>85</v>
      </c>
      <c r="AK99" s="23"/>
      <c r="AL99" s="154" t="s">
        <v>39</v>
      </c>
      <c r="AM99" s="156"/>
      <c r="AN99" s="156"/>
      <c r="AO99" s="156"/>
      <c r="AP99" s="156"/>
      <c r="AQ99" s="156"/>
      <c r="AR99" s="156"/>
      <c r="AS99" s="152" t="s">
        <v>39</v>
      </c>
      <c r="AT99" s="63"/>
      <c r="AU99" s="500"/>
      <c r="AV99" s="258"/>
      <c r="AW99" s="258"/>
      <c r="AX99" s="258"/>
      <c r="AY99" s="258"/>
      <c r="AZ99" s="258"/>
      <c r="BA99" s="258"/>
      <c r="BB99" s="258"/>
      <c r="BC99" s="258"/>
      <c r="BD99" s="258"/>
      <c r="BE99" s="258"/>
      <c r="BF99" s="258"/>
      <c r="BG99" s="258"/>
      <c r="BH99" s="258"/>
      <c r="BI99" s="258"/>
      <c r="BJ99" s="258"/>
      <c r="BK99" s="258"/>
      <c r="BL99" s="258"/>
      <c r="BM99" s="258"/>
      <c r="BN99" s="258"/>
      <c r="BO99" s="258"/>
      <c r="BP99" s="258"/>
      <c r="BQ99" s="258"/>
      <c r="BR99" s="258"/>
      <c r="BS99" s="258"/>
      <c r="BT99" s="258"/>
      <c r="BU99" s="258"/>
      <c r="BV99" s="258"/>
      <c r="BW99" s="258"/>
      <c r="BX99" s="258"/>
      <c r="BY99" s="258"/>
      <c r="BZ99" s="258"/>
      <c r="CA99" s="258"/>
      <c r="CB99" s="258"/>
      <c r="CC99" s="258"/>
      <c r="CD99" s="258"/>
      <c r="CE99" s="258"/>
      <c r="CF99" s="258"/>
      <c r="CG99" s="258"/>
      <c r="CH99" s="258"/>
    </row>
    <row r="100">
      <c r="A100" s="38"/>
      <c r="M100" s="23"/>
      <c r="N100" s="23"/>
      <c r="Y100" s="23"/>
      <c r="Z100" s="23"/>
      <c r="AK100" s="23"/>
      <c r="AL100" s="23"/>
      <c r="AM100" s="156"/>
      <c r="AN100" s="156"/>
      <c r="AO100" s="156"/>
      <c r="AP100" s="156"/>
      <c r="AQ100" s="156"/>
      <c r="AR100" s="156"/>
      <c r="AS100" s="38"/>
      <c r="AT100" s="69"/>
      <c r="AU100" s="152"/>
      <c r="AV100" s="258"/>
      <c r="AW100" s="163" t="str">
        <f t="array" ref="AW100">TEXTJOIN(" | ", 1, A101:AT101)</f>
        <v/>
      </c>
      <c r="AX100" s="164"/>
      <c r="AY100" s="258"/>
      <c r="AZ100" s="258"/>
      <c r="BA100" s="258"/>
      <c r="BB100" s="258"/>
      <c r="BC100" s="258"/>
      <c r="BD100" s="258"/>
      <c r="BE100" s="258"/>
      <c r="BF100" s="258"/>
      <c r="BG100" s="258"/>
      <c r="BH100" s="258"/>
      <c r="BI100" s="258"/>
      <c r="BJ100" s="258"/>
      <c r="BK100" s="258"/>
      <c r="BL100" s="258"/>
      <c r="BM100" s="258"/>
      <c r="BN100" s="258"/>
      <c r="BO100" s="258"/>
      <c r="BP100" s="258"/>
      <c r="BQ100" s="258"/>
      <c r="BR100" s="258"/>
      <c r="BS100" s="258"/>
      <c r="BT100" s="258"/>
      <c r="BU100" s="258"/>
      <c r="BV100" s="258"/>
      <c r="BW100" s="258"/>
      <c r="BX100" s="258"/>
      <c r="BY100" s="258"/>
      <c r="BZ100" s="258"/>
      <c r="CA100" s="258"/>
      <c r="CB100" s="258"/>
      <c r="CC100" s="258"/>
      <c r="CD100" s="258"/>
      <c r="CE100" s="258"/>
      <c r="CF100" s="258"/>
      <c r="CG100" s="258"/>
      <c r="CH100" s="258"/>
    </row>
    <row r="101">
      <c r="A101" s="44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7"/>
      <c r="N101" s="47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7"/>
      <c r="Z101" s="47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7"/>
      <c r="AL101" s="47"/>
      <c r="AM101" s="172"/>
      <c r="AN101" s="172"/>
      <c r="AO101" s="172"/>
      <c r="AP101" s="172"/>
      <c r="AQ101" s="172"/>
      <c r="AR101" s="172"/>
      <c r="AS101" s="44"/>
      <c r="AT101" s="76"/>
      <c r="AU101" s="323"/>
      <c r="AV101" s="164" t="str">
        <f>IFERROR(__xludf.DUMMYFUNCTION("TEXTJOIN("" / "", TRUE, FILTER(TO_TEXT(SPLIT($AZ$4, "" / "")), NOT(REGEXMATCH(TO_TEXT(SPLIT($AZ$4, "" / "")), ""\b"" &amp; TEXTJOIN(""|"", TRUE, SPLIT(AW101, "" / "")) &amp; ""\b""))))"),"#N/A")</f>
        <v>#N/A</v>
      </c>
      <c r="AW101" s="178" t="str">
        <f>IFERROR(__xludf.DUMMYFUNCTION("TEXTJOIN("" / "", 1, SORT(UNIQUE(TRANSPOSE(SPLIT(TRIM(REGEXREPLACE(AW100,""([0-9]{3}[a-zA-Z]?)|."",""$1 "")), "" "")))))"),"#VALUE!")</f>
        <v>#VALUE!</v>
      </c>
      <c r="AX101" s="164"/>
      <c r="AY101" s="163"/>
      <c r="AZ101" s="163"/>
      <c r="BA101" s="163"/>
      <c r="BB101" s="163"/>
      <c r="BC101" s="163"/>
      <c r="BD101" s="163"/>
      <c r="BE101" s="163"/>
      <c r="BF101" s="163"/>
      <c r="BG101" s="163"/>
      <c r="BH101" s="163"/>
      <c r="BI101" s="163"/>
      <c r="BJ101" s="163"/>
      <c r="BK101" s="163"/>
      <c r="BL101" s="163"/>
      <c r="BM101" s="163"/>
      <c r="BN101" s="163"/>
      <c r="BO101" s="163"/>
      <c r="BP101" s="163"/>
      <c r="BQ101" s="163"/>
      <c r="BR101" s="163"/>
      <c r="BS101" s="163"/>
      <c r="BT101" s="163"/>
      <c r="BU101" s="163"/>
      <c r="BV101" s="163"/>
      <c r="BW101" s="163"/>
      <c r="BX101" s="163"/>
      <c r="BY101" s="163"/>
      <c r="BZ101" s="163"/>
      <c r="CA101" s="163"/>
      <c r="CB101" s="163"/>
      <c r="CC101" s="163"/>
      <c r="CD101" s="163"/>
      <c r="CE101" s="163"/>
      <c r="CF101" s="163"/>
      <c r="CG101" s="163"/>
      <c r="CH101" s="163"/>
    </row>
    <row r="102">
      <c r="A102" s="152" t="s">
        <v>49</v>
      </c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154" t="s">
        <v>139</v>
      </c>
      <c r="O102" s="156"/>
      <c r="P102" s="156"/>
      <c r="Q102" s="156"/>
      <c r="R102" s="156"/>
      <c r="S102" s="156"/>
      <c r="T102" s="156"/>
      <c r="U102" s="156"/>
      <c r="V102" s="156"/>
      <c r="W102" s="156"/>
      <c r="X102" s="158"/>
      <c r="Y102" s="505"/>
      <c r="Z102" s="154" t="s">
        <v>145</v>
      </c>
      <c r="AA102" s="156"/>
      <c r="AB102" s="156"/>
      <c r="AC102" s="156"/>
      <c r="AD102" s="506" t="s">
        <v>386</v>
      </c>
      <c r="AE102" s="23"/>
      <c r="AF102" s="156"/>
      <c r="AG102" s="156"/>
      <c r="AH102" s="156"/>
      <c r="AI102" s="156"/>
      <c r="AJ102" s="156"/>
      <c r="AK102" s="63"/>
      <c r="AL102" s="154" t="s">
        <v>49</v>
      </c>
      <c r="AM102" s="156"/>
      <c r="AN102" s="156"/>
      <c r="AO102" s="156"/>
      <c r="AP102" s="232"/>
      <c r="AQ102" s="392" t="s">
        <v>308</v>
      </c>
      <c r="AR102" s="507"/>
      <c r="AS102" s="152" t="s">
        <v>49</v>
      </c>
      <c r="AT102" s="63"/>
      <c r="AU102" s="500"/>
      <c r="AV102" s="508"/>
      <c r="AW102" s="258"/>
      <c r="AX102" s="258"/>
      <c r="AY102" s="258"/>
      <c r="AZ102" s="258"/>
      <c r="BA102" s="258"/>
      <c r="BB102" s="258"/>
      <c r="BC102" s="258"/>
      <c r="BD102" s="258"/>
      <c r="BE102" s="258"/>
      <c r="BF102" s="258"/>
      <c r="BG102" s="258"/>
      <c r="BH102" s="258"/>
      <c r="BI102" s="258"/>
      <c r="BJ102" s="258"/>
      <c r="BK102" s="258"/>
      <c r="BL102" s="258"/>
      <c r="BM102" s="258"/>
      <c r="BN102" s="258"/>
      <c r="BO102" s="258"/>
      <c r="BP102" s="258"/>
      <c r="BQ102" s="258"/>
      <c r="BR102" s="258"/>
      <c r="BS102" s="258"/>
      <c r="BT102" s="258"/>
      <c r="BU102" s="258"/>
      <c r="BV102" s="258"/>
      <c r="BW102" s="258"/>
      <c r="BX102" s="258"/>
      <c r="BY102" s="258"/>
      <c r="BZ102" s="258"/>
      <c r="CA102" s="258"/>
      <c r="CB102" s="258"/>
      <c r="CC102" s="258"/>
      <c r="CD102" s="258"/>
      <c r="CE102" s="258"/>
      <c r="CF102" s="258"/>
      <c r="CG102" s="258"/>
      <c r="CH102" s="258"/>
    </row>
    <row r="103">
      <c r="A103" s="38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23"/>
      <c r="O103" s="156"/>
      <c r="P103" s="156"/>
      <c r="Q103" s="156"/>
      <c r="R103" s="156"/>
      <c r="S103" s="156"/>
      <c r="T103" s="156"/>
      <c r="U103" s="156"/>
      <c r="V103" s="156"/>
      <c r="W103" s="156"/>
      <c r="X103" s="154"/>
      <c r="Y103" s="156"/>
      <c r="Z103" s="23"/>
      <c r="AA103" s="156"/>
      <c r="AB103" s="156"/>
      <c r="AC103" s="156"/>
      <c r="AD103" s="509" t="s">
        <v>387</v>
      </c>
      <c r="AE103" s="23"/>
      <c r="AF103" s="156"/>
      <c r="AG103" s="156"/>
      <c r="AH103" s="156"/>
      <c r="AI103" s="156"/>
      <c r="AJ103" s="156"/>
      <c r="AK103" s="69"/>
      <c r="AL103" s="23"/>
      <c r="AM103" s="156"/>
      <c r="AN103" s="156"/>
      <c r="AO103" s="156"/>
      <c r="AP103" s="237"/>
      <c r="AQ103" s="192" t="s">
        <v>310</v>
      </c>
      <c r="AR103" s="298"/>
      <c r="AS103" s="38"/>
      <c r="AT103" s="69"/>
      <c r="AU103" s="152"/>
      <c r="AV103" s="508"/>
      <c r="AW103" s="163" t="str">
        <f t="array" ref="AW103">TEXTJOIN(" | ", 1, A104:AT104)</f>
        <v>107 ON 22/03, 5/04, 12/04, 19/04 (ONLINE ON 26/04) | 301 STARTS AT 11:10</v>
      </c>
      <c r="AX103" s="258"/>
      <c r="AY103" s="258"/>
      <c r="AZ103" s="258"/>
      <c r="BA103" s="258"/>
      <c r="BB103" s="258"/>
      <c r="BC103" s="258"/>
      <c r="BD103" s="258"/>
      <c r="BE103" s="258"/>
      <c r="BF103" s="258"/>
      <c r="BG103" s="258"/>
      <c r="BH103" s="258"/>
      <c r="BI103" s="258"/>
      <c r="BJ103" s="258"/>
      <c r="BK103" s="258"/>
      <c r="BL103" s="258"/>
      <c r="BM103" s="258"/>
      <c r="BN103" s="258"/>
      <c r="BO103" s="258"/>
      <c r="BP103" s="258"/>
      <c r="BQ103" s="258"/>
      <c r="BR103" s="258"/>
      <c r="BS103" s="258"/>
      <c r="BT103" s="258"/>
      <c r="BU103" s="258"/>
      <c r="BV103" s="258"/>
      <c r="BW103" s="258"/>
      <c r="BX103" s="258"/>
      <c r="BY103" s="258"/>
      <c r="BZ103" s="258"/>
      <c r="CA103" s="258"/>
      <c r="CB103" s="258"/>
      <c r="CC103" s="258"/>
      <c r="CD103" s="258"/>
      <c r="CE103" s="258"/>
      <c r="CF103" s="258"/>
      <c r="CG103" s="258"/>
      <c r="CH103" s="258"/>
    </row>
    <row r="104">
      <c r="A104" s="44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47"/>
      <c r="O104" s="172"/>
      <c r="P104" s="172"/>
      <c r="Q104" s="172"/>
      <c r="R104" s="172"/>
      <c r="S104" s="172"/>
      <c r="T104" s="172"/>
      <c r="U104" s="172"/>
      <c r="V104" s="172"/>
      <c r="W104" s="172"/>
      <c r="X104" s="457"/>
      <c r="Y104" s="172"/>
      <c r="Z104" s="47"/>
      <c r="AA104" s="172"/>
      <c r="AB104" s="172"/>
      <c r="AC104" s="172"/>
      <c r="AD104" s="510" t="s">
        <v>388</v>
      </c>
      <c r="AE104" s="47"/>
      <c r="AF104" s="172"/>
      <c r="AG104" s="172"/>
      <c r="AH104" s="172"/>
      <c r="AI104" s="172"/>
      <c r="AJ104" s="172"/>
      <c r="AK104" s="76"/>
      <c r="AL104" s="47"/>
      <c r="AM104" s="172"/>
      <c r="AN104" s="172"/>
      <c r="AO104" s="172"/>
      <c r="AP104" s="412"/>
      <c r="AQ104" s="395" t="s">
        <v>223</v>
      </c>
      <c r="AR104" s="355"/>
      <c r="AS104" s="44"/>
      <c r="AT104" s="76"/>
      <c r="AU104" s="323"/>
      <c r="AV104" s="164" t="str">
        <f>IFERROR(__xludf.DUMMYFUNCTION("TEXTJOIN("" / "", TRUE, FILTER(TO_TEXT(SPLIT($AZ$4, "" / "")), NOT(REGEXMATCH(TO_TEXT(SPLIT($AZ$4, "" / "")), ""\b"" &amp; TEXTJOIN(""|"", TRUE, SPLIT(AW104, "" / "")) &amp; ""\b""))))"),"101 / 102 / 103 / 104 / 105 / 106 / 108 / 111 / 209 / 300 / 303 / 304 / 305 / 306 / 307 / 308 / 312 / 313 / 314 / 316 / 317 / 318 / 320 / 321 / 421 / 460 / 461")</f>
        <v>101 / 102 / 103 / 104 / 105 / 106 / 108 / 111 / 209 / 300 / 303 / 304 / 305 / 306 / 307 / 308 / 312 / 313 / 314 / 316 / 317 / 318 / 320 / 321 / 421 / 460 / 461</v>
      </c>
      <c r="AW104" s="178" t="str">
        <f>IFERROR(__xludf.DUMMYFUNCTION("TEXTJOIN("" / "", 1, SORT(UNIQUE(TRANSPOSE(SPLIT(TRIM(REGEXREPLACE(AW103,""([0-9]{3}[a-zA-Z]?)|."",""$1 "")), "" "")))))"),"107 / 301")</f>
        <v>107 / 301</v>
      </c>
      <c r="AX104" s="164"/>
      <c r="AY104" s="163"/>
      <c r="AZ104" s="163"/>
      <c r="BA104" s="163"/>
      <c r="BB104" s="163"/>
      <c r="BC104" s="163"/>
      <c r="BD104" s="163"/>
      <c r="BE104" s="163"/>
      <c r="BF104" s="163"/>
      <c r="BG104" s="163"/>
      <c r="BH104" s="163"/>
      <c r="BI104" s="163"/>
      <c r="BJ104" s="163"/>
      <c r="BK104" s="163"/>
      <c r="BL104" s="163"/>
      <c r="BM104" s="163"/>
      <c r="BN104" s="163"/>
      <c r="BO104" s="163"/>
      <c r="BP104" s="163"/>
      <c r="BQ104" s="163"/>
      <c r="BR104" s="163"/>
      <c r="BS104" s="163"/>
      <c r="BT104" s="163"/>
      <c r="BU104" s="163"/>
      <c r="BV104" s="163"/>
      <c r="BW104" s="163"/>
      <c r="BX104" s="163"/>
      <c r="BY104" s="163"/>
      <c r="BZ104" s="163"/>
      <c r="CA104" s="163"/>
      <c r="CB104" s="163"/>
      <c r="CC104" s="163"/>
      <c r="CD104" s="163"/>
      <c r="CE104" s="163"/>
      <c r="CF104" s="163"/>
      <c r="CG104" s="163"/>
      <c r="CH104" s="163"/>
    </row>
    <row r="105">
      <c r="A105" s="152" t="s">
        <v>51</v>
      </c>
      <c r="B105" s="230"/>
      <c r="C105" s="230"/>
      <c r="D105" s="230"/>
      <c r="E105" s="230"/>
      <c r="F105" s="230"/>
      <c r="G105" s="230"/>
      <c r="H105" s="156"/>
      <c r="I105" s="158"/>
      <c r="J105" s="156"/>
      <c r="K105" s="158"/>
      <c r="L105" s="156"/>
      <c r="M105" s="156"/>
      <c r="N105" s="154" t="s">
        <v>158</v>
      </c>
      <c r="O105" s="156"/>
      <c r="P105" s="156"/>
      <c r="Q105" s="156"/>
      <c r="R105" s="156"/>
      <c r="S105" s="156"/>
      <c r="T105" s="156"/>
      <c r="U105" s="156"/>
      <c r="V105" s="156"/>
      <c r="W105" s="156"/>
      <c r="X105" s="158"/>
      <c r="Y105" s="156"/>
      <c r="Z105" s="154" t="s">
        <v>162</v>
      </c>
      <c r="AA105" s="156"/>
      <c r="AB105" s="156"/>
      <c r="AC105" s="156"/>
      <c r="AD105" s="506" t="s">
        <v>386</v>
      </c>
      <c r="AE105" s="23"/>
      <c r="AF105" s="156"/>
      <c r="AG105" s="156"/>
      <c r="AH105" s="156"/>
      <c r="AI105" s="156"/>
      <c r="AJ105" s="156"/>
      <c r="AK105" s="63"/>
      <c r="AL105" s="154" t="s">
        <v>51</v>
      </c>
      <c r="AM105" s="156"/>
      <c r="AN105" s="156"/>
      <c r="AO105" s="156"/>
      <c r="AP105" s="232"/>
      <c r="AQ105" s="511"/>
      <c r="AR105" s="237"/>
      <c r="AS105" s="152" t="s">
        <v>51</v>
      </c>
      <c r="AT105" s="228"/>
      <c r="AU105" s="161"/>
      <c r="AV105" s="258"/>
      <c r="AW105" s="258"/>
      <c r="AX105" s="258"/>
      <c r="AY105" s="258"/>
      <c r="AZ105" s="258"/>
      <c r="BA105" s="258"/>
      <c r="BB105" s="258"/>
      <c r="BC105" s="258"/>
      <c r="BD105" s="258"/>
      <c r="BE105" s="258"/>
      <c r="BF105" s="258"/>
      <c r="BG105" s="258"/>
      <c r="BH105" s="258"/>
      <c r="BI105" s="258"/>
      <c r="BJ105" s="258"/>
      <c r="BK105" s="258"/>
      <c r="BL105" s="258"/>
      <c r="BM105" s="258"/>
      <c r="BN105" s="258"/>
      <c r="BO105" s="258"/>
      <c r="BP105" s="258"/>
      <c r="BQ105" s="258"/>
      <c r="BR105" s="258"/>
      <c r="BS105" s="258"/>
      <c r="BT105" s="258"/>
      <c r="BU105" s="258"/>
      <c r="BV105" s="258"/>
      <c r="BW105" s="258"/>
      <c r="BX105" s="258"/>
      <c r="BY105" s="258"/>
      <c r="BZ105" s="258"/>
      <c r="CA105" s="258"/>
      <c r="CB105" s="258"/>
      <c r="CC105" s="258"/>
      <c r="CD105" s="258"/>
      <c r="CE105" s="258"/>
      <c r="CF105" s="258"/>
      <c r="CG105" s="258"/>
      <c r="CH105" s="258"/>
    </row>
    <row r="106">
      <c r="A106" s="38"/>
      <c r="B106" s="230"/>
      <c r="C106" s="230"/>
      <c r="D106" s="230"/>
      <c r="E106" s="230"/>
      <c r="F106" s="230"/>
      <c r="G106" s="230"/>
      <c r="H106" s="156"/>
      <c r="I106" s="393"/>
      <c r="J106" s="156"/>
      <c r="K106" s="393"/>
      <c r="L106" s="156"/>
      <c r="M106" s="156"/>
      <c r="N106" s="23"/>
      <c r="O106" s="156"/>
      <c r="P106" s="156"/>
      <c r="Q106" s="156"/>
      <c r="R106" s="156"/>
      <c r="S106" s="156"/>
      <c r="T106" s="156"/>
      <c r="U106" s="156"/>
      <c r="V106" s="156"/>
      <c r="W106" s="156"/>
      <c r="X106" s="154"/>
      <c r="Y106" s="156"/>
      <c r="Z106" s="23"/>
      <c r="AA106" s="156"/>
      <c r="AB106" s="156"/>
      <c r="AC106" s="156"/>
      <c r="AD106" s="509" t="s">
        <v>387</v>
      </c>
      <c r="AE106" s="23"/>
      <c r="AF106" s="156"/>
      <c r="AG106" s="156"/>
      <c r="AH106" s="156"/>
      <c r="AI106" s="156"/>
      <c r="AJ106" s="156"/>
      <c r="AK106" s="69"/>
      <c r="AL106" s="23"/>
      <c r="AM106" s="156"/>
      <c r="AN106" s="156"/>
      <c r="AO106" s="156"/>
      <c r="AP106" s="237"/>
      <c r="AQ106" s="237"/>
      <c r="AR106" s="237"/>
      <c r="AS106" s="38"/>
      <c r="AT106" s="161"/>
      <c r="AU106" s="161"/>
      <c r="AV106" s="258"/>
      <c r="AW106" s="163" t="str">
        <f t="array" ref="AW106">TEXTJOIN(" | ", 1, A107:AT107)</f>
        <v>107 ON 22/03, 5/04, 12/04, 19/04 (ONLINE ON 26/04)</v>
      </c>
      <c r="AX106" s="258"/>
      <c r="AY106" s="258"/>
      <c r="AZ106" s="258"/>
      <c r="BA106" s="258"/>
      <c r="BB106" s="258"/>
      <c r="BC106" s="258"/>
      <c r="BD106" s="258"/>
      <c r="BE106" s="258"/>
      <c r="BF106" s="258"/>
      <c r="BG106" s="258"/>
      <c r="BH106" s="258"/>
      <c r="BI106" s="258"/>
      <c r="BJ106" s="258"/>
      <c r="BK106" s="258"/>
      <c r="BL106" s="258"/>
      <c r="BM106" s="258"/>
      <c r="BN106" s="258"/>
      <c r="BO106" s="258"/>
      <c r="BP106" s="258"/>
      <c r="BQ106" s="258"/>
      <c r="BR106" s="258"/>
      <c r="BS106" s="258"/>
      <c r="BT106" s="258"/>
      <c r="BU106" s="258"/>
      <c r="BV106" s="258"/>
      <c r="BW106" s="258"/>
      <c r="BX106" s="258"/>
      <c r="BY106" s="258"/>
      <c r="BZ106" s="258"/>
      <c r="CA106" s="258"/>
      <c r="CB106" s="258"/>
      <c r="CC106" s="258"/>
      <c r="CD106" s="258"/>
      <c r="CE106" s="258"/>
      <c r="CF106" s="258"/>
      <c r="CG106" s="258"/>
      <c r="CH106" s="258"/>
    </row>
    <row r="107">
      <c r="A107" s="44"/>
      <c r="B107" s="243"/>
      <c r="C107" s="243"/>
      <c r="D107" s="243"/>
      <c r="E107" s="243"/>
      <c r="F107" s="243"/>
      <c r="G107" s="243"/>
      <c r="H107" s="172"/>
      <c r="I107" s="174"/>
      <c r="J107" s="172"/>
      <c r="K107" s="174"/>
      <c r="L107" s="172"/>
      <c r="M107" s="172"/>
      <c r="N107" s="47"/>
      <c r="O107" s="172"/>
      <c r="P107" s="172"/>
      <c r="Q107" s="172"/>
      <c r="R107" s="172"/>
      <c r="S107" s="172"/>
      <c r="T107" s="172"/>
      <c r="U107" s="172"/>
      <c r="V107" s="172"/>
      <c r="W107" s="172"/>
      <c r="X107" s="457"/>
      <c r="Y107" s="172"/>
      <c r="Z107" s="47"/>
      <c r="AA107" s="172"/>
      <c r="AB107" s="172"/>
      <c r="AC107" s="172"/>
      <c r="AD107" s="510" t="s">
        <v>388</v>
      </c>
      <c r="AE107" s="47"/>
      <c r="AF107" s="172"/>
      <c r="AG107" s="172"/>
      <c r="AH107" s="172"/>
      <c r="AI107" s="172"/>
      <c r="AJ107" s="172"/>
      <c r="AK107" s="76"/>
      <c r="AL107" s="47"/>
      <c r="AM107" s="172"/>
      <c r="AN107" s="172"/>
      <c r="AO107" s="172"/>
      <c r="AP107" s="412"/>
      <c r="AQ107" s="205"/>
      <c r="AR107" s="412"/>
      <c r="AS107" s="44"/>
      <c r="AT107" s="177"/>
      <c r="AU107" s="177"/>
      <c r="AV107" s="164" t="str">
        <f>IFERROR(__xludf.DUMMYFUNCTION("TEXTJOIN("" / "", TRUE, FILTER(TO_TEXT(SPLIT($AZ$4, "" / "")), NOT(REGEXMATCH(TO_TEXT(SPLIT($AZ$4, "" / "")), ""\b"" &amp; TEXTJOIN(""|"", TRUE, SPLIT(AW107, "" / "")) &amp; ""\b""))))"),"101 / 102 / 103 / 104 / 105 / 106 / 108 / 111 / 209 / 300 / 301 / 303 / 304 / 305 / 306 / 307 / 308 / 312 / 313 / 314 / 316 / 317 / 318 / 320 / 321 / 421 / 460 / 461")</f>
        <v>101 / 102 / 103 / 104 / 105 / 106 / 108 / 111 / 209 / 300 / 301 / 303 / 304 / 305 / 306 / 307 / 308 / 312 / 313 / 314 / 316 / 317 / 318 / 320 / 321 / 421 / 460 / 461</v>
      </c>
      <c r="AW107" s="178" t="str">
        <f>IFERROR(__xludf.DUMMYFUNCTION("TEXTJOIN("" / "", 1, SORT(UNIQUE(TRANSPOSE(SPLIT(TRIM(REGEXREPLACE(AW106,""([0-9]{3}[a-zA-Z]?)|."",""$1 "")), "" "")))))"),"107")</f>
        <v>107</v>
      </c>
      <c r="AX107" s="164"/>
      <c r="AY107" s="163"/>
      <c r="AZ107" s="163"/>
      <c r="BA107" s="163"/>
      <c r="BB107" s="163"/>
      <c r="BC107" s="163"/>
      <c r="BD107" s="163"/>
      <c r="BE107" s="163"/>
      <c r="BF107" s="163"/>
      <c r="BG107" s="163"/>
      <c r="BH107" s="163"/>
      <c r="BI107" s="163"/>
      <c r="BJ107" s="163"/>
      <c r="BK107" s="163"/>
      <c r="BL107" s="163"/>
      <c r="BM107" s="163"/>
      <c r="BN107" s="163"/>
      <c r="BO107" s="163"/>
      <c r="BP107" s="163"/>
      <c r="BQ107" s="163"/>
      <c r="BR107" s="163"/>
      <c r="BS107" s="163"/>
      <c r="BT107" s="163"/>
      <c r="BU107" s="163"/>
      <c r="BV107" s="163"/>
      <c r="BW107" s="163"/>
      <c r="BX107" s="163"/>
      <c r="BY107" s="163"/>
      <c r="BZ107" s="163"/>
      <c r="CA107" s="163"/>
      <c r="CB107" s="163"/>
      <c r="CC107" s="163"/>
      <c r="CD107" s="163"/>
      <c r="CE107" s="163"/>
      <c r="CF107" s="163"/>
      <c r="CG107" s="163"/>
      <c r="CH107" s="163"/>
    </row>
    <row r="108">
      <c r="A108" s="152" t="s">
        <v>59</v>
      </c>
      <c r="B108" s="230"/>
      <c r="C108" s="230"/>
      <c r="D108" s="230"/>
      <c r="E108" s="230"/>
      <c r="F108" s="230"/>
      <c r="G108" s="230"/>
      <c r="H108" s="156"/>
      <c r="I108" s="158"/>
      <c r="J108" s="156"/>
      <c r="K108" s="158"/>
      <c r="L108" s="156"/>
      <c r="M108" s="156"/>
      <c r="N108" s="154" t="s">
        <v>172</v>
      </c>
      <c r="O108" s="156"/>
      <c r="P108" s="156"/>
      <c r="Q108" s="156"/>
      <c r="R108" s="156"/>
      <c r="S108" s="156"/>
      <c r="T108" s="156"/>
      <c r="U108" s="156"/>
      <c r="V108" s="156"/>
      <c r="W108" s="156"/>
      <c r="X108" s="156"/>
      <c r="Y108" s="156"/>
      <c r="Z108" s="154" t="s">
        <v>174</v>
      </c>
      <c r="AA108" s="156"/>
      <c r="AB108" s="156"/>
      <c r="AC108" s="156"/>
      <c r="AD108" s="512" t="s">
        <v>389</v>
      </c>
      <c r="AE108" s="512" t="s">
        <v>389</v>
      </c>
      <c r="AF108" s="156"/>
      <c r="AG108" s="156"/>
      <c r="AH108" s="156"/>
      <c r="AI108" s="156"/>
      <c r="AJ108" s="156"/>
      <c r="AK108" s="156"/>
      <c r="AL108" s="154" t="s">
        <v>59</v>
      </c>
      <c r="AM108" s="156"/>
      <c r="AN108" s="156"/>
      <c r="AO108" s="228"/>
      <c r="AP108" s="156"/>
      <c r="AQ108" s="156"/>
      <c r="AR108" s="232"/>
      <c r="AS108" s="152" t="s">
        <v>59</v>
      </c>
      <c r="AT108" s="161"/>
      <c r="AU108" s="161"/>
      <c r="AV108" s="258"/>
      <c r="AW108" s="258"/>
      <c r="AX108" s="258"/>
      <c r="AY108" s="258"/>
      <c r="AZ108" s="258"/>
      <c r="BA108" s="258"/>
      <c r="BB108" s="258"/>
      <c r="BC108" s="258"/>
      <c r="BD108" s="258"/>
      <c r="BE108" s="258"/>
      <c r="BF108" s="258"/>
      <c r="BG108" s="258"/>
      <c r="BH108" s="258"/>
      <c r="BI108" s="258"/>
      <c r="BJ108" s="258"/>
      <c r="BK108" s="258"/>
      <c r="BL108" s="258"/>
      <c r="BM108" s="258"/>
      <c r="BN108" s="258"/>
      <c r="BO108" s="258"/>
      <c r="BP108" s="258"/>
      <c r="BQ108" s="258"/>
      <c r="BR108" s="258"/>
      <c r="BS108" s="258"/>
      <c r="BT108" s="258"/>
      <c r="BU108" s="258"/>
      <c r="BV108" s="258"/>
      <c r="BW108" s="258"/>
      <c r="BX108" s="258"/>
      <c r="BY108" s="258"/>
      <c r="BZ108" s="258"/>
      <c r="CA108" s="258"/>
      <c r="CB108" s="258"/>
      <c r="CC108" s="258"/>
      <c r="CD108" s="258"/>
      <c r="CE108" s="258"/>
      <c r="CF108" s="258"/>
      <c r="CG108" s="258"/>
      <c r="CH108" s="258"/>
    </row>
    <row r="109">
      <c r="A109" s="38"/>
      <c r="B109" s="230"/>
      <c r="C109" s="230"/>
      <c r="D109" s="230"/>
      <c r="E109" s="230"/>
      <c r="F109" s="230"/>
      <c r="G109" s="230"/>
      <c r="H109" s="156"/>
      <c r="I109" s="393"/>
      <c r="J109" s="156"/>
      <c r="K109" s="393"/>
      <c r="L109" s="156"/>
      <c r="M109" s="156"/>
      <c r="N109" s="23"/>
      <c r="O109" s="156"/>
      <c r="P109" s="156"/>
      <c r="Q109" s="156"/>
      <c r="R109" s="156"/>
      <c r="S109" s="156"/>
      <c r="T109" s="156"/>
      <c r="U109" s="156"/>
      <c r="V109" s="156"/>
      <c r="W109" s="156"/>
      <c r="X109" s="156"/>
      <c r="Y109" s="156"/>
      <c r="Z109" s="23"/>
      <c r="AA109" s="156"/>
      <c r="AB109" s="156"/>
      <c r="AC109" s="156"/>
      <c r="AD109" s="513" t="s">
        <v>387</v>
      </c>
      <c r="AE109" s="513" t="s">
        <v>390</v>
      </c>
      <c r="AF109" s="156"/>
      <c r="AG109" s="156"/>
      <c r="AH109" s="156"/>
      <c r="AI109" s="156"/>
      <c r="AJ109" s="156"/>
      <c r="AK109" s="156"/>
      <c r="AL109" s="23"/>
      <c r="AM109" s="156"/>
      <c r="AN109" s="156"/>
      <c r="AO109" s="161"/>
      <c r="AP109" s="156"/>
      <c r="AQ109" s="156"/>
      <c r="AR109" s="237"/>
      <c r="AS109" s="38"/>
      <c r="AT109" s="161"/>
      <c r="AU109" s="161"/>
      <c r="AV109" s="258"/>
      <c r="AW109" s="163"/>
      <c r="AX109" s="258"/>
      <c r="AY109" s="258"/>
      <c r="AZ109" s="258"/>
      <c r="BA109" s="258"/>
      <c r="BB109" s="258"/>
      <c r="BC109" s="258"/>
      <c r="BD109" s="258"/>
      <c r="BE109" s="258"/>
      <c r="BF109" s="258"/>
      <c r="BG109" s="258"/>
      <c r="BH109" s="258"/>
      <c r="BI109" s="258"/>
      <c r="BJ109" s="258"/>
      <c r="BK109" s="258"/>
      <c r="BL109" s="258"/>
      <c r="BM109" s="258"/>
      <c r="BN109" s="258"/>
      <c r="BO109" s="258"/>
      <c r="BP109" s="258"/>
      <c r="BQ109" s="258"/>
      <c r="BR109" s="258"/>
      <c r="BS109" s="258"/>
      <c r="BT109" s="258"/>
      <c r="BU109" s="258"/>
      <c r="BV109" s="258"/>
      <c r="BW109" s="258"/>
      <c r="BX109" s="258"/>
      <c r="BY109" s="258"/>
      <c r="BZ109" s="258"/>
      <c r="CA109" s="258"/>
      <c r="CB109" s="258"/>
      <c r="CC109" s="258"/>
      <c r="CD109" s="258"/>
      <c r="CE109" s="258"/>
      <c r="CF109" s="258"/>
      <c r="CG109" s="258"/>
      <c r="CH109" s="258"/>
    </row>
    <row r="110">
      <c r="A110" s="44"/>
      <c r="B110" s="243"/>
      <c r="C110" s="243"/>
      <c r="D110" s="243"/>
      <c r="E110" s="243"/>
      <c r="F110" s="243"/>
      <c r="G110" s="243"/>
      <c r="H110" s="172"/>
      <c r="I110" s="174"/>
      <c r="J110" s="172"/>
      <c r="K110" s="174"/>
      <c r="L110" s="172"/>
      <c r="M110" s="172"/>
      <c r="N110" s="47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47"/>
      <c r="AA110" s="172"/>
      <c r="AB110" s="172"/>
      <c r="AC110" s="172"/>
      <c r="AD110" s="514" t="s">
        <v>391</v>
      </c>
      <c r="AE110" s="514" t="s">
        <v>392</v>
      </c>
      <c r="AF110" s="172"/>
      <c r="AG110" s="172"/>
      <c r="AH110" s="172"/>
      <c r="AI110" s="172"/>
      <c r="AJ110" s="172"/>
      <c r="AK110" s="172"/>
      <c r="AL110" s="47"/>
      <c r="AM110" s="172"/>
      <c r="AN110" s="172"/>
      <c r="AO110" s="177"/>
      <c r="AP110" s="172"/>
      <c r="AQ110" s="172"/>
      <c r="AR110" s="412"/>
      <c r="AS110" s="44"/>
      <c r="AT110" s="177"/>
      <c r="AU110" s="177"/>
      <c r="AV110" s="163"/>
      <c r="AW110" s="178"/>
      <c r="AX110" s="164"/>
      <c r="AY110" s="163"/>
      <c r="AZ110" s="163"/>
      <c r="BA110" s="163"/>
      <c r="BB110" s="163"/>
      <c r="BC110" s="163"/>
      <c r="BD110" s="163"/>
      <c r="BE110" s="163"/>
      <c r="BF110" s="163"/>
      <c r="BG110" s="163"/>
      <c r="BH110" s="163"/>
      <c r="BI110" s="163"/>
      <c r="BJ110" s="163"/>
      <c r="BK110" s="163"/>
      <c r="BL110" s="163"/>
      <c r="BM110" s="163"/>
      <c r="BN110" s="163"/>
      <c r="BO110" s="163"/>
      <c r="BP110" s="163"/>
      <c r="BQ110" s="163"/>
      <c r="BR110" s="163"/>
      <c r="BS110" s="163"/>
      <c r="BT110" s="163"/>
      <c r="BU110" s="163"/>
      <c r="BV110" s="163"/>
      <c r="BW110" s="163"/>
      <c r="BX110" s="163"/>
      <c r="BY110" s="163"/>
      <c r="BZ110" s="163"/>
      <c r="CA110" s="163"/>
      <c r="CB110" s="163"/>
      <c r="CC110" s="163"/>
      <c r="CD110" s="163"/>
      <c r="CE110" s="163"/>
      <c r="CF110" s="163"/>
      <c r="CG110" s="163"/>
      <c r="CH110" s="163"/>
    </row>
    <row r="111">
      <c r="A111" s="152" t="s">
        <v>64</v>
      </c>
      <c r="B111" s="230"/>
      <c r="C111" s="230"/>
      <c r="D111" s="230"/>
      <c r="E111" s="230"/>
      <c r="F111" s="230"/>
      <c r="G111" s="230"/>
      <c r="H111" s="156"/>
      <c r="I111" s="158"/>
      <c r="J111" s="156"/>
      <c r="K111" s="158"/>
      <c r="L111" s="156"/>
      <c r="M111" s="156"/>
      <c r="N111" s="154" t="s">
        <v>184</v>
      </c>
      <c r="O111" s="156"/>
      <c r="P111" s="156"/>
      <c r="Q111" s="156"/>
      <c r="R111" s="156"/>
      <c r="S111" s="156"/>
      <c r="T111" s="156"/>
      <c r="U111" s="156"/>
      <c r="V111" s="156"/>
      <c r="W111" s="156"/>
      <c r="X111" s="156"/>
      <c r="Y111" s="156"/>
      <c r="Z111" s="154" t="s">
        <v>185</v>
      </c>
      <c r="AA111" s="156"/>
      <c r="AB111" s="156"/>
      <c r="AC111" s="156"/>
      <c r="AD111" s="512" t="s">
        <v>389</v>
      </c>
      <c r="AE111" s="512" t="s">
        <v>389</v>
      </c>
      <c r="AF111" s="156"/>
      <c r="AG111" s="156"/>
      <c r="AH111" s="156"/>
      <c r="AI111" s="156"/>
      <c r="AJ111" s="156"/>
      <c r="AK111" s="156"/>
      <c r="AL111" s="154" t="s">
        <v>64</v>
      </c>
      <c r="AM111" s="156"/>
      <c r="AN111" s="156"/>
      <c r="AO111" s="228"/>
      <c r="AP111" s="156"/>
      <c r="AQ111" s="156"/>
      <c r="AR111" s="156"/>
      <c r="AS111" s="152" t="s">
        <v>64</v>
      </c>
      <c r="AT111" s="161"/>
      <c r="AU111" s="161"/>
      <c r="AV111" s="258"/>
      <c r="AW111" s="258"/>
      <c r="AX111" s="258"/>
      <c r="AY111" s="258"/>
      <c r="AZ111" s="258"/>
      <c r="BA111" s="258"/>
      <c r="BB111" s="258"/>
      <c r="BC111" s="258"/>
      <c r="BD111" s="258"/>
      <c r="BE111" s="258"/>
      <c r="BF111" s="258"/>
      <c r="BG111" s="258"/>
      <c r="BH111" s="258"/>
      <c r="BI111" s="258"/>
      <c r="BJ111" s="258"/>
      <c r="BK111" s="258"/>
      <c r="BL111" s="258"/>
      <c r="BM111" s="258"/>
      <c r="BN111" s="258"/>
      <c r="BO111" s="258"/>
      <c r="BP111" s="258"/>
      <c r="BQ111" s="258"/>
      <c r="BR111" s="258"/>
      <c r="BS111" s="258"/>
      <c r="BT111" s="258"/>
      <c r="BU111" s="258"/>
      <c r="BV111" s="258"/>
      <c r="BW111" s="258"/>
      <c r="BX111" s="258"/>
      <c r="BY111" s="258"/>
      <c r="BZ111" s="258"/>
      <c r="CA111" s="258"/>
      <c r="CB111" s="258"/>
      <c r="CC111" s="258"/>
      <c r="CD111" s="258"/>
      <c r="CE111" s="258"/>
      <c r="CF111" s="258"/>
      <c r="CG111" s="258"/>
      <c r="CH111" s="258"/>
    </row>
    <row r="112">
      <c r="A112" s="38"/>
      <c r="B112" s="230"/>
      <c r="C112" s="230"/>
      <c r="D112" s="230"/>
      <c r="E112" s="230"/>
      <c r="F112" s="230"/>
      <c r="G112" s="230"/>
      <c r="H112" s="156"/>
      <c r="I112" s="393"/>
      <c r="J112" s="156"/>
      <c r="K112" s="393"/>
      <c r="L112" s="156"/>
      <c r="M112" s="156"/>
      <c r="N112" s="23"/>
      <c r="O112" s="156"/>
      <c r="P112" s="156"/>
      <c r="Q112" s="156"/>
      <c r="R112" s="156"/>
      <c r="S112" s="156"/>
      <c r="T112" s="156"/>
      <c r="U112" s="156"/>
      <c r="V112" s="156"/>
      <c r="W112" s="156"/>
      <c r="X112" s="156"/>
      <c r="Y112" s="156"/>
      <c r="Z112" s="23"/>
      <c r="AA112" s="156"/>
      <c r="AB112" s="156"/>
      <c r="AC112" s="156"/>
      <c r="AD112" s="513" t="s">
        <v>387</v>
      </c>
      <c r="AE112" s="513" t="s">
        <v>390</v>
      </c>
      <c r="AF112" s="156"/>
      <c r="AG112" s="156"/>
      <c r="AH112" s="156"/>
      <c r="AI112" s="156"/>
      <c r="AJ112" s="156"/>
      <c r="AK112" s="156"/>
      <c r="AL112" s="23"/>
      <c r="AM112" s="156"/>
      <c r="AN112" s="156"/>
      <c r="AO112" s="161"/>
      <c r="AP112" s="156"/>
      <c r="AQ112" s="156"/>
      <c r="AR112" s="156"/>
      <c r="AS112" s="38"/>
      <c r="AT112" s="161"/>
      <c r="AU112" s="161"/>
      <c r="AV112" s="258"/>
      <c r="AW112" s="163"/>
      <c r="AX112" s="258"/>
      <c r="AY112" s="258"/>
      <c r="AZ112" s="258"/>
      <c r="BA112" s="258"/>
      <c r="BB112" s="258"/>
      <c r="BC112" s="258"/>
      <c r="BD112" s="258"/>
      <c r="BE112" s="258"/>
      <c r="BF112" s="258"/>
      <c r="BG112" s="258"/>
      <c r="BH112" s="258"/>
      <c r="BI112" s="258"/>
      <c r="BJ112" s="258"/>
      <c r="BK112" s="258"/>
      <c r="BL112" s="258"/>
      <c r="BM112" s="258"/>
      <c r="BN112" s="258"/>
      <c r="BO112" s="258"/>
      <c r="BP112" s="258"/>
      <c r="BQ112" s="258"/>
      <c r="BR112" s="258"/>
      <c r="BS112" s="258"/>
      <c r="BT112" s="258"/>
      <c r="BU112" s="258"/>
      <c r="BV112" s="258"/>
      <c r="BW112" s="258"/>
      <c r="BX112" s="258"/>
      <c r="BY112" s="258"/>
      <c r="BZ112" s="258"/>
      <c r="CA112" s="258"/>
      <c r="CB112" s="258"/>
      <c r="CC112" s="258"/>
      <c r="CD112" s="258"/>
      <c r="CE112" s="258"/>
      <c r="CF112" s="258"/>
      <c r="CG112" s="258"/>
      <c r="CH112" s="258"/>
    </row>
    <row r="113">
      <c r="A113" s="44"/>
      <c r="B113" s="243"/>
      <c r="C113" s="243"/>
      <c r="D113" s="243"/>
      <c r="E113" s="243"/>
      <c r="F113" s="243"/>
      <c r="G113" s="243"/>
      <c r="H113" s="172"/>
      <c r="I113" s="174"/>
      <c r="J113" s="172"/>
      <c r="K113" s="174"/>
      <c r="L113" s="172"/>
      <c r="M113" s="172"/>
      <c r="N113" s="47"/>
      <c r="O113" s="172"/>
      <c r="P113" s="172"/>
      <c r="Q113" s="172"/>
      <c r="R113" s="172"/>
      <c r="S113" s="172"/>
      <c r="T113" s="172"/>
      <c r="U113" s="172"/>
      <c r="V113" s="172"/>
      <c r="W113" s="172"/>
      <c r="X113" s="172"/>
      <c r="Y113" s="172"/>
      <c r="Z113" s="47"/>
      <c r="AA113" s="172"/>
      <c r="AB113" s="172"/>
      <c r="AC113" s="172"/>
      <c r="AD113" s="514" t="s">
        <v>391</v>
      </c>
      <c r="AE113" s="514" t="s">
        <v>392</v>
      </c>
      <c r="AF113" s="172"/>
      <c r="AG113" s="172"/>
      <c r="AH113" s="172"/>
      <c r="AI113" s="172"/>
      <c r="AJ113" s="172"/>
      <c r="AK113" s="172"/>
      <c r="AL113" s="47"/>
      <c r="AM113" s="172"/>
      <c r="AN113" s="172"/>
      <c r="AO113" s="177"/>
      <c r="AP113" s="172"/>
      <c r="AQ113" s="172"/>
      <c r="AR113" s="172"/>
      <c r="AS113" s="44"/>
      <c r="AT113" s="177"/>
      <c r="AU113" s="177"/>
      <c r="AV113" s="163"/>
      <c r="AW113" s="178"/>
      <c r="AX113" s="163"/>
      <c r="AY113" s="163"/>
      <c r="AZ113" s="163"/>
      <c r="BA113" s="163"/>
      <c r="BB113" s="163"/>
      <c r="BC113" s="163"/>
      <c r="BD113" s="163"/>
      <c r="BE113" s="163"/>
      <c r="BF113" s="163"/>
      <c r="BG113" s="163"/>
      <c r="BH113" s="163"/>
      <c r="BI113" s="163"/>
      <c r="BJ113" s="163"/>
      <c r="BK113" s="163"/>
      <c r="BL113" s="163"/>
      <c r="BM113" s="163"/>
      <c r="BN113" s="163"/>
      <c r="BO113" s="163"/>
      <c r="BP113" s="163"/>
      <c r="BQ113" s="163"/>
      <c r="BR113" s="163"/>
      <c r="BS113" s="163"/>
      <c r="BT113" s="163"/>
      <c r="BU113" s="163"/>
      <c r="BV113" s="163"/>
      <c r="BW113" s="163"/>
      <c r="BX113" s="163"/>
      <c r="BY113" s="163"/>
      <c r="BZ113" s="163"/>
      <c r="CA113" s="163"/>
      <c r="CB113" s="163"/>
      <c r="CC113" s="163"/>
      <c r="CD113" s="163"/>
      <c r="CE113" s="163"/>
      <c r="CF113" s="163"/>
      <c r="CG113" s="163"/>
      <c r="CH113" s="163"/>
    </row>
    <row r="114">
      <c r="A114" s="152" t="s">
        <v>66</v>
      </c>
      <c r="B114" s="230"/>
      <c r="C114" s="230"/>
      <c r="D114" s="230"/>
      <c r="E114" s="230"/>
      <c r="F114" s="230"/>
      <c r="G114" s="230"/>
      <c r="H114" s="156"/>
      <c r="I114" s="158"/>
      <c r="J114" s="156"/>
      <c r="K114" s="158"/>
      <c r="L114" s="156"/>
      <c r="M114" s="156"/>
      <c r="N114" s="154" t="s">
        <v>191</v>
      </c>
      <c r="O114" s="156"/>
      <c r="P114" s="156"/>
      <c r="Q114" s="156"/>
      <c r="R114" s="156"/>
      <c r="S114" s="156"/>
      <c r="T114" s="156"/>
      <c r="U114" s="156"/>
      <c r="V114" s="156"/>
      <c r="W114" s="156"/>
      <c r="X114" s="156"/>
      <c r="Y114" s="156"/>
      <c r="Z114" s="154" t="s">
        <v>192</v>
      </c>
      <c r="AA114" s="156"/>
      <c r="AB114" s="156"/>
      <c r="AC114" s="156"/>
      <c r="AD114" s="156"/>
      <c r="AE114" s="156"/>
      <c r="AF114" s="156"/>
      <c r="AG114" s="156"/>
      <c r="AH114" s="156"/>
      <c r="AI114" s="156"/>
      <c r="AJ114" s="156"/>
      <c r="AK114" s="156"/>
      <c r="AL114" s="154" t="s">
        <v>66</v>
      </c>
      <c r="AM114" s="156"/>
      <c r="AN114" s="156"/>
      <c r="AO114" s="156"/>
      <c r="AP114" s="156"/>
      <c r="AQ114" s="156"/>
      <c r="AR114" s="156"/>
      <c r="AS114" s="152" t="s">
        <v>66</v>
      </c>
      <c r="AT114" s="161"/>
      <c r="AU114" s="161"/>
      <c r="AV114" s="258"/>
      <c r="AW114" s="258"/>
      <c r="AX114" s="258"/>
      <c r="AY114" s="258"/>
      <c r="AZ114" s="258"/>
      <c r="BA114" s="258"/>
      <c r="BB114" s="258"/>
      <c r="BC114" s="258"/>
      <c r="BD114" s="258"/>
      <c r="BE114" s="258"/>
      <c r="BF114" s="258"/>
      <c r="BG114" s="258"/>
      <c r="BH114" s="258"/>
      <c r="BI114" s="258"/>
      <c r="BJ114" s="258"/>
      <c r="BK114" s="258"/>
      <c r="BL114" s="258"/>
      <c r="BM114" s="258"/>
      <c r="BN114" s="258"/>
      <c r="BO114" s="258"/>
      <c r="BP114" s="258"/>
      <c r="BQ114" s="258"/>
      <c r="BR114" s="258"/>
      <c r="BS114" s="258"/>
      <c r="BT114" s="258"/>
      <c r="BU114" s="258"/>
      <c r="BV114" s="258"/>
      <c r="BW114" s="258"/>
      <c r="BX114" s="258"/>
      <c r="BY114" s="258"/>
      <c r="BZ114" s="258"/>
      <c r="CA114" s="258"/>
      <c r="CB114" s="258"/>
      <c r="CC114" s="258"/>
      <c r="CD114" s="258"/>
      <c r="CE114" s="258"/>
      <c r="CF114" s="258"/>
      <c r="CG114" s="258"/>
      <c r="CH114" s="258"/>
    </row>
    <row r="115">
      <c r="A115" s="38"/>
      <c r="B115" s="230"/>
      <c r="C115" s="230"/>
      <c r="D115" s="230"/>
      <c r="E115" s="230"/>
      <c r="F115" s="230"/>
      <c r="G115" s="230"/>
      <c r="H115" s="156"/>
      <c r="I115" s="393"/>
      <c r="J115" s="156"/>
      <c r="K115" s="393"/>
      <c r="L115" s="156"/>
      <c r="M115" s="156"/>
      <c r="N115" s="23"/>
      <c r="O115" s="156"/>
      <c r="P115" s="156"/>
      <c r="Q115" s="156"/>
      <c r="R115" s="156"/>
      <c r="S115" s="156"/>
      <c r="T115" s="156"/>
      <c r="U115" s="156"/>
      <c r="V115" s="156"/>
      <c r="W115" s="156"/>
      <c r="X115" s="156"/>
      <c r="Y115" s="156"/>
      <c r="Z115" s="23"/>
      <c r="AA115" s="156"/>
      <c r="AB115" s="156"/>
      <c r="AC115" s="156"/>
      <c r="AD115" s="156"/>
      <c r="AE115" s="156"/>
      <c r="AF115" s="156"/>
      <c r="AG115" s="156"/>
      <c r="AH115" s="156"/>
      <c r="AI115" s="156"/>
      <c r="AJ115" s="156"/>
      <c r="AK115" s="156"/>
      <c r="AL115" s="23"/>
      <c r="AM115" s="156"/>
      <c r="AN115" s="156"/>
      <c r="AO115" s="156"/>
      <c r="AP115" s="156"/>
      <c r="AQ115" s="156"/>
      <c r="AR115" s="156"/>
      <c r="AS115" s="38"/>
      <c r="AT115" s="161"/>
      <c r="AU115" s="161"/>
      <c r="AV115" s="258"/>
      <c r="AW115" s="163"/>
      <c r="AX115" s="258"/>
      <c r="AY115" s="258"/>
      <c r="AZ115" s="258"/>
      <c r="BA115" s="258"/>
      <c r="BB115" s="258"/>
      <c r="BC115" s="258"/>
      <c r="BD115" s="258"/>
      <c r="BE115" s="258"/>
      <c r="BF115" s="258"/>
      <c r="BG115" s="258"/>
      <c r="BH115" s="258"/>
      <c r="BI115" s="258"/>
      <c r="BJ115" s="258"/>
      <c r="BK115" s="258"/>
      <c r="BL115" s="258"/>
      <c r="BM115" s="258"/>
      <c r="BN115" s="258"/>
      <c r="BO115" s="258"/>
      <c r="BP115" s="258"/>
      <c r="BQ115" s="258"/>
      <c r="BR115" s="258"/>
      <c r="BS115" s="258"/>
      <c r="BT115" s="258"/>
      <c r="BU115" s="258"/>
      <c r="BV115" s="258"/>
      <c r="BW115" s="258"/>
      <c r="BX115" s="258"/>
      <c r="BY115" s="258"/>
      <c r="BZ115" s="258"/>
      <c r="CA115" s="258"/>
      <c r="CB115" s="258"/>
      <c r="CC115" s="258"/>
      <c r="CD115" s="258"/>
      <c r="CE115" s="258"/>
      <c r="CF115" s="258"/>
      <c r="CG115" s="258"/>
      <c r="CH115" s="258"/>
    </row>
    <row r="116">
      <c r="A116" s="44"/>
      <c r="B116" s="243"/>
      <c r="C116" s="243"/>
      <c r="D116" s="243"/>
      <c r="E116" s="243"/>
      <c r="F116" s="243"/>
      <c r="G116" s="243"/>
      <c r="H116" s="172"/>
      <c r="I116" s="174"/>
      <c r="J116" s="172"/>
      <c r="K116" s="174"/>
      <c r="L116" s="172"/>
      <c r="M116" s="172"/>
      <c r="N116" s="47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47"/>
      <c r="AA116" s="172"/>
      <c r="AB116" s="172"/>
      <c r="AC116" s="172"/>
      <c r="AD116" s="172"/>
      <c r="AE116" s="172"/>
      <c r="AF116" s="172"/>
      <c r="AG116" s="172"/>
      <c r="AH116" s="172"/>
      <c r="AI116" s="172"/>
      <c r="AJ116" s="172"/>
      <c r="AK116" s="172"/>
      <c r="AL116" s="47"/>
      <c r="AM116" s="172"/>
      <c r="AN116" s="172"/>
      <c r="AO116" s="172"/>
      <c r="AP116" s="172"/>
      <c r="AQ116" s="172"/>
      <c r="AR116" s="172"/>
      <c r="AS116" s="44"/>
      <c r="AT116" s="177"/>
      <c r="AU116" s="177"/>
      <c r="AV116" s="163"/>
      <c r="AW116" s="178"/>
      <c r="AX116" s="163"/>
      <c r="AY116" s="163"/>
      <c r="AZ116" s="163"/>
      <c r="BA116" s="163"/>
      <c r="BB116" s="163"/>
      <c r="BC116" s="163"/>
      <c r="BD116" s="163"/>
      <c r="BE116" s="163"/>
      <c r="BF116" s="163"/>
      <c r="BG116" s="163"/>
      <c r="BH116" s="163"/>
      <c r="BI116" s="163"/>
      <c r="BJ116" s="163"/>
      <c r="BK116" s="163"/>
      <c r="BL116" s="163"/>
      <c r="BM116" s="163"/>
      <c r="BN116" s="163"/>
      <c r="BO116" s="163"/>
      <c r="BP116" s="163"/>
      <c r="BQ116" s="163"/>
      <c r="BR116" s="163"/>
      <c r="BS116" s="163"/>
      <c r="BT116" s="163"/>
      <c r="BU116" s="163"/>
      <c r="BV116" s="163"/>
      <c r="BW116" s="163"/>
      <c r="BX116" s="163"/>
      <c r="BY116" s="163"/>
      <c r="BZ116" s="163"/>
      <c r="CA116" s="163"/>
      <c r="CB116" s="163"/>
      <c r="CC116" s="163"/>
      <c r="CD116" s="163"/>
      <c r="CE116" s="163"/>
      <c r="CF116" s="163"/>
      <c r="CG116" s="163"/>
      <c r="CH116" s="163"/>
    </row>
  </sheetData>
  <mergeCells count="353">
    <mergeCell ref="A13:A15"/>
    <mergeCell ref="A16:A18"/>
    <mergeCell ref="A19:A21"/>
    <mergeCell ref="B22:M22"/>
    <mergeCell ref="A23:A25"/>
    <mergeCell ref="A26:A28"/>
    <mergeCell ref="B26:M26"/>
    <mergeCell ref="A29:A31"/>
    <mergeCell ref="B29:M29"/>
    <mergeCell ref="B30:M30"/>
    <mergeCell ref="B31:M31"/>
    <mergeCell ref="A32:A34"/>
    <mergeCell ref="A35:A37"/>
    <mergeCell ref="B41:M41"/>
    <mergeCell ref="B61:M63"/>
    <mergeCell ref="A67:A69"/>
    <mergeCell ref="B67:M67"/>
    <mergeCell ref="B68:M68"/>
    <mergeCell ref="B69:M69"/>
    <mergeCell ref="A70:A72"/>
    <mergeCell ref="A73:A75"/>
    <mergeCell ref="B82:M82"/>
    <mergeCell ref="B83:M83"/>
    <mergeCell ref="N83:N85"/>
    <mergeCell ref="B84:M84"/>
    <mergeCell ref="B85:M85"/>
    <mergeCell ref="A76:A78"/>
    <mergeCell ref="B79:M79"/>
    <mergeCell ref="A80:A82"/>
    <mergeCell ref="B80:M80"/>
    <mergeCell ref="B81:M81"/>
    <mergeCell ref="A83:A85"/>
    <mergeCell ref="A86:A88"/>
    <mergeCell ref="A105:A107"/>
    <mergeCell ref="A108:A110"/>
    <mergeCell ref="A111:A113"/>
    <mergeCell ref="A114:A116"/>
    <mergeCell ref="A89:A91"/>
    <mergeCell ref="A92:A94"/>
    <mergeCell ref="A95:A97"/>
    <mergeCell ref="B98:M98"/>
    <mergeCell ref="A99:A101"/>
    <mergeCell ref="B99:M101"/>
    <mergeCell ref="A102:A104"/>
    <mergeCell ref="N105:N107"/>
    <mergeCell ref="N108:N110"/>
    <mergeCell ref="N111:N113"/>
    <mergeCell ref="N114:N116"/>
    <mergeCell ref="N80:N82"/>
    <mergeCell ref="N86:N88"/>
    <mergeCell ref="N89:N91"/>
    <mergeCell ref="N92:N94"/>
    <mergeCell ref="N95:N97"/>
    <mergeCell ref="N99:N101"/>
    <mergeCell ref="N102:N104"/>
    <mergeCell ref="N7:N9"/>
    <mergeCell ref="N10:N12"/>
    <mergeCell ref="N13:N15"/>
    <mergeCell ref="N16:N18"/>
    <mergeCell ref="N19:N21"/>
    <mergeCell ref="N23:N25"/>
    <mergeCell ref="N26:N28"/>
    <mergeCell ref="B4:M4"/>
    <mergeCell ref="B5:M5"/>
    <mergeCell ref="A7:A9"/>
    <mergeCell ref="B7:M7"/>
    <mergeCell ref="B8:M8"/>
    <mergeCell ref="B9:M9"/>
    <mergeCell ref="A10:A12"/>
    <mergeCell ref="B27:M27"/>
    <mergeCell ref="B28:M28"/>
    <mergeCell ref="N32:N34"/>
    <mergeCell ref="N35:N37"/>
    <mergeCell ref="N57:N59"/>
    <mergeCell ref="N61:N63"/>
    <mergeCell ref="N67:N69"/>
    <mergeCell ref="N70:N72"/>
    <mergeCell ref="N73:N75"/>
    <mergeCell ref="N76:N78"/>
    <mergeCell ref="N29:N31"/>
    <mergeCell ref="N38:N40"/>
    <mergeCell ref="N42:N44"/>
    <mergeCell ref="N45:N47"/>
    <mergeCell ref="N48:N50"/>
    <mergeCell ref="N51:N53"/>
    <mergeCell ref="N54:N56"/>
    <mergeCell ref="B42:M42"/>
    <mergeCell ref="B43:M43"/>
    <mergeCell ref="B44:M44"/>
    <mergeCell ref="B45:M45"/>
    <mergeCell ref="B46:M46"/>
    <mergeCell ref="B47:M47"/>
    <mergeCell ref="B60:M60"/>
    <mergeCell ref="AS42:AS44"/>
    <mergeCell ref="AS45:AS47"/>
    <mergeCell ref="AM33:AN33"/>
    <mergeCell ref="AM34:AN34"/>
    <mergeCell ref="AL35:AL37"/>
    <mergeCell ref="AS35:AS37"/>
    <mergeCell ref="AL38:AL40"/>
    <mergeCell ref="AS38:AS40"/>
    <mergeCell ref="AM45:AN45"/>
    <mergeCell ref="AM52:AN52"/>
    <mergeCell ref="AM53:AN53"/>
    <mergeCell ref="AL42:AL44"/>
    <mergeCell ref="AL45:AL47"/>
    <mergeCell ref="AL48:AL50"/>
    <mergeCell ref="AM49:AN49"/>
    <mergeCell ref="AM50:AN50"/>
    <mergeCell ref="AL51:AL53"/>
    <mergeCell ref="AM51:AN51"/>
    <mergeCell ref="AM83:AN83"/>
    <mergeCell ref="AM84:AN84"/>
    <mergeCell ref="AM85:AN85"/>
    <mergeCell ref="AM86:AN86"/>
    <mergeCell ref="AM87:AN87"/>
    <mergeCell ref="AM88:AN88"/>
    <mergeCell ref="AL86:AL88"/>
    <mergeCell ref="AL89:AL91"/>
    <mergeCell ref="AL92:AL94"/>
    <mergeCell ref="AL95:AL97"/>
    <mergeCell ref="AL99:AL101"/>
    <mergeCell ref="AL102:AL104"/>
    <mergeCell ref="AL64:AL66"/>
    <mergeCell ref="AL67:AL69"/>
    <mergeCell ref="AL70:AL72"/>
    <mergeCell ref="AL73:AL75"/>
    <mergeCell ref="AL76:AL78"/>
    <mergeCell ref="AL80:AL82"/>
    <mergeCell ref="AL83:AL85"/>
    <mergeCell ref="AS92:AS94"/>
    <mergeCell ref="AS95:AS97"/>
    <mergeCell ref="AM98:AR98"/>
    <mergeCell ref="AS99:AS101"/>
    <mergeCell ref="AS102:AS104"/>
    <mergeCell ref="AM1:AR1"/>
    <mergeCell ref="AS1:AS2"/>
    <mergeCell ref="A1:A2"/>
    <mergeCell ref="B1:M1"/>
    <mergeCell ref="N1:N2"/>
    <mergeCell ref="O1:Y1"/>
    <mergeCell ref="Z1:Z2"/>
    <mergeCell ref="AA1:AK1"/>
    <mergeCell ref="AL1:AL2"/>
    <mergeCell ref="B3:M3"/>
    <mergeCell ref="O3:Y3"/>
    <mergeCell ref="AA3:AK3"/>
    <mergeCell ref="AM3:AR3"/>
    <mergeCell ref="A4:A6"/>
    <mergeCell ref="N4:N6"/>
    <mergeCell ref="AS4:AS6"/>
    <mergeCell ref="B6:M6"/>
    <mergeCell ref="T8:U8"/>
    <mergeCell ref="V8:W8"/>
    <mergeCell ref="O9:S9"/>
    <mergeCell ref="T9:U9"/>
    <mergeCell ref="AH8:AI8"/>
    <mergeCell ref="AH9:AI9"/>
    <mergeCell ref="AF4:AG4"/>
    <mergeCell ref="AL4:AL6"/>
    <mergeCell ref="AF5:AG5"/>
    <mergeCell ref="AF6:AG6"/>
    <mergeCell ref="AH7:AI7"/>
    <mergeCell ref="AL7:AL9"/>
    <mergeCell ref="AS7:AS9"/>
    <mergeCell ref="O7:S7"/>
    <mergeCell ref="O8:S8"/>
    <mergeCell ref="O10:S10"/>
    <mergeCell ref="O11:S11"/>
    <mergeCell ref="O12:S12"/>
    <mergeCell ref="O4:Y4"/>
    <mergeCell ref="Z4:Z6"/>
    <mergeCell ref="O5:Y5"/>
    <mergeCell ref="O6:Y6"/>
    <mergeCell ref="T7:U7"/>
    <mergeCell ref="V7:W7"/>
    <mergeCell ref="Z7:Z9"/>
    <mergeCell ref="V9:W9"/>
    <mergeCell ref="V10:W10"/>
    <mergeCell ref="Z10:Z12"/>
    <mergeCell ref="AA10:AC10"/>
    <mergeCell ref="AL10:AL12"/>
    <mergeCell ref="AS10:AS12"/>
    <mergeCell ref="AA11:AC11"/>
    <mergeCell ref="AA12:AC12"/>
    <mergeCell ref="Z16:Z18"/>
    <mergeCell ref="Z19:Z21"/>
    <mergeCell ref="O22:Y22"/>
    <mergeCell ref="Z23:Z25"/>
    <mergeCell ref="Z26:Z28"/>
    <mergeCell ref="Z29:Z31"/>
    <mergeCell ref="Z32:Z34"/>
    <mergeCell ref="AS16:AS18"/>
    <mergeCell ref="AS19:AS21"/>
    <mergeCell ref="AS29:AS31"/>
    <mergeCell ref="AS32:AS34"/>
    <mergeCell ref="V11:W11"/>
    <mergeCell ref="V12:W12"/>
    <mergeCell ref="Z13:Z15"/>
    <mergeCell ref="AL13:AL15"/>
    <mergeCell ref="AS13:AS15"/>
    <mergeCell ref="AL16:AL18"/>
    <mergeCell ref="AL19:AL21"/>
    <mergeCell ref="AA22:AK22"/>
    <mergeCell ref="AM22:AR22"/>
    <mergeCell ref="AL23:AL25"/>
    <mergeCell ref="AS23:AS25"/>
    <mergeCell ref="AL26:AL28"/>
    <mergeCell ref="AM26:AN26"/>
    <mergeCell ref="AS26:AS28"/>
    <mergeCell ref="A61:A63"/>
    <mergeCell ref="A64:A66"/>
    <mergeCell ref="A38:A40"/>
    <mergeCell ref="A42:A44"/>
    <mergeCell ref="A45:A47"/>
    <mergeCell ref="A48:A50"/>
    <mergeCell ref="A51:A53"/>
    <mergeCell ref="A54:A56"/>
    <mergeCell ref="A57:A59"/>
    <mergeCell ref="AA49:AC49"/>
    <mergeCell ref="AA50:AC50"/>
    <mergeCell ref="AL54:AL56"/>
    <mergeCell ref="AL57:AL59"/>
    <mergeCell ref="AA60:AK60"/>
    <mergeCell ref="AM60:AR60"/>
    <mergeCell ref="AL61:AL63"/>
    <mergeCell ref="AA61:AK63"/>
    <mergeCell ref="AF64:AG64"/>
    <mergeCell ref="AH64:AI64"/>
    <mergeCell ref="AF65:AG65"/>
    <mergeCell ref="AH65:AI65"/>
    <mergeCell ref="AF66:AG66"/>
    <mergeCell ref="AH66:AI66"/>
    <mergeCell ref="AD33:AE33"/>
    <mergeCell ref="AF33:AI33"/>
    <mergeCell ref="AM27:AN27"/>
    <mergeCell ref="AM28:AN28"/>
    <mergeCell ref="AL29:AL31"/>
    <mergeCell ref="AF32:AI32"/>
    <mergeCell ref="AL32:AL34"/>
    <mergeCell ref="AM32:AN32"/>
    <mergeCell ref="AF34:AI34"/>
    <mergeCell ref="O41:Y41"/>
    <mergeCell ref="AA41:AK41"/>
    <mergeCell ref="AM41:AR41"/>
    <mergeCell ref="AF42:AI42"/>
    <mergeCell ref="AF43:AI43"/>
    <mergeCell ref="AF44:AI44"/>
    <mergeCell ref="Z42:Z44"/>
    <mergeCell ref="Z45:Z47"/>
    <mergeCell ref="Z48:Z50"/>
    <mergeCell ref="Z51:Z53"/>
    <mergeCell ref="Z54:Z56"/>
    <mergeCell ref="Z57:Z59"/>
    <mergeCell ref="Z61:Z63"/>
    <mergeCell ref="AD32:AE32"/>
    <mergeCell ref="AD34:AE34"/>
    <mergeCell ref="Z35:Z37"/>
    <mergeCell ref="AD35:AE35"/>
    <mergeCell ref="AD36:AE36"/>
    <mergeCell ref="AD37:AE37"/>
    <mergeCell ref="Z38:Z40"/>
    <mergeCell ref="AM46:AN46"/>
    <mergeCell ref="AM47:AN47"/>
    <mergeCell ref="O48:X48"/>
    <mergeCell ref="AA48:AC48"/>
    <mergeCell ref="AM48:AN48"/>
    <mergeCell ref="O49:X49"/>
    <mergeCell ref="O50:X50"/>
    <mergeCell ref="AA74:AE74"/>
    <mergeCell ref="AA75:AE75"/>
    <mergeCell ref="AA79:AK79"/>
    <mergeCell ref="AM79:AR79"/>
    <mergeCell ref="AA67:AE67"/>
    <mergeCell ref="AA68:AE68"/>
    <mergeCell ref="AA69:AE69"/>
    <mergeCell ref="AA70:AE70"/>
    <mergeCell ref="AA71:AE71"/>
    <mergeCell ref="AA72:AE72"/>
    <mergeCell ref="AA73:AE73"/>
    <mergeCell ref="AS48:AS50"/>
    <mergeCell ref="AS51:AS53"/>
    <mergeCell ref="AS54:AS56"/>
    <mergeCell ref="AS57:AS59"/>
    <mergeCell ref="AS61:AS63"/>
    <mergeCell ref="AS64:AS66"/>
    <mergeCell ref="AS67:AS69"/>
    <mergeCell ref="AS105:AS107"/>
    <mergeCell ref="AS108:AS110"/>
    <mergeCell ref="AS111:AS113"/>
    <mergeCell ref="AS114:AS116"/>
    <mergeCell ref="AS70:AS72"/>
    <mergeCell ref="AS73:AS75"/>
    <mergeCell ref="AS76:AS78"/>
    <mergeCell ref="AS80:AS82"/>
    <mergeCell ref="AS83:AS85"/>
    <mergeCell ref="AS86:AS88"/>
    <mergeCell ref="AS89:AS91"/>
    <mergeCell ref="Z105:Z107"/>
    <mergeCell ref="Z108:Z110"/>
    <mergeCell ref="Z111:Z113"/>
    <mergeCell ref="Z114:Z116"/>
    <mergeCell ref="Z80:Z82"/>
    <mergeCell ref="Z83:Z85"/>
    <mergeCell ref="Z86:Z88"/>
    <mergeCell ref="Z89:Z91"/>
    <mergeCell ref="Z92:Z94"/>
    <mergeCell ref="Z95:Z97"/>
    <mergeCell ref="Z102:Z104"/>
    <mergeCell ref="O51:X51"/>
    <mergeCell ref="O52:X52"/>
    <mergeCell ref="O53:X53"/>
    <mergeCell ref="O60:Y60"/>
    <mergeCell ref="O61:S61"/>
    <mergeCell ref="V61:W61"/>
    <mergeCell ref="V62:W62"/>
    <mergeCell ref="O62:S62"/>
    <mergeCell ref="O63:S63"/>
    <mergeCell ref="V63:W63"/>
    <mergeCell ref="B64:M64"/>
    <mergeCell ref="N64:N66"/>
    <mergeCell ref="B65:M65"/>
    <mergeCell ref="B66:M66"/>
    <mergeCell ref="T80:U80"/>
    <mergeCell ref="T81:U81"/>
    <mergeCell ref="Z64:Z66"/>
    <mergeCell ref="Z67:Z69"/>
    <mergeCell ref="Z70:Z72"/>
    <mergeCell ref="Z73:Z75"/>
    <mergeCell ref="Z76:Z78"/>
    <mergeCell ref="O79:Y79"/>
    <mergeCell ref="T82:U82"/>
    <mergeCell ref="O86:W86"/>
    <mergeCell ref="O87:W87"/>
    <mergeCell ref="O88:W88"/>
    <mergeCell ref="O89:W89"/>
    <mergeCell ref="O90:W90"/>
    <mergeCell ref="O91:W91"/>
    <mergeCell ref="AA98:AK98"/>
    <mergeCell ref="AD105:AE105"/>
    <mergeCell ref="AL105:AL107"/>
    <mergeCell ref="AD106:AE106"/>
    <mergeCell ref="AD107:AE107"/>
    <mergeCell ref="AL108:AL110"/>
    <mergeCell ref="AL111:AL113"/>
    <mergeCell ref="AL114:AL116"/>
    <mergeCell ref="O98:Y98"/>
    <mergeCell ref="O99:Y101"/>
    <mergeCell ref="Z99:Z101"/>
    <mergeCell ref="AA99:AK101"/>
    <mergeCell ref="AD102:AE102"/>
    <mergeCell ref="AD103:AE103"/>
    <mergeCell ref="AD104:AE104"/>
  </mergeCells>
  <conditionalFormatting sqref="A1:A21 B1:M1 N1:N21 O1:Y3 Z1:Z18 AA1:AB21 AC1:AC12 AD1:AG21 AH1:AI6 AJ1:AK21 AL1:AL12 AM1:AN21 AO1:AO12 AP1:AP21 AQ1:AQ6 AR1:AR21 AS1:AS12 AT1:AU2 B3:M21 AT4:AU12 X7:X9 Y7:Y21 O10:S12 V10:W12 AI10:AI12 AH13:AH21 AC14:AC15 AO16:AO21 AQ16 AS16:AU21 AC17:AC21 AI17:AI18 O19:X21 AQ19:AQ21 AI20:AI21 A23:G40 H23:H37 I23:I34 J23:L40 M23:M37 N23:N40 O23:O25 P23:P27 Q23:R25 W23:W24 Z23:Z34 AA23:AH40 AI23:AI34 AJ23:AK40 AL23:AL31 AM23:AN40 AP23:AP40 AQ23:AQ25 AR23:AR40 AS23:AS37 AT23:AU40 V26:W28 X26:Y40 Q28:Q31 R29:R30 S29 U29:U40 AO29:AO40 O31:O40 P32:P40 S32:T40 V32:W40 AQ32:AQ37 Q35:R40 AL35:AL37 I36:I40 AI36:AI40 A42:B59 C42:C56 D42:D59 E42:E56 F42:G59 H42:H56 I42:L59 M42:M53 N42:AE59 AF42:AI56 AJ42:AK59 AM42:AP59 AR42:AR59 AU42:AU56 AL48:AL53 AQ48 AT48:AT56 AQ50:AQ56 M57:M59 C58:C59 E58:E59 H58:H59 AI58:AI59 A61:A78 B61:B69 C61:C72 D61:D75 E61:E69 F61:F72 G61:G76 H61:I75 J61:J69 K61:M75 N61:Y78 Z61:Z75 AA61:AG78 AH61:AI75 AJ61:AK78 AL61:AL75 AM61:AP78 AQ61 AR61:AS78 AT61:AU66 AQ63 AQ67:AQ75 AT70:AU78 B73:B78 E73:E75 J73:J75 C76:C78 AI77:AI78 G78 A80:A97 B80:C94 D80:D91 E80:E90 F80:F87 G80:G94 H80:H91 I80:I97 J80:J94 K80:K91 L80:L85 M80:M88 N80:X97 Z80:AC88 AF80:AG88 AJ80:AK97 AL80:AL82 AM80:AM91 AN80:AN94 AO80:AO91 AP80:AP97 AQ80:AQ82 AR80:AR97 AS80:AU85 Y83:Y97 AI84:AI85 AQ85 AI87:AI88 F89:F94 L89:L97 AS89:AS91 AT89:AU97 AA90:AA91 AC90:AE91 AG90:AI91 E92:E94 M92:M94 AA93:AA94 AC93:AE94 AG93:AI94 AO93:AO97 D95:D97 K95:K97 AQ95:AQ97 H96:H97 AA96:AA97 AC96:AG97 AI96:AI97 A99:B116 C99:C107 D99:D116 E99:E110 F99:H107 I99:I116 J99:J107 K99:W116 X99:X113 Y99:Y116 Z99:AC107 AD99:AE113 AF99:AG101 AH99:AI107 AJ99:AK116 AN100:AO101 AP100:AP107 AR102:AR116 AF103:AG104 AN103:AO104 AF106:AG107 AN106:AN107 AO106:AO113 C109:C113 F109:G110 H109:H113 AA109:AA110 AC109:AC110 AF109:AG110 AN109:AN110 AP109:AP110 J111:J116 AH111:AI116 E112:G113 AA112:AA113 AC112:AC113 AF112:AG113 AN112:AN113 AP112:AP113 C115:C116 E115:H116 AA115:AA116 AC115:AG116 AN115:AP116">
    <cfRule type="expression" dxfId="0" priority="1">
      <formula>REGEXMATCH(A1, "(^\s+)|(\s+$)")</formula>
    </cfRule>
  </conditionalFormatting>
  <conditionalFormatting sqref="A1:A21 B1:M1 N1:N21 O1:Y3 Z1:Z18 AA1:AB21 AC1:AC12 AD1:AG21 AH1:AI6 AJ1:AK21 AL1:AL12 AM1:AN21 AO1:AO12 AP1:AP21 AQ1:AQ6 AR1:AR21 AS1:AS12 AT1:AU2 B3:M21 AT4:AU12 X7:X9 Y7:Y21 O10:S12 V10:W12 AI10:AI12 AH13:AH21 AC14:AC15 AO16:AO21 AQ16 AS16:AU21 AC17:AC21 AI17:AI18 O19:X21 AQ19:AQ21 AI20:AI21 A23:G40 H23:H37 I23:I34 J23:L40 M23:M37 N23:N40 O23:O25 P23:P27 Q23:R25 W23:W24 Z23:Z34 AA23:AH40 AI23:AI34 AJ23:AK40 AL23:AL31 AM23:AN40 AP23:AP40 AQ23:AQ25 AR23:AR40 AS23:AS37 AT23:AU40 V26:W28 X26:Y40 Q28:Q31 R29:R30 S29 U29:U40 AO29:AO40 O31:O40 P32:P40 S32:T40 V32:W40 AQ32:AQ37 Q35:R40 AL35:AL37 I36:I40 AI36:AI40 A42:B59 C42:C56 D42:D59 E42:E56 F42:G59 H42:H56 I42:L59 M42:M53 N42:AE59 AF42:AI56 AJ42:AK59 AM42:AP59 AR42:AR59 AU42:AU56 AL48:AL53 AQ48 AT48:AT56 AQ50:AQ56 M57:M59 C58:C59 E58:E59 H58:H59 AI58:AI59 A61:A78 B61:B69 C61:C72 D61:D75 E61:E69 F61:F72 G61:G76 H61:I75 J61:J69 K61:M75 N61:Y78 Z61:Z75 AA61:AG78 AH61:AI75 AJ61:AK78 AL61:AL75 AM61:AP78 AQ61 AR61:AS78 AT61:AU66 AQ63 AQ67:AQ75 AT70:AU78 B73:B78 E73:E75 J73:J75 C76:C78 AI77:AI78 G78 A80:A97 B80:C94 D80:D91 E80:E90 F80:F87 G80:G94 H80:H91 I80:I97 J80:J94 K80:K91 L80:L85 M80:M88 N80:X97 Z80:AC88 AF80:AG88 AJ80:AK97 AL80:AL82 AM80:AM91 AN80:AN94 AO80:AO91 AP80:AP97 AQ80:AQ82 AR80:AR97 AS80:AU85 Y83:Y97 AI84:AI85 AQ85 AI87:AI88 F89:F94 L89:L97 AS89:AS91 AT89:AU97 AA90:AA91 AC90:AE91 AG90:AI91 E92:E94 M92:M94 AA93:AA94 AC93:AE94 AG93:AI94 AO93:AO97 D95:D97 K95:K97 AQ95:AQ97 H96:H97 AA96:AA97 AC96:AG97 AI96:AI97 A99:B116 C99:C107 D99:D116 E99:E110 F99:H107 I99:I116 J99:J107 K99:W116 X99:X113 Y99:Y116 Z99:AC107 AD99:AE113 AF99:AG101 AH99:AI107 AJ99:AK116 AN100:AO101 AP100:AP107 AR102:AR116 AF103:AG104 AN103:AO104 AF106:AG107 AN106:AN107 AO106:AO113 C109:C113 F109:G110 H109:H113 AA109:AA110 AC109:AC110 AF109:AG110 AN109:AN110 AP109:AP110 J111:J116 AH111:AI116 E112:G113 AA112:AA113 AC112:AC113 AF112:AG113 AN112:AN113 AP112:AP113 C115:C116 E115:H116 AA115:AA116 AC115:AG116 AN115:AP116">
    <cfRule type="expression" dxfId="0" priority="2">
      <formula>REGEXMATCH(A1, "[а-яА-Я]")</formula>
    </cfRule>
  </conditionalFormatting>
  <conditionalFormatting sqref="A1:A21 B1:M1 N1:N21 O1:Y3 Z1:Z18 AA1:AB21 AC1:AC12 AD1:AG21 AH1:AI6 AJ1:AK21 AL1:AL12 AM1:AN21 AO1:AO12 AP1:AP21 AQ1:AQ6 AR1:AR21 AS1:AS12 AT1:AU2 B3:M21 AT4:AU12 X7:X9 Y7:Y21 O10:S12 V10:W12 AI10:AI12 AH13:AH21 AC14:AC15 AO16:AO21 AQ16 AS16:AU21 AC17:AC21 AI17:AI18 O19:X21 AQ19:AQ21 AI20:AI21 A23:G40 H23:H37 I23:I34 J23:L40 M23:M37 N23:N40 O23:O25 P23:P27 Q23:R25 W23:W24 Z23:Z34 AA23:AH40 AI23:AI34 AJ23:AK40 AL23:AL31 AM23:AN40 AP23:AP40 AQ23:AQ25 AR23:AR40 AS23:AS37 AT23:AU40 V26:W28 X26:Y40 Q28:Q31 R29:R30 S29 U29:U40 AO29:AO40 O31:O40 P32:P40 S32:T40 V32:W40 AQ32:AQ37 Q35:R40 AL35:AL37 I36:I40 AI36:AI40 A42:B59 C42:C56 D42:D59 E42:E56 F42:G59 H42:H56 I42:L59 M42:M53 N42:AE59 AF42:AI56 AJ42:AK59 AM42:AP59 AR42:AR59 AU42:AU56 AL48:AL53 AQ48 AT48:AT56 AQ50:AQ56 M57:M59 C58:C59 E58:E59 H58:H59 AI58:AI59 A61:A78 B61:B69 C61:C72 D61:D75 E61:E69 F61:F72 G61:G76 H61:I75 J61:J69 K61:M75 N61:Y78 Z61:Z75 AA61:AG78 AH61:AI75 AJ61:AK78 AL61:AL75 AM61:AP78 AQ61 AR61:AS78 AT61:AU66 AQ63 AQ67:AQ75 AT70:AU78 B73:B78 E73:E75 J73:J75 C76:C78 AI77:AI78 G78 A80:A97 B80:C94 D80:D91 E80:E90 F80:F87 G80:G94 H80:H91 I80:I97 J80:J94 K80:K91 L80:L85 M80:M88 N80:X97 Z80:AC88 AF80:AG88 AJ80:AK97 AL80:AL82 AM80:AM91 AN80:AN94 AO80:AO91 AP80:AP97 AQ80:AQ82 AR80:AR97 AS80:AU85 Y83:Y97 AI84:AI85 AQ85 AI87:AI88 F89:F94 L89:L97 AS89:AS91 AT89:AU97 AA90:AA91 AC90:AE91 AG90:AI91 E92:E94 M92:M94 AA93:AA94 AC93:AE94 AG93:AI94 AO93:AO97 D95:D97 K95:K97 AQ95:AQ97 H96:H97 AA96:AA97 AC96:AG97 AI96:AI97 A99:B116 C99:C107 D99:D116 E99:E110 F99:H107 I99:I116 J99:J107 K99:W116 X99:X113 Y99:Y116 Z99:AC107 AD99:AE113 AF99:AG101 AH99:AI107 AJ99:AK116 AN100:AO101 AP100:AP107 AR102:AR116 AF103:AG104 AN103:AO104 AF106:AG107 AN106:AN107 AO106:AO113 C109:C113 F109:G110 H109:H113 AA109:AA110 AC109:AC110 AF109:AG110 AN109:AN110 AP109:AP110 J111:J116 AH111:AI116 E112:G113 AA112:AA113 AC112:AC113 AF112:AG113 AN112:AN113 AP112:AP113 C115:C116 E115:H116 AA115:AA116 AC115:AG116 AN115:AP116">
    <cfRule type="expression" dxfId="0" priority="3">
      <formula>REGEXMATCH(A1, "\s{2,}")</formula>
    </cfRule>
  </conditionalFormatting>
  <conditionalFormatting sqref="A1:A21 B1:M1 N1:N21 O1:Y3 Z1:Z18 AA1:AB21 AC1:AC12 AD1:AG21 AH1:AI6 AJ1:AK21 AL1:AL12 AM1:AN21 AO1:AO12 AP1:AP21 AQ1:AQ6 AR1:AR21 AS1:AS12 AT1:AU2 B3:M21 AT4:AU12 X7:X9 Y7:Y21 O10:S12 V10:W12 AI10:AI12 AH13:AH21 AC14:AC15 AO16:AO21 AQ16 AS16:AU21 AC17:AC21 AI17:AI18 O19:X21 AQ19:AQ21 AI20:AI21 A23:G40 H23:H37 I23:I34 J23:L40 M23:M37 N23:N40 O23:O25 P23:P27 Q23:R25 W23:W24 Z23:Z34 AA23:AH40 AI23:AI34 AJ23:AK40 AL23:AL31 AM23:AN40 AP23:AP40 AQ23:AQ25 AR23:AR40 AS23:AS37 AT23:AU40 V26:W28 X26:Y40 Q28:Q31 R29:R30 S29 U29:U40 AO29:AO40 O31:O40 P32:P40 S32:T40 V32:W40 AQ32:AQ37 Q35:R40 AL35:AL37 I36:I40 AI36:AI40 A42:B59 C42:C56 D42:D59 E42:E56 F42:G59 H42:H56 I42:L59 M42:M53 N42:AE59 AF42:AI56 AJ42:AK59 AM42:AP59 AR42:AR59 AU42:AU56 AL48:AL53 AQ48 AT48:AT56 AQ50:AQ56 M57:M59 C58:C59 E58:E59 H58:H59 AI58:AI59 A61:A78 B61:B69 C61:C72 D61:D75 E61:E69 F61:F72 G61:G76 H61:I75 J61:J69 K61:M75 N61:Y78 Z61:Z75 AA61:AG78 AH61:AI75 AJ61:AK78 AL61:AL75 AM61:AP78 AQ61 AR61:AS78 AT61:AU66 AQ63 AQ67:AQ75 AT70:AU78 B73:B78 E73:E75 J73:J75 C76:C78 AI77:AI78 G78 A80:A97 B80:C94 D80:D91 E80:E90 F80:F87 G80:G94 H80:H91 I80:I97 J80:J94 K80:K91 L80:L85 M80:M88 N80:X97 Z80:AC88 AF80:AG88 AJ80:AK97 AL80:AL82 AM80:AM91 AN80:AN94 AO80:AO91 AP80:AP97 AQ80:AQ82 AR80:AR97 AS80:AU85 Y83:Y97 AI84:AI85 AQ85 AI87:AI88 F89:F94 L89:L97 AS89:AS91 AT89:AU97 AA90:AA91 AC90:AE91 AG90:AI91 E92:E94 M92:M94 AA93:AA94 AC93:AE94 AG93:AI94 AO93:AO97 D95:D97 K95:K97 AQ95:AQ97 H96:H97 AA96:AA97 AC96:AG97 AI96:AI97 A99:B116 C99:C107 D99:D116 E99:E110 F99:H107 I99:I116 J99:J107 K99:W116 X99:X113 Y99:Y116 Z99:AC107 AD99:AE113 AF99:AG101 AH99:AI107 AJ99:AK116 AN100:AO101 AP100:AP107 AR102:AR116 AF103:AG104 AN103:AO104 AF106:AG107 AN106:AN107 AO106:AO113 C109:C113 F109:G110 H109:H113 AA109:AA110 AC109:AC110 AF109:AG110 AN109:AN110 AP109:AP110 J111:J116 AH111:AI116 E112:G113 AA112:AA113 AC112:AC113 AF112:AG113 AN112:AN113 AP112:AP113 C115:C116 E115:H116 AA115:AA116 AC115:AG116 AN115:AP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1.63"/>
    <col customWidth="1" min="2" max="13" width="23.75"/>
    <col customWidth="1" min="14" max="14" width="11.63"/>
    <col customWidth="1" min="15" max="15" width="23.75"/>
    <col customWidth="1" min="16" max="25" width="22.38"/>
    <col customWidth="1" min="26" max="26" width="11.63"/>
    <col customWidth="1" min="27" max="27" width="28.25"/>
    <col customWidth="1" min="28" max="28" width="27.5"/>
    <col customWidth="1" min="29" max="29" width="29.38"/>
    <col customWidth="1" min="30" max="31" width="27.13"/>
    <col customWidth="1" min="32" max="33" width="29.38"/>
    <col customWidth="1" min="34" max="35" width="28.13"/>
    <col customWidth="1" min="36" max="37" width="26.38"/>
    <col customWidth="1" min="38" max="38" width="11.63"/>
    <col customWidth="1" min="39" max="39" width="28.13"/>
    <col customWidth="1" min="40" max="40" width="27.38"/>
    <col customWidth="1" min="41" max="41" width="34.0"/>
    <col customWidth="1" min="42" max="42" width="26.38"/>
    <col customWidth="1" min="43" max="43" width="30.13"/>
    <col customWidth="1" min="44" max="44" width="26.38"/>
    <col customWidth="1" min="45" max="45" width="11.63"/>
    <col customWidth="1" min="46" max="46" width="28.38"/>
    <col customWidth="1" min="47" max="47" width="15.38"/>
    <col customWidth="1" min="48" max="48" width="60.75"/>
    <col customWidth="1" min="49" max="49" width="92.5"/>
    <col customWidth="1" min="50" max="50" width="14.13"/>
    <col customWidth="1" min="51" max="51" width="12.88"/>
    <col customWidth="1" min="52" max="52" width="97.5"/>
    <col customWidth="1" min="53" max="86" width="12.88"/>
  </cols>
  <sheetData>
    <row r="1">
      <c r="A1" s="134"/>
      <c r="B1" s="135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136"/>
      <c r="O1" s="137" t="s">
        <v>1</v>
      </c>
      <c r="P1" s="3"/>
      <c r="Q1" s="3"/>
      <c r="R1" s="3"/>
      <c r="S1" s="3"/>
      <c r="T1" s="3"/>
      <c r="U1" s="3"/>
      <c r="V1" s="3"/>
      <c r="W1" s="3"/>
      <c r="X1" s="3"/>
      <c r="Y1" s="4"/>
      <c r="Z1" s="138"/>
      <c r="AA1" s="139" t="s">
        <v>111</v>
      </c>
      <c r="AB1" s="3"/>
      <c r="AC1" s="3"/>
      <c r="AD1" s="3"/>
      <c r="AE1" s="3"/>
      <c r="AF1" s="3"/>
      <c r="AG1" s="3"/>
      <c r="AH1" s="3"/>
      <c r="AI1" s="3"/>
      <c r="AJ1" s="3"/>
      <c r="AK1" s="4"/>
      <c r="AL1" s="138"/>
      <c r="AM1" s="137" t="s">
        <v>2</v>
      </c>
      <c r="AN1" s="3"/>
      <c r="AO1" s="3"/>
      <c r="AP1" s="3"/>
      <c r="AQ1" s="3"/>
      <c r="AR1" s="4"/>
      <c r="AS1" s="140"/>
      <c r="AT1" s="141" t="s">
        <v>112</v>
      </c>
      <c r="AU1" s="143"/>
      <c r="AV1" s="143"/>
      <c r="AW1" s="143"/>
      <c r="AX1" s="143"/>
      <c r="AY1" s="143"/>
      <c r="AZ1" s="143"/>
      <c r="BA1" s="143"/>
      <c r="BB1" s="143"/>
      <c r="BC1" s="143"/>
      <c r="BD1" s="143"/>
      <c r="BE1" s="143"/>
      <c r="BF1" s="143"/>
      <c r="BG1" s="143"/>
      <c r="BH1" s="143"/>
      <c r="BI1" s="143"/>
      <c r="BJ1" s="143"/>
      <c r="BK1" s="143"/>
      <c r="BL1" s="143"/>
      <c r="BM1" s="143"/>
      <c r="BN1" s="143"/>
      <c r="BO1" s="143"/>
      <c r="BP1" s="143"/>
      <c r="BQ1" s="143"/>
      <c r="BR1" s="143"/>
      <c r="BS1" s="143"/>
      <c r="BT1" s="143"/>
      <c r="BU1" s="143"/>
      <c r="BV1" s="143"/>
      <c r="BW1" s="143"/>
      <c r="BX1" s="143"/>
      <c r="BY1" s="143"/>
      <c r="BZ1" s="143"/>
      <c r="CA1" s="143"/>
      <c r="CB1" s="143"/>
      <c r="CC1" s="143"/>
      <c r="CD1" s="143"/>
      <c r="CE1" s="143"/>
      <c r="CF1" s="143"/>
      <c r="CG1" s="143"/>
      <c r="CH1" s="143"/>
    </row>
    <row r="2">
      <c r="A2" s="44"/>
      <c r="B2" s="144" t="s">
        <v>8</v>
      </c>
      <c r="C2" s="144" t="s">
        <v>9</v>
      </c>
      <c r="D2" s="144" t="s">
        <v>10</v>
      </c>
      <c r="E2" s="144" t="s">
        <v>11</v>
      </c>
      <c r="F2" s="144" t="s">
        <v>12</v>
      </c>
      <c r="G2" s="144" t="s">
        <v>13</v>
      </c>
      <c r="H2" s="144" t="s">
        <v>14</v>
      </c>
      <c r="I2" s="144" t="s">
        <v>15</v>
      </c>
      <c r="J2" s="144" t="s">
        <v>16</v>
      </c>
      <c r="K2" s="144" t="s">
        <v>17</v>
      </c>
      <c r="L2" s="144" t="s">
        <v>18</v>
      </c>
      <c r="M2" s="144" t="s">
        <v>19</v>
      </c>
      <c r="N2" s="47"/>
      <c r="O2" s="144" t="s">
        <v>20</v>
      </c>
      <c r="P2" s="144" t="s">
        <v>21</v>
      </c>
      <c r="Q2" s="144" t="s">
        <v>22</v>
      </c>
      <c r="R2" s="144" t="s">
        <v>23</v>
      </c>
      <c r="S2" s="144" t="s">
        <v>24</v>
      </c>
      <c r="T2" s="144" t="s">
        <v>25</v>
      </c>
      <c r="U2" s="144" t="s">
        <v>26</v>
      </c>
      <c r="V2" s="144" t="s">
        <v>27</v>
      </c>
      <c r="W2" s="144" t="s">
        <v>28</v>
      </c>
      <c r="X2" s="144" t="s">
        <v>29</v>
      </c>
      <c r="Y2" s="144" t="s">
        <v>30</v>
      </c>
      <c r="Z2" s="44"/>
      <c r="AA2" s="144" t="s">
        <v>114</v>
      </c>
      <c r="AB2" s="144" t="s">
        <v>115</v>
      </c>
      <c r="AC2" s="144" t="s">
        <v>116</v>
      </c>
      <c r="AD2" s="144" t="s">
        <v>117</v>
      </c>
      <c r="AE2" s="144" t="s">
        <v>118</v>
      </c>
      <c r="AF2" s="144" t="s">
        <v>119</v>
      </c>
      <c r="AG2" s="144" t="s">
        <v>120</v>
      </c>
      <c r="AH2" s="144" t="s">
        <v>121</v>
      </c>
      <c r="AI2" s="144" t="s">
        <v>122</v>
      </c>
      <c r="AJ2" s="144" t="s">
        <v>123</v>
      </c>
      <c r="AK2" s="144" t="s">
        <v>124</v>
      </c>
      <c r="AL2" s="44"/>
      <c r="AM2" s="144" t="s">
        <v>31</v>
      </c>
      <c r="AN2" s="144" t="s">
        <v>32</v>
      </c>
      <c r="AO2" s="144" t="s">
        <v>33</v>
      </c>
      <c r="AP2" s="144" t="s">
        <v>125</v>
      </c>
      <c r="AQ2" s="145" t="s">
        <v>36</v>
      </c>
      <c r="AR2" s="144" t="s">
        <v>37</v>
      </c>
      <c r="AS2" s="44"/>
      <c r="AT2" s="146" t="s">
        <v>126</v>
      </c>
      <c r="AU2" s="143"/>
      <c r="AV2" s="143"/>
      <c r="AW2" s="143"/>
      <c r="AX2" s="143"/>
      <c r="AY2" s="143"/>
      <c r="AZ2" s="143"/>
      <c r="BA2" s="143"/>
      <c r="BB2" s="143"/>
      <c r="BC2" s="143"/>
      <c r="BD2" s="143"/>
      <c r="BE2" s="143"/>
      <c r="BF2" s="143"/>
      <c r="BG2" s="143"/>
      <c r="BH2" s="143"/>
      <c r="BI2" s="143"/>
      <c r="BJ2" s="143"/>
      <c r="BK2" s="143"/>
      <c r="BL2" s="143"/>
      <c r="BM2" s="143"/>
      <c r="BN2" s="143"/>
      <c r="BO2" s="143"/>
      <c r="BP2" s="143"/>
      <c r="BQ2" s="143"/>
      <c r="BR2" s="143"/>
      <c r="BS2" s="143"/>
      <c r="BT2" s="143"/>
      <c r="BU2" s="143"/>
      <c r="BV2" s="143"/>
      <c r="BW2" s="143"/>
      <c r="BX2" s="143"/>
      <c r="BY2" s="143"/>
      <c r="BZ2" s="143"/>
      <c r="CA2" s="143"/>
      <c r="CB2" s="143"/>
      <c r="CC2" s="143"/>
      <c r="CD2" s="143"/>
      <c r="CE2" s="143"/>
      <c r="CF2" s="143"/>
      <c r="CG2" s="143"/>
      <c r="CH2" s="143"/>
    </row>
    <row r="3">
      <c r="A3" s="147" t="s">
        <v>38</v>
      </c>
      <c r="B3" s="148"/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149" t="s">
        <v>38</v>
      </c>
      <c r="O3" s="148"/>
      <c r="P3" s="46"/>
      <c r="Q3" s="46"/>
      <c r="R3" s="46"/>
      <c r="S3" s="46"/>
      <c r="T3" s="46"/>
      <c r="U3" s="46"/>
      <c r="V3" s="46"/>
      <c r="W3" s="46"/>
      <c r="X3" s="46"/>
      <c r="Y3" s="47"/>
      <c r="Z3" s="147" t="s">
        <v>38</v>
      </c>
      <c r="AA3" s="148"/>
      <c r="AB3" s="46"/>
      <c r="AC3" s="46"/>
      <c r="AD3" s="46"/>
      <c r="AE3" s="46"/>
      <c r="AF3" s="46"/>
      <c r="AG3" s="46"/>
      <c r="AH3" s="46"/>
      <c r="AI3" s="46"/>
      <c r="AJ3" s="46"/>
      <c r="AK3" s="47"/>
      <c r="AL3" s="147" t="s">
        <v>38</v>
      </c>
      <c r="AM3" s="148"/>
      <c r="AN3" s="46"/>
      <c r="AO3" s="46"/>
      <c r="AP3" s="46"/>
      <c r="AQ3" s="46"/>
      <c r="AR3" s="47"/>
      <c r="AS3" s="147" t="s">
        <v>38</v>
      </c>
      <c r="AT3" s="150"/>
      <c r="AU3" s="151"/>
      <c r="AV3" s="151"/>
      <c r="AW3" s="151"/>
      <c r="AX3" s="151"/>
      <c r="AY3" s="151"/>
      <c r="AZ3" s="151"/>
      <c r="BA3" s="151"/>
      <c r="BB3" s="151"/>
      <c r="BC3" s="151"/>
      <c r="BD3" s="151"/>
      <c r="BE3" s="151"/>
      <c r="BF3" s="151"/>
      <c r="BG3" s="151"/>
      <c r="BH3" s="151"/>
      <c r="BI3" s="151"/>
      <c r="BJ3" s="151"/>
      <c r="BK3" s="151"/>
      <c r="BL3" s="151"/>
      <c r="BM3" s="151"/>
      <c r="BN3" s="151"/>
      <c r="BO3" s="151"/>
      <c r="BP3" s="151"/>
      <c r="BQ3" s="151"/>
      <c r="BR3" s="151"/>
      <c r="BS3" s="151"/>
      <c r="BT3" s="151"/>
      <c r="BU3" s="151"/>
      <c r="BV3" s="151"/>
      <c r="BW3" s="151"/>
      <c r="BX3" s="151"/>
      <c r="BY3" s="151"/>
      <c r="BZ3" s="151"/>
      <c r="CA3" s="151"/>
      <c r="CB3" s="151"/>
      <c r="CC3" s="151"/>
      <c r="CD3" s="151"/>
      <c r="CE3" s="151"/>
      <c r="CF3" s="151"/>
      <c r="CG3" s="151"/>
      <c r="CH3" s="151"/>
    </row>
    <row r="4" ht="30.75" customHeight="1">
      <c r="A4" s="152" t="s">
        <v>39</v>
      </c>
      <c r="B4" s="153" t="s">
        <v>127</v>
      </c>
      <c r="M4" s="23"/>
      <c r="N4" s="154" t="s">
        <v>128</v>
      </c>
      <c r="O4" s="155" t="s">
        <v>129</v>
      </c>
      <c r="Y4" s="23"/>
      <c r="Z4" s="154" t="s">
        <v>130</v>
      </c>
      <c r="AA4" s="156"/>
      <c r="AB4" s="156"/>
      <c r="AC4" s="156"/>
      <c r="AD4" s="156"/>
      <c r="AE4" s="156"/>
      <c r="AF4" s="157" t="s">
        <v>131</v>
      </c>
      <c r="AG4" s="23"/>
      <c r="AH4" s="158"/>
      <c r="AI4" s="159"/>
      <c r="AJ4" s="156"/>
      <c r="AK4" s="156"/>
      <c r="AL4" s="152" t="s">
        <v>39</v>
      </c>
      <c r="AM4" s="156"/>
      <c r="AN4" s="156"/>
      <c r="AO4" s="156"/>
      <c r="AP4" s="156"/>
      <c r="AQ4" s="156"/>
      <c r="AR4" s="156"/>
      <c r="AS4" s="152" t="s">
        <v>39</v>
      </c>
      <c r="AT4" s="161"/>
      <c r="AU4" s="162"/>
      <c r="AV4" s="162" t="s">
        <v>132</v>
      </c>
      <c r="AW4" s="163"/>
      <c r="AX4" s="163"/>
      <c r="AY4" s="163"/>
      <c r="AZ4" s="164" t="s">
        <v>133</v>
      </c>
      <c r="BA4" s="163"/>
      <c r="BB4" s="163"/>
      <c r="BC4" s="163"/>
      <c r="BD4" s="163"/>
      <c r="BE4" s="163"/>
      <c r="BF4" s="163"/>
      <c r="BG4" s="163"/>
      <c r="BH4" s="163"/>
      <c r="BI4" s="163"/>
      <c r="BJ4" s="163"/>
      <c r="BK4" s="163"/>
      <c r="BL4" s="163"/>
      <c r="BM4" s="163"/>
      <c r="BN4" s="163"/>
      <c r="BO4" s="163"/>
      <c r="BP4" s="163"/>
      <c r="BQ4" s="163"/>
      <c r="BR4" s="163"/>
      <c r="BS4" s="163"/>
      <c r="BT4" s="163"/>
      <c r="BU4" s="163"/>
      <c r="BV4" s="163"/>
      <c r="BW4" s="163"/>
      <c r="BX4" s="163"/>
      <c r="BY4" s="163"/>
      <c r="BZ4" s="163"/>
      <c r="CA4" s="163"/>
      <c r="CB4" s="163"/>
      <c r="CC4" s="163"/>
      <c r="CD4" s="163"/>
      <c r="CE4" s="163"/>
      <c r="CF4" s="163"/>
      <c r="CG4" s="163"/>
      <c r="CH4" s="163"/>
    </row>
    <row r="5">
      <c r="A5" s="38"/>
      <c r="B5" s="515" t="s">
        <v>134</v>
      </c>
      <c r="M5" s="23"/>
      <c r="N5" s="23"/>
      <c r="O5" s="166" t="s">
        <v>135</v>
      </c>
      <c r="Y5" s="23"/>
      <c r="Z5" s="23"/>
      <c r="AA5" s="156"/>
      <c r="AB5" s="156"/>
      <c r="AC5" s="156"/>
      <c r="AD5" s="156"/>
      <c r="AE5" s="156"/>
      <c r="AF5" s="167" t="s">
        <v>136</v>
      </c>
      <c r="AG5" s="23"/>
      <c r="AH5" s="168"/>
      <c r="AI5" s="159"/>
      <c r="AJ5" s="156"/>
      <c r="AK5" s="156"/>
      <c r="AL5" s="38"/>
      <c r="AM5" s="156"/>
      <c r="AN5" s="156"/>
      <c r="AO5" s="156"/>
      <c r="AP5" s="156"/>
      <c r="AQ5" s="156"/>
      <c r="AR5" s="156"/>
      <c r="AS5" s="38"/>
      <c r="AT5" s="161"/>
      <c r="AU5" s="163"/>
      <c r="AV5" s="163"/>
      <c r="AW5" s="163" t="str">
        <f t="array" ref="AW5">TEXTJOIN(" | ", 1, A6:AT6)</f>
        <v>108 | ONLINE | ONLINE</v>
      </c>
      <c r="AX5" s="163"/>
      <c r="AY5" s="163"/>
      <c r="AZ5" s="163"/>
      <c r="BA5" s="163"/>
      <c r="BB5" s="163"/>
      <c r="BC5" s="163"/>
      <c r="BD5" s="163"/>
      <c r="BE5" s="163"/>
      <c r="BF5" s="163"/>
      <c r="BG5" s="163"/>
      <c r="BH5" s="163"/>
      <c r="BI5" s="163"/>
      <c r="BJ5" s="163"/>
      <c r="BK5" s="163"/>
      <c r="BL5" s="163"/>
      <c r="BM5" s="163"/>
      <c r="BN5" s="163"/>
      <c r="BO5" s="163"/>
      <c r="BP5" s="163"/>
      <c r="BQ5" s="163"/>
      <c r="BR5" s="163"/>
      <c r="BS5" s="163"/>
      <c r="BT5" s="163"/>
      <c r="BU5" s="163"/>
      <c r="BV5" s="163"/>
      <c r="BW5" s="163"/>
      <c r="BX5" s="163"/>
      <c r="BY5" s="163"/>
      <c r="BZ5" s="163"/>
      <c r="CA5" s="163"/>
      <c r="CB5" s="163"/>
      <c r="CC5" s="163"/>
      <c r="CD5" s="163"/>
      <c r="CE5" s="163"/>
      <c r="CF5" s="163"/>
      <c r="CG5" s="163"/>
      <c r="CH5" s="163"/>
    </row>
    <row r="6">
      <c r="A6" s="44"/>
      <c r="B6" s="170">
        <v>108.0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7"/>
      <c r="N6" s="47"/>
      <c r="O6" s="171" t="s">
        <v>137</v>
      </c>
      <c r="P6" s="46"/>
      <c r="Q6" s="46"/>
      <c r="R6" s="46"/>
      <c r="S6" s="46"/>
      <c r="T6" s="46"/>
      <c r="U6" s="46"/>
      <c r="V6" s="46"/>
      <c r="W6" s="46"/>
      <c r="X6" s="46"/>
      <c r="Y6" s="47"/>
      <c r="Z6" s="47"/>
      <c r="AA6" s="172"/>
      <c r="AB6" s="172"/>
      <c r="AC6" s="172"/>
      <c r="AD6" s="172"/>
      <c r="AE6" s="172"/>
      <c r="AF6" s="173" t="s">
        <v>137</v>
      </c>
      <c r="AG6" s="47"/>
      <c r="AH6" s="174"/>
      <c r="AI6" s="175"/>
      <c r="AJ6" s="172"/>
      <c r="AK6" s="172"/>
      <c r="AL6" s="44"/>
      <c r="AM6" s="172"/>
      <c r="AN6" s="172"/>
      <c r="AO6" s="172"/>
      <c r="AP6" s="172"/>
      <c r="AQ6" s="172"/>
      <c r="AR6" s="172"/>
      <c r="AS6" s="44"/>
      <c r="AT6" s="177"/>
      <c r="AU6" s="164"/>
      <c r="AV6" s="164" t="str">
        <f>IFERROR(__xludf.DUMMYFUNCTION("TEXTJOIN("" / "", TRUE, FILTER(TO_TEXT(SPLIT($AZ$4, "" / "")), NOT(REGEXMATCH(TO_TEXT(SPLIT($AZ$4, "" / "")), ""\b"" &amp; TEXTJOIN(""|"", TRUE, SPLIT(AW6, "" / "")) &amp; ""\b""))))"),"101 / 102 / 103 / 104 / 105 / 106 / 107 / 111 / 209 / 300 / 301 / 303 / 304 / 305 / 306 / 307 / 308 / 312 / 313 / 314 / 316 / 317 / 318 / 320 / 321 / 421 / 460 / 461")</f>
        <v>101 / 102 / 103 / 104 / 105 / 106 / 107 / 111 / 209 / 300 / 301 / 303 / 304 / 305 / 306 / 307 / 308 / 312 / 313 / 314 / 316 / 317 / 318 / 320 / 321 / 421 / 460 / 461</v>
      </c>
      <c r="AW6" s="178" t="str">
        <f>IFERROR(__xludf.DUMMYFUNCTION("TEXTJOIN("" / "", 1, SORT(UNIQUE(TRANSPOSE(SPLIT(TRIM(REGEXREPLACE(AW5,""([0-9]{3}[a-zA-Z]?)|."",""$1 "")), "" "")))))"),"108")</f>
        <v>108</v>
      </c>
      <c r="AX6" s="163"/>
      <c r="AY6" s="163"/>
      <c r="AZ6" s="163"/>
      <c r="BA6" s="163"/>
      <c r="BB6" s="163"/>
      <c r="BC6" s="163"/>
      <c r="BD6" s="163"/>
      <c r="BE6" s="163"/>
      <c r="BF6" s="163"/>
      <c r="BG6" s="163"/>
      <c r="BH6" s="163"/>
      <c r="BI6" s="163"/>
      <c r="BJ6" s="163"/>
      <c r="BK6" s="163"/>
      <c r="BL6" s="163"/>
      <c r="BM6" s="163"/>
      <c r="BN6" s="163"/>
      <c r="BO6" s="163"/>
      <c r="BP6" s="163"/>
      <c r="BQ6" s="163"/>
      <c r="BR6" s="163"/>
      <c r="BS6" s="163"/>
      <c r="BT6" s="163"/>
      <c r="BU6" s="163"/>
      <c r="BV6" s="163"/>
      <c r="BW6" s="163"/>
      <c r="BX6" s="163"/>
      <c r="BY6" s="163"/>
      <c r="BZ6" s="163"/>
      <c r="CA6" s="163"/>
      <c r="CB6" s="163"/>
      <c r="CC6" s="163"/>
      <c r="CD6" s="163"/>
      <c r="CE6" s="163"/>
      <c r="CF6" s="163"/>
      <c r="CG6" s="163"/>
      <c r="CH6" s="163"/>
    </row>
    <row r="7">
      <c r="A7" s="152" t="s">
        <v>49</v>
      </c>
      <c r="B7" s="153" t="s">
        <v>138</v>
      </c>
      <c r="M7" s="23"/>
      <c r="N7" s="154" t="s">
        <v>139</v>
      </c>
      <c r="O7" s="179" t="s">
        <v>140</v>
      </c>
      <c r="S7" s="23"/>
      <c r="T7" s="180" t="s">
        <v>141</v>
      </c>
      <c r="U7" s="23"/>
      <c r="V7" s="181" t="s">
        <v>142</v>
      </c>
      <c r="W7" s="23"/>
      <c r="X7" s="182" t="s">
        <v>143</v>
      </c>
      <c r="Y7" s="183" t="s">
        <v>144</v>
      </c>
      <c r="Z7" s="154" t="s">
        <v>145</v>
      </c>
      <c r="AA7" s="156"/>
      <c r="AB7" s="156"/>
      <c r="AC7" s="156"/>
      <c r="AD7" s="156"/>
      <c r="AE7" s="156"/>
      <c r="AF7" s="184" t="s">
        <v>146</v>
      </c>
      <c r="AG7" s="158"/>
      <c r="AH7" s="180" t="s">
        <v>141</v>
      </c>
      <c r="AI7" s="23"/>
      <c r="AJ7" s="185" t="s">
        <v>147</v>
      </c>
      <c r="AK7" s="158"/>
      <c r="AL7" s="152" t="s">
        <v>49</v>
      </c>
      <c r="AM7" s="156"/>
      <c r="AN7" s="156"/>
      <c r="AO7" s="156"/>
      <c r="AP7" s="156"/>
      <c r="AQ7" s="247" t="s">
        <v>265</v>
      </c>
      <c r="AR7" s="156"/>
      <c r="AS7" s="152" t="s">
        <v>49</v>
      </c>
      <c r="AT7" s="161"/>
      <c r="AW7" s="163"/>
      <c r="AX7" s="163"/>
      <c r="AY7" s="163"/>
      <c r="AZ7" s="163"/>
      <c r="BA7" s="163"/>
      <c r="BB7" s="163"/>
      <c r="BC7" s="163"/>
      <c r="BD7" s="163"/>
      <c r="BE7" s="163"/>
      <c r="BF7" s="163"/>
      <c r="BG7" s="163"/>
      <c r="BH7" s="163"/>
      <c r="BI7" s="163"/>
      <c r="BJ7" s="163"/>
      <c r="BK7" s="163"/>
      <c r="BL7" s="163"/>
      <c r="BM7" s="163"/>
      <c r="BN7" s="163"/>
      <c r="BO7" s="163"/>
      <c r="BP7" s="163"/>
      <c r="BQ7" s="163"/>
      <c r="BR7" s="163"/>
      <c r="BS7" s="163"/>
      <c r="BT7" s="163"/>
      <c r="BU7" s="163"/>
      <c r="BV7" s="163"/>
      <c r="BW7" s="163"/>
      <c r="BX7" s="163"/>
      <c r="BY7" s="163"/>
      <c r="BZ7" s="163"/>
      <c r="CA7" s="163"/>
      <c r="CB7" s="163"/>
      <c r="CC7" s="163"/>
      <c r="CD7" s="163"/>
      <c r="CE7" s="163"/>
      <c r="CF7" s="163"/>
      <c r="CG7" s="163"/>
      <c r="CH7" s="163"/>
    </row>
    <row r="8">
      <c r="A8" s="38"/>
      <c r="B8" s="515" t="s">
        <v>134</v>
      </c>
      <c r="M8" s="23"/>
      <c r="N8" s="23"/>
      <c r="O8" s="187" t="s">
        <v>79</v>
      </c>
      <c r="S8" s="23"/>
      <c r="T8" s="188" t="s">
        <v>45</v>
      </c>
      <c r="U8" s="23"/>
      <c r="V8" s="189" t="s">
        <v>149</v>
      </c>
      <c r="W8" s="23"/>
      <c r="X8" s="190" t="s">
        <v>150</v>
      </c>
      <c r="Y8" s="191" t="s">
        <v>151</v>
      </c>
      <c r="Z8" s="23"/>
      <c r="AA8" s="156"/>
      <c r="AB8" s="156"/>
      <c r="AC8" s="156"/>
      <c r="AD8" s="156"/>
      <c r="AE8" s="156"/>
      <c r="AF8" s="192" t="s">
        <v>152</v>
      </c>
      <c r="AG8" s="168"/>
      <c r="AH8" s="188" t="s">
        <v>45</v>
      </c>
      <c r="AI8" s="23"/>
      <c r="AJ8" s="193" t="s">
        <v>153</v>
      </c>
      <c r="AK8" s="154"/>
      <c r="AL8" s="38"/>
      <c r="AM8" s="156"/>
      <c r="AN8" s="156"/>
      <c r="AO8" s="156"/>
      <c r="AP8" s="156"/>
      <c r="AQ8" s="337" t="s">
        <v>272</v>
      </c>
      <c r="AR8" s="156"/>
      <c r="AS8" s="38"/>
      <c r="AT8" s="161"/>
      <c r="AU8" s="163"/>
      <c r="AV8" s="163"/>
      <c r="AW8" s="163" t="str">
        <f t="array" ref="AW8">TEXTJOIN(" | ", 1, A9:AT9)</f>
        <v>108 | 105 | 106 | ONLINE | 103 | 321 | 209 | 106 STARTS AT 10:50 | 111 | ONLINE ON 03/03, 10/03 STARTS AT 11:00 TILL 12:30</v>
      </c>
      <c r="AX8" s="163"/>
      <c r="AY8" s="163"/>
      <c r="AZ8" s="163"/>
      <c r="BA8" s="163"/>
      <c r="BB8" s="163"/>
      <c r="BC8" s="163"/>
      <c r="BD8" s="163"/>
      <c r="BE8" s="163"/>
      <c r="BF8" s="163"/>
      <c r="BG8" s="163"/>
      <c r="BH8" s="163"/>
      <c r="BI8" s="163"/>
      <c r="BJ8" s="163"/>
      <c r="BK8" s="163"/>
      <c r="BL8" s="163"/>
      <c r="BM8" s="163"/>
      <c r="BN8" s="163"/>
      <c r="BO8" s="163"/>
      <c r="BP8" s="163"/>
      <c r="BQ8" s="163"/>
      <c r="BR8" s="163"/>
      <c r="BS8" s="163"/>
      <c r="BT8" s="163"/>
      <c r="BU8" s="163"/>
      <c r="BV8" s="163"/>
      <c r="BW8" s="163"/>
      <c r="BX8" s="163"/>
      <c r="BY8" s="163"/>
      <c r="BZ8" s="163"/>
      <c r="CA8" s="163"/>
      <c r="CB8" s="163"/>
      <c r="CC8" s="163"/>
      <c r="CD8" s="163"/>
      <c r="CE8" s="163"/>
      <c r="CF8" s="163"/>
      <c r="CG8" s="163"/>
      <c r="CH8" s="163"/>
    </row>
    <row r="9">
      <c r="A9" s="44"/>
      <c r="B9" s="195">
        <v>108.0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7"/>
      <c r="N9" s="47"/>
      <c r="O9" s="196">
        <v>105.0</v>
      </c>
      <c r="P9" s="46"/>
      <c r="Q9" s="46"/>
      <c r="R9" s="46"/>
      <c r="S9" s="47"/>
      <c r="T9" s="197">
        <v>106.0</v>
      </c>
      <c r="U9" s="47"/>
      <c r="V9" s="198" t="s">
        <v>137</v>
      </c>
      <c r="W9" s="47"/>
      <c r="X9" s="199">
        <v>103.0</v>
      </c>
      <c r="Y9" s="200">
        <v>321.0</v>
      </c>
      <c r="Z9" s="47"/>
      <c r="AA9" s="172"/>
      <c r="AB9" s="172"/>
      <c r="AC9" s="172"/>
      <c r="AD9" s="172"/>
      <c r="AE9" s="172"/>
      <c r="AF9" s="201">
        <v>209.0</v>
      </c>
      <c r="AG9" s="202"/>
      <c r="AH9" s="203" t="s">
        <v>155</v>
      </c>
      <c r="AI9" s="47"/>
      <c r="AJ9" s="204">
        <v>111.0</v>
      </c>
      <c r="AK9" s="174"/>
      <c r="AL9" s="44"/>
      <c r="AM9" s="172"/>
      <c r="AN9" s="172"/>
      <c r="AO9" s="172"/>
      <c r="AP9" s="172"/>
      <c r="AQ9" s="344" t="s">
        <v>393</v>
      </c>
      <c r="AR9" s="172"/>
      <c r="AS9" s="44"/>
      <c r="AT9" s="177"/>
      <c r="AU9" s="164"/>
      <c r="AV9" s="164" t="str">
        <f>IFERROR(__xludf.DUMMYFUNCTION("TEXTJOIN("" / "", TRUE, FILTER(TO_TEXT(SPLIT($AZ$4, "" / "")), NOT(REGEXMATCH(TO_TEXT(SPLIT($AZ$4, "" / "")), ""\b"" &amp; TEXTJOIN(""|"", TRUE, SPLIT(AW9, "" / "")) &amp; ""\b""))))"),"101 / 102 / 104 / 107 / 300 / 301 / 303 / 304 / 305 / 306 / 307 / 308 / 312 / 313 / 314 / 316 / 317 / 318 / 320 / 421 / 460 / 461")</f>
        <v>101 / 102 / 104 / 107 / 300 / 301 / 303 / 304 / 305 / 306 / 307 / 308 / 312 / 313 / 314 / 316 / 317 / 318 / 320 / 421 / 460 / 461</v>
      </c>
      <c r="AW9" s="178" t="str">
        <f>IFERROR(__xludf.DUMMYFUNCTION("TEXTJOIN("" / "", 1, SORT(UNIQUE(TRANSPOSE(SPLIT(TRIM(REGEXREPLACE(AW8,""([0-9]{3}[a-zA-Z]?)|."",""$1 "")), "" "")))))"),"103 / 105 / 106 / 108 / 111 / 209 / 321")</f>
        <v>103 / 105 / 106 / 108 / 111 / 209 / 321</v>
      </c>
      <c r="AX9" s="163"/>
      <c r="AY9" s="163"/>
      <c r="AZ9" s="163"/>
      <c r="BA9" s="163"/>
      <c r="BB9" s="163"/>
      <c r="BC9" s="163"/>
      <c r="BD9" s="163"/>
      <c r="BE9" s="163"/>
      <c r="BF9" s="163"/>
      <c r="BG9" s="163"/>
      <c r="BH9" s="163"/>
      <c r="BI9" s="163"/>
      <c r="BJ9" s="163"/>
      <c r="BK9" s="163"/>
      <c r="BL9" s="163"/>
      <c r="BM9" s="163"/>
      <c r="BN9" s="163"/>
      <c r="BO9" s="163"/>
      <c r="BP9" s="163"/>
      <c r="BQ9" s="163"/>
      <c r="BR9" s="163"/>
      <c r="BS9" s="163"/>
      <c r="BT9" s="163"/>
      <c r="BU9" s="163"/>
      <c r="BV9" s="163"/>
      <c r="BW9" s="163"/>
      <c r="BX9" s="163"/>
      <c r="BY9" s="163"/>
      <c r="BZ9" s="163"/>
      <c r="CA9" s="163"/>
      <c r="CB9" s="163"/>
      <c r="CC9" s="163"/>
      <c r="CD9" s="163"/>
      <c r="CE9" s="163"/>
      <c r="CF9" s="163"/>
      <c r="CG9" s="163"/>
      <c r="CH9" s="163"/>
    </row>
    <row r="10">
      <c r="A10" s="152" t="s">
        <v>51</v>
      </c>
      <c r="B10" s="207" t="s">
        <v>156</v>
      </c>
      <c r="C10" s="208" t="s">
        <v>157</v>
      </c>
      <c r="D10" s="207" t="s">
        <v>156</v>
      </c>
      <c r="E10" s="208" t="s">
        <v>157</v>
      </c>
      <c r="F10" s="208" t="s">
        <v>157</v>
      </c>
      <c r="G10" s="208" t="s">
        <v>157</v>
      </c>
      <c r="H10" s="207" t="s">
        <v>156</v>
      </c>
      <c r="I10" s="208" t="s">
        <v>157</v>
      </c>
      <c r="J10" s="207" t="s">
        <v>156</v>
      </c>
      <c r="K10" s="208" t="s">
        <v>157</v>
      </c>
      <c r="L10" s="63"/>
      <c r="M10" s="208" t="s">
        <v>157</v>
      </c>
      <c r="N10" s="154" t="s">
        <v>158</v>
      </c>
      <c r="O10" s="156"/>
      <c r="P10" s="227"/>
      <c r="Q10" s="156"/>
      <c r="R10" s="143"/>
      <c r="S10" s="228"/>
      <c r="T10" s="159"/>
      <c r="U10" s="210" t="s">
        <v>160</v>
      </c>
      <c r="V10" s="156"/>
      <c r="W10" s="156"/>
      <c r="X10" s="156"/>
      <c r="Y10" s="183" t="s">
        <v>161</v>
      </c>
      <c r="Z10" s="154" t="s">
        <v>162</v>
      </c>
      <c r="AA10" s="179" t="s">
        <v>163</v>
      </c>
      <c r="AC10" s="23"/>
      <c r="AD10" s="156"/>
      <c r="AE10" s="156"/>
      <c r="AF10" s="159"/>
      <c r="AG10" s="184" t="s">
        <v>146</v>
      </c>
      <c r="AH10" s="210" t="s">
        <v>160</v>
      </c>
      <c r="AI10" s="159"/>
      <c r="AJ10" s="185" t="s">
        <v>164</v>
      </c>
      <c r="AK10" s="156"/>
      <c r="AL10" s="152" t="s">
        <v>51</v>
      </c>
      <c r="AM10" s="156"/>
      <c r="AN10" s="156"/>
      <c r="AO10" s="156"/>
      <c r="AP10" s="156"/>
      <c r="AQ10" s="247" t="s">
        <v>265</v>
      </c>
      <c r="AR10" s="156"/>
      <c r="AS10" s="152" t="s">
        <v>51</v>
      </c>
      <c r="AT10" s="211"/>
      <c r="AU10" s="163"/>
      <c r="AV10" s="163"/>
      <c r="AW10" s="163"/>
      <c r="AX10" s="163"/>
      <c r="AY10" s="163"/>
      <c r="AZ10" s="163"/>
      <c r="BA10" s="163"/>
      <c r="BB10" s="163"/>
      <c r="BC10" s="163"/>
      <c r="BD10" s="163"/>
      <c r="BE10" s="163"/>
      <c r="BF10" s="163"/>
      <c r="BG10" s="163"/>
      <c r="BH10" s="163"/>
      <c r="BI10" s="163"/>
      <c r="BJ10" s="163"/>
      <c r="BK10" s="163"/>
      <c r="BL10" s="163"/>
      <c r="BM10" s="163"/>
      <c r="BN10" s="163"/>
      <c r="BO10" s="163"/>
      <c r="BP10" s="163"/>
      <c r="BQ10" s="163"/>
      <c r="BR10" s="163"/>
      <c r="BS10" s="163"/>
      <c r="BT10" s="163"/>
      <c r="BU10" s="163"/>
      <c r="BV10" s="163"/>
      <c r="BW10" s="163"/>
      <c r="BX10" s="163"/>
      <c r="BY10" s="163"/>
      <c r="BZ10" s="163"/>
      <c r="CA10" s="163"/>
      <c r="CB10" s="163"/>
      <c r="CC10" s="163"/>
      <c r="CD10" s="163"/>
      <c r="CE10" s="163"/>
      <c r="CF10" s="163"/>
      <c r="CG10" s="163"/>
      <c r="CH10" s="163"/>
    </row>
    <row r="11">
      <c r="A11" s="38"/>
      <c r="B11" s="212" t="s">
        <v>54</v>
      </c>
      <c r="C11" s="213" t="s">
        <v>165</v>
      </c>
      <c r="D11" s="212" t="s">
        <v>166</v>
      </c>
      <c r="E11" s="213" t="s">
        <v>165</v>
      </c>
      <c r="F11" s="213" t="s">
        <v>165</v>
      </c>
      <c r="G11" s="213" t="s">
        <v>165</v>
      </c>
      <c r="H11" s="214" t="s">
        <v>167</v>
      </c>
      <c r="I11" s="213" t="s">
        <v>165</v>
      </c>
      <c r="J11" s="212" t="s">
        <v>168</v>
      </c>
      <c r="K11" s="213" t="s">
        <v>165</v>
      </c>
      <c r="L11" s="69"/>
      <c r="M11" s="213" t="s">
        <v>165</v>
      </c>
      <c r="N11" s="23"/>
      <c r="O11" s="156"/>
      <c r="P11" s="234"/>
      <c r="Q11" s="156"/>
      <c r="R11" s="143"/>
      <c r="S11" s="161"/>
      <c r="T11" s="159"/>
      <c r="U11" s="216" t="s">
        <v>170</v>
      </c>
      <c r="V11" s="156"/>
      <c r="W11" s="156"/>
      <c r="X11" s="156"/>
      <c r="Y11" s="217" t="s">
        <v>151</v>
      </c>
      <c r="Z11" s="23"/>
      <c r="AA11" s="218" t="s">
        <v>134</v>
      </c>
      <c r="AC11" s="23"/>
      <c r="AD11" s="156"/>
      <c r="AE11" s="156"/>
      <c r="AF11" s="159"/>
      <c r="AG11" s="192" t="s">
        <v>152</v>
      </c>
      <c r="AH11" s="216" t="s">
        <v>150</v>
      </c>
      <c r="AI11" s="159"/>
      <c r="AJ11" s="219" t="s">
        <v>153</v>
      </c>
      <c r="AK11" s="156"/>
      <c r="AL11" s="38"/>
      <c r="AM11" s="156"/>
      <c r="AN11" s="156"/>
      <c r="AO11" s="156"/>
      <c r="AP11" s="156"/>
      <c r="AQ11" s="337" t="s">
        <v>272</v>
      </c>
      <c r="AR11" s="156"/>
      <c r="AS11" s="38"/>
      <c r="AT11" s="211"/>
      <c r="AU11" s="163"/>
      <c r="AV11" s="163"/>
      <c r="AW11" s="163" t="str">
        <f t="array" ref="AW11">TEXTJOIN(" | ", 1, A12:AT12)</f>
        <v>308 | 103/104/301/304/306/317/421 | 300 | 103/104/301/304/306/317/421 | 103/104/301/304/306/317/421 | 103/104/301/304/306/317/421 | 303 | 103/104/301/304/306/317/421 | 101 | 103/104/301/304/306/317/421 | 103/104/301/304/306/317/421 | 320 | 321 | 106 | 209 | 461 | 111 | ONLINE ON 03/03, 10/03 STARTS AT 12:30 TILL 14:00</v>
      </c>
      <c r="AX11" s="163"/>
      <c r="AY11" s="163"/>
      <c r="AZ11" s="163"/>
      <c r="BA11" s="163"/>
      <c r="BB11" s="163"/>
      <c r="BC11" s="163"/>
      <c r="BD11" s="163"/>
      <c r="BE11" s="163"/>
      <c r="BF11" s="163"/>
      <c r="BG11" s="163"/>
      <c r="BH11" s="163"/>
      <c r="BI11" s="163"/>
      <c r="BJ11" s="163"/>
      <c r="BK11" s="163"/>
      <c r="BL11" s="163"/>
      <c r="BM11" s="163"/>
      <c r="BN11" s="163"/>
      <c r="BO11" s="163"/>
      <c r="BP11" s="163"/>
      <c r="BQ11" s="163"/>
      <c r="BR11" s="163"/>
      <c r="BS11" s="163"/>
      <c r="BT11" s="163"/>
      <c r="BU11" s="163"/>
      <c r="BV11" s="163"/>
      <c r="BW11" s="163"/>
      <c r="BX11" s="163"/>
      <c r="BY11" s="163"/>
      <c r="BZ11" s="163"/>
      <c r="CA11" s="163"/>
      <c r="CB11" s="163"/>
      <c r="CC11" s="163"/>
      <c r="CD11" s="163"/>
      <c r="CE11" s="163"/>
      <c r="CF11" s="163"/>
      <c r="CG11" s="163"/>
      <c r="CH11" s="163"/>
    </row>
    <row r="12">
      <c r="A12" s="44"/>
      <c r="B12" s="222">
        <v>308.0</v>
      </c>
      <c r="C12" s="221" t="s">
        <v>171</v>
      </c>
      <c r="D12" s="222">
        <v>300.0</v>
      </c>
      <c r="E12" s="221" t="s">
        <v>171</v>
      </c>
      <c r="F12" s="221" t="s">
        <v>171</v>
      </c>
      <c r="G12" s="221" t="s">
        <v>171</v>
      </c>
      <c r="H12" s="222">
        <v>303.0</v>
      </c>
      <c r="I12" s="221" t="s">
        <v>171</v>
      </c>
      <c r="J12" s="222">
        <v>101.0</v>
      </c>
      <c r="K12" s="221" t="s">
        <v>171</v>
      </c>
      <c r="L12" s="76"/>
      <c r="M12" s="221" t="s">
        <v>171</v>
      </c>
      <c r="N12" s="47"/>
      <c r="O12" s="241"/>
      <c r="P12" s="240"/>
      <c r="Q12" s="241"/>
      <c r="R12" s="143"/>
      <c r="S12" s="242"/>
      <c r="T12" s="175"/>
      <c r="U12" s="224">
        <v>320.0</v>
      </c>
      <c r="V12" s="172"/>
      <c r="W12" s="241"/>
      <c r="X12" s="172"/>
      <c r="Y12" s="200">
        <v>321.0</v>
      </c>
      <c r="Z12" s="47"/>
      <c r="AA12" s="225">
        <v>106.0</v>
      </c>
      <c r="AB12" s="46"/>
      <c r="AC12" s="47"/>
      <c r="AD12" s="172"/>
      <c r="AE12" s="172"/>
      <c r="AF12" s="175"/>
      <c r="AG12" s="201">
        <v>209.0</v>
      </c>
      <c r="AH12" s="224">
        <v>461.0</v>
      </c>
      <c r="AI12" s="175"/>
      <c r="AJ12" s="204">
        <v>111.0</v>
      </c>
      <c r="AK12" s="172"/>
      <c r="AL12" s="44"/>
      <c r="AM12" s="172"/>
      <c r="AN12" s="172"/>
      <c r="AO12" s="172"/>
      <c r="AP12" s="172"/>
      <c r="AQ12" s="344" t="s">
        <v>394</v>
      </c>
      <c r="AR12" s="172"/>
      <c r="AS12" s="44"/>
      <c r="AT12" s="226"/>
      <c r="AU12" s="164"/>
      <c r="AV12" s="164" t="str">
        <f>IFERROR(__xludf.DUMMYFUNCTION("TEXTJOIN("" / "", TRUE, FILTER(TO_TEXT(SPLIT($AZ$4, "" / "")), NOT(REGEXMATCH(TO_TEXT(SPLIT($AZ$4, "" / "")), ""\b"" &amp; TEXTJOIN(""|"", TRUE, SPLIT(AW12, "" / "")) &amp; ""\b""))))"),"102 / 105 / 107 / 108 / 305 / 307 / 312 / 313 / 314 / 316 / 318 / 460")</f>
        <v>102 / 105 / 107 / 108 / 305 / 307 / 312 / 313 / 314 / 316 / 318 / 460</v>
      </c>
      <c r="AW12" s="178" t="str">
        <f>IFERROR(__xludf.DUMMYFUNCTION("TEXTJOIN("" / "", 1, SORT(UNIQUE(TRANSPOSE(SPLIT(TRIM(REGEXREPLACE(AW11,""([0-9]{3}[a-zA-Z]?)|."",""$1 "")), "" "")))))"),"101 / 103 / 104 / 106 / 111 / 209 / 300 / 301 / 303 / 304 / 306 / 308 / 317 / 320 / 321 / 421 / 461")</f>
        <v>101 / 103 / 104 / 106 / 111 / 209 / 300 / 301 / 303 / 304 / 306 / 308 / 317 / 320 / 321 / 421 / 461</v>
      </c>
      <c r="AX12" s="163"/>
      <c r="AY12" s="163"/>
      <c r="AZ12" s="163"/>
      <c r="BA12" s="163"/>
      <c r="BB12" s="163"/>
      <c r="BC12" s="163"/>
      <c r="BD12" s="163"/>
      <c r="BE12" s="163"/>
      <c r="BF12" s="163"/>
      <c r="BG12" s="163"/>
      <c r="BH12" s="163"/>
      <c r="BI12" s="163"/>
      <c r="BJ12" s="163"/>
      <c r="BK12" s="163"/>
      <c r="BL12" s="163"/>
      <c r="BM12" s="163"/>
      <c r="BN12" s="163"/>
      <c r="BO12" s="163"/>
      <c r="BP12" s="163"/>
      <c r="BQ12" s="163"/>
      <c r="BR12" s="163"/>
      <c r="BS12" s="163"/>
      <c r="BT12" s="163"/>
      <c r="BU12" s="163"/>
      <c r="BV12" s="163"/>
      <c r="BW12" s="163"/>
      <c r="BX12" s="163"/>
      <c r="BY12" s="163"/>
      <c r="BZ12" s="163"/>
      <c r="CA12" s="163"/>
      <c r="CB12" s="163"/>
      <c r="CC12" s="163"/>
      <c r="CD12" s="163"/>
      <c r="CE12" s="163"/>
      <c r="CF12" s="163"/>
      <c r="CG12" s="163"/>
      <c r="CH12" s="163"/>
    </row>
    <row r="13">
      <c r="A13" s="152" t="s">
        <v>59</v>
      </c>
      <c r="B13" s="208" t="s">
        <v>157</v>
      </c>
      <c r="C13" s="208" t="s">
        <v>157</v>
      </c>
      <c r="D13" s="208" t="s">
        <v>157</v>
      </c>
      <c r="E13" s="207" t="s">
        <v>156</v>
      </c>
      <c r="F13" s="208" t="s">
        <v>157</v>
      </c>
      <c r="G13" s="207" t="s">
        <v>156</v>
      </c>
      <c r="H13" s="208" t="s">
        <v>157</v>
      </c>
      <c r="I13" s="207" t="s">
        <v>156</v>
      </c>
      <c r="J13" s="208" t="s">
        <v>157</v>
      </c>
      <c r="K13" s="207" t="s">
        <v>156</v>
      </c>
      <c r="L13" s="208" t="s">
        <v>157</v>
      </c>
      <c r="M13" s="208" t="s">
        <v>157</v>
      </c>
      <c r="N13" s="154" t="s">
        <v>172</v>
      </c>
      <c r="O13" s="227"/>
      <c r="P13" s="156"/>
      <c r="Q13" s="156"/>
      <c r="R13" s="228"/>
      <c r="S13" s="227"/>
      <c r="T13" s="229" t="s">
        <v>160</v>
      </c>
      <c r="U13" s="230"/>
      <c r="V13" s="227"/>
      <c r="W13" s="227"/>
      <c r="X13" s="156"/>
      <c r="Y13" s="183" t="s">
        <v>173</v>
      </c>
      <c r="Z13" s="154" t="s">
        <v>174</v>
      </c>
      <c r="AA13" s="231" t="s">
        <v>175</v>
      </c>
      <c r="AB13" s="231" t="s">
        <v>175</v>
      </c>
      <c r="AC13" s="156"/>
      <c r="AD13" s="156"/>
      <c r="AE13" s="156"/>
      <c r="AF13" s="159"/>
      <c r="AG13" s="159"/>
      <c r="AH13" s="159"/>
      <c r="AI13" s="210" t="s">
        <v>160</v>
      </c>
      <c r="AJ13" s="185" t="s">
        <v>164</v>
      </c>
      <c r="AK13" s="156"/>
      <c r="AL13" s="152" t="s">
        <v>59</v>
      </c>
      <c r="AM13" s="156"/>
      <c r="AN13" s="156"/>
      <c r="AO13" s="156"/>
      <c r="AP13" s="516" t="s">
        <v>395</v>
      </c>
      <c r="AQ13" s="517" t="s">
        <v>176</v>
      </c>
      <c r="AR13" s="156"/>
      <c r="AS13" s="152" t="s">
        <v>59</v>
      </c>
      <c r="AT13" s="211"/>
      <c r="AU13" s="163"/>
      <c r="AV13" s="163"/>
      <c r="AW13" s="163"/>
      <c r="AX13" s="163"/>
      <c r="AY13" s="163"/>
      <c r="AZ13" s="163"/>
      <c r="BA13" s="163"/>
      <c r="BB13" s="163"/>
      <c r="BC13" s="163"/>
      <c r="BD13" s="163"/>
      <c r="BE13" s="163"/>
      <c r="BF13" s="163"/>
      <c r="BG13" s="163"/>
      <c r="BH13" s="163"/>
      <c r="BI13" s="163"/>
      <c r="BJ13" s="163"/>
      <c r="BK13" s="163"/>
      <c r="BL13" s="163"/>
      <c r="BM13" s="163"/>
      <c r="BN13" s="163"/>
      <c r="BO13" s="163"/>
      <c r="BP13" s="163"/>
      <c r="BQ13" s="163"/>
      <c r="BR13" s="163"/>
      <c r="BS13" s="163"/>
      <c r="BT13" s="163"/>
      <c r="BU13" s="163"/>
      <c r="BV13" s="163"/>
      <c r="BW13" s="163"/>
      <c r="BX13" s="163"/>
      <c r="BY13" s="163"/>
      <c r="BZ13" s="163"/>
      <c r="CA13" s="163"/>
      <c r="CB13" s="163"/>
      <c r="CC13" s="163"/>
      <c r="CD13" s="163"/>
      <c r="CE13" s="163"/>
      <c r="CF13" s="163"/>
      <c r="CG13" s="163"/>
      <c r="CH13" s="163"/>
    </row>
    <row r="14">
      <c r="A14" s="38"/>
      <c r="B14" s="213" t="s">
        <v>165</v>
      </c>
      <c r="C14" s="213" t="s">
        <v>165</v>
      </c>
      <c r="D14" s="213" t="s">
        <v>165</v>
      </c>
      <c r="E14" s="212" t="s">
        <v>166</v>
      </c>
      <c r="F14" s="213" t="s">
        <v>165</v>
      </c>
      <c r="G14" s="214" t="s">
        <v>167</v>
      </c>
      <c r="H14" s="213" t="s">
        <v>165</v>
      </c>
      <c r="I14" s="212" t="s">
        <v>54</v>
      </c>
      <c r="J14" s="213" t="s">
        <v>165</v>
      </c>
      <c r="K14" s="212" t="s">
        <v>168</v>
      </c>
      <c r="L14" s="213" t="s">
        <v>165</v>
      </c>
      <c r="M14" s="213" t="s">
        <v>165</v>
      </c>
      <c r="N14" s="23"/>
      <c r="O14" s="234"/>
      <c r="P14" s="156"/>
      <c r="Q14" s="156"/>
      <c r="R14" s="161"/>
      <c r="S14" s="234"/>
      <c r="T14" s="216" t="s">
        <v>170</v>
      </c>
      <c r="U14" s="230"/>
      <c r="V14" s="234"/>
      <c r="W14" s="234"/>
      <c r="X14" s="156"/>
      <c r="Y14" s="217" t="s">
        <v>151</v>
      </c>
      <c r="Z14" s="23"/>
      <c r="AA14" s="235" t="s">
        <v>178</v>
      </c>
      <c r="AB14" s="236" t="s">
        <v>179</v>
      </c>
      <c r="AC14" s="156"/>
      <c r="AD14" s="156"/>
      <c r="AE14" s="156"/>
      <c r="AF14" s="159"/>
      <c r="AG14" s="159"/>
      <c r="AH14" s="159"/>
      <c r="AI14" s="216" t="s">
        <v>150</v>
      </c>
      <c r="AJ14" s="219" t="s">
        <v>153</v>
      </c>
      <c r="AK14" s="156"/>
      <c r="AL14" s="38"/>
      <c r="AM14" s="156"/>
      <c r="AN14" s="156"/>
      <c r="AO14" s="156"/>
      <c r="AP14" s="518" t="s">
        <v>396</v>
      </c>
      <c r="AQ14" s="238" t="s">
        <v>397</v>
      </c>
      <c r="AR14" s="156"/>
      <c r="AS14" s="38"/>
      <c r="AT14" s="211"/>
      <c r="AU14" s="163"/>
      <c r="AV14" s="163"/>
      <c r="AW14" s="163" t="str">
        <f t="array" ref="AW14">TEXTJOIN(" | ", 1, A15:AT15)</f>
        <v>103/104/301/304/306/317/421 | 103/104/301/304/306/317/421 | 103/104/301/304/306/317/421 | 300 | 103/104/301/304/306/317/421 | 303 | 103/104/301/304/306/317/421 | 308 | 103/104/301/304/306/317/421 | 101 | 103/104/301/304/306/317/421 | 103/104/301/304/306/317/421 | 320 | 321 | 314 | 318 | 461 | 111 ON 17/03 | 316 | ONLINE ON 31/03, 14/04 STARTS AT 14:30</v>
      </c>
      <c r="AX14" s="163"/>
      <c r="AY14" s="163"/>
      <c r="AZ14" s="163"/>
      <c r="BA14" s="163"/>
      <c r="BB14" s="163"/>
      <c r="BC14" s="163"/>
      <c r="BD14" s="163"/>
      <c r="BE14" s="163"/>
      <c r="BF14" s="163"/>
      <c r="BG14" s="163"/>
      <c r="BH14" s="163"/>
      <c r="BI14" s="163"/>
      <c r="BJ14" s="163"/>
      <c r="BK14" s="163"/>
      <c r="BL14" s="163"/>
      <c r="BM14" s="163"/>
      <c r="BN14" s="163"/>
      <c r="BO14" s="163"/>
      <c r="BP14" s="163"/>
      <c r="BQ14" s="163"/>
      <c r="BR14" s="163"/>
      <c r="BS14" s="163"/>
      <c r="BT14" s="163"/>
      <c r="BU14" s="163"/>
      <c r="BV14" s="163"/>
      <c r="BW14" s="163"/>
      <c r="BX14" s="163"/>
      <c r="BY14" s="163"/>
      <c r="BZ14" s="163"/>
      <c r="CA14" s="163"/>
      <c r="CB14" s="163"/>
      <c r="CC14" s="163"/>
      <c r="CD14" s="163"/>
      <c r="CE14" s="163"/>
      <c r="CF14" s="163"/>
      <c r="CG14" s="163"/>
      <c r="CH14" s="163"/>
    </row>
    <row r="15">
      <c r="A15" s="44"/>
      <c r="B15" s="221" t="s">
        <v>171</v>
      </c>
      <c r="C15" s="221" t="s">
        <v>171</v>
      </c>
      <c r="D15" s="221" t="s">
        <v>171</v>
      </c>
      <c r="E15" s="222">
        <v>300.0</v>
      </c>
      <c r="F15" s="221" t="s">
        <v>171</v>
      </c>
      <c r="G15" s="222">
        <v>303.0</v>
      </c>
      <c r="H15" s="221" t="s">
        <v>171</v>
      </c>
      <c r="I15" s="222">
        <v>308.0</v>
      </c>
      <c r="J15" s="221" t="s">
        <v>171</v>
      </c>
      <c r="K15" s="222">
        <v>101.0</v>
      </c>
      <c r="L15" s="221" t="s">
        <v>171</v>
      </c>
      <c r="M15" s="221" t="s">
        <v>171</v>
      </c>
      <c r="N15" s="47"/>
      <c r="O15" s="240"/>
      <c r="P15" s="172"/>
      <c r="Q15" s="241"/>
      <c r="R15" s="242"/>
      <c r="S15" s="240"/>
      <c r="T15" s="224">
        <v>320.0</v>
      </c>
      <c r="U15" s="243"/>
      <c r="V15" s="240"/>
      <c r="W15" s="240"/>
      <c r="X15" s="172"/>
      <c r="Y15" s="200">
        <v>321.0</v>
      </c>
      <c r="Z15" s="47"/>
      <c r="AA15" s="244">
        <v>314.0</v>
      </c>
      <c r="AB15" s="244">
        <v>318.0</v>
      </c>
      <c r="AC15" s="172"/>
      <c r="AD15" s="172"/>
      <c r="AE15" s="172"/>
      <c r="AF15" s="175"/>
      <c r="AG15" s="175"/>
      <c r="AH15" s="175"/>
      <c r="AI15" s="224">
        <v>461.0</v>
      </c>
      <c r="AJ15" s="204" t="s">
        <v>398</v>
      </c>
      <c r="AK15" s="172"/>
      <c r="AL15" s="44"/>
      <c r="AM15" s="172"/>
      <c r="AN15" s="172"/>
      <c r="AO15" s="172"/>
      <c r="AP15" s="519">
        <v>316.0</v>
      </c>
      <c r="AQ15" s="411" t="s">
        <v>399</v>
      </c>
      <c r="AR15" s="172"/>
      <c r="AS15" s="44"/>
      <c r="AT15" s="226"/>
      <c r="AU15" s="164"/>
      <c r="AV15" s="164" t="str">
        <f>IFERROR(__xludf.DUMMYFUNCTION("TEXTJOIN("" / "", TRUE, FILTER(TO_TEXT(SPLIT($AZ$4, "" / "")), NOT(REGEXMATCH(TO_TEXT(SPLIT($AZ$4, "" / "")), ""\b"" &amp; TEXTJOIN(""|"", TRUE, SPLIT(AW15, "" / "")) &amp; ""\b""))))"),"102 / 105 / 106 / 107 / 108 / 209 / 305 / 307 / 312 / 313 / 460")</f>
        <v>102 / 105 / 106 / 107 / 108 / 209 / 305 / 307 / 312 / 313 / 460</v>
      </c>
      <c r="AW15" s="178" t="str">
        <f>IFERROR(__xludf.DUMMYFUNCTION("TEXTJOIN("" / "", 1, SORT(UNIQUE(TRANSPOSE(SPLIT(TRIM(REGEXREPLACE(AW14,""([0-9]{3}[a-zA-Z]?)|."",""$1 "")), "" "")))))"),"101 / 103 / 104 / 111 / 300 / 301 / 303 / 304 / 306 / 308 / 314 / 316 / 317 / 318 / 320 / 321 / 421 / 461")</f>
        <v>101 / 103 / 104 / 111 / 300 / 301 / 303 / 304 / 306 / 308 / 314 / 316 / 317 / 318 / 320 / 321 / 421 / 461</v>
      </c>
      <c r="AX15" s="164"/>
      <c r="AY15" s="164"/>
      <c r="AZ15" s="164"/>
      <c r="BA15" s="164"/>
      <c r="BB15" s="164"/>
      <c r="BC15" s="164"/>
      <c r="BD15" s="164"/>
      <c r="BE15" s="164"/>
      <c r="BF15" s="164"/>
      <c r="BG15" s="164"/>
      <c r="BH15" s="164"/>
      <c r="BI15" s="164"/>
      <c r="BJ15" s="164"/>
      <c r="BK15" s="164"/>
      <c r="BL15" s="164"/>
      <c r="BM15" s="164"/>
      <c r="BN15" s="164"/>
      <c r="BO15" s="164"/>
      <c r="BP15" s="164"/>
      <c r="BQ15" s="164"/>
      <c r="BR15" s="164"/>
      <c r="BS15" s="164"/>
      <c r="BT15" s="164"/>
      <c r="BU15" s="164"/>
      <c r="BV15" s="164"/>
      <c r="BW15" s="164"/>
      <c r="BX15" s="164"/>
      <c r="BY15" s="164"/>
      <c r="BZ15" s="164"/>
      <c r="CA15" s="164"/>
      <c r="CB15" s="164"/>
      <c r="CC15" s="164"/>
      <c r="CD15" s="164"/>
      <c r="CE15" s="164"/>
      <c r="CF15" s="164"/>
      <c r="CG15" s="164"/>
      <c r="CH15" s="164"/>
    </row>
    <row r="16">
      <c r="A16" s="152" t="s">
        <v>64</v>
      </c>
      <c r="B16" s="208" t="s">
        <v>157</v>
      </c>
      <c r="C16" s="207" t="s">
        <v>156</v>
      </c>
      <c r="D16" s="208" t="s">
        <v>157</v>
      </c>
      <c r="E16" s="208" t="s">
        <v>157</v>
      </c>
      <c r="F16" s="207" t="s">
        <v>156</v>
      </c>
      <c r="G16" s="208" t="s">
        <v>157</v>
      </c>
      <c r="H16" s="208" t="s">
        <v>157</v>
      </c>
      <c r="I16" s="208" t="s">
        <v>157</v>
      </c>
      <c r="J16" s="208" t="s">
        <v>157</v>
      </c>
      <c r="K16" s="208" t="s">
        <v>157</v>
      </c>
      <c r="L16" s="208" t="s">
        <v>157</v>
      </c>
      <c r="M16" s="207" t="s">
        <v>156</v>
      </c>
      <c r="N16" s="154" t="s">
        <v>184</v>
      </c>
      <c r="O16" s="156"/>
      <c r="P16" s="156"/>
      <c r="Q16" s="227"/>
      <c r="R16" s="156"/>
      <c r="S16" s="156"/>
      <c r="T16" s="156"/>
      <c r="U16" s="156"/>
      <c r="V16" s="230"/>
      <c r="W16" s="156"/>
      <c r="X16" s="156"/>
      <c r="Y16" s="156"/>
      <c r="Z16" s="154" t="s">
        <v>185</v>
      </c>
      <c r="AA16" s="247" t="s">
        <v>186</v>
      </c>
      <c r="AB16" s="156"/>
      <c r="AC16" s="231" t="s">
        <v>175</v>
      </c>
      <c r="AD16" s="156"/>
      <c r="AE16" s="156"/>
      <c r="AF16" s="156"/>
      <c r="AG16" s="156"/>
      <c r="AH16" s="156"/>
      <c r="AI16" s="156"/>
      <c r="AJ16" s="156"/>
      <c r="AK16" s="156"/>
      <c r="AL16" s="152" t="s">
        <v>64</v>
      </c>
      <c r="AM16" s="156"/>
      <c r="AN16" s="156"/>
      <c r="AO16" s="156"/>
      <c r="AP16" s="516" t="s">
        <v>395</v>
      </c>
      <c r="AQ16" s="517" t="s">
        <v>176</v>
      </c>
      <c r="AR16" s="156"/>
      <c r="AS16" s="152" t="s">
        <v>64</v>
      </c>
      <c r="AT16" s="63"/>
      <c r="AU16" s="163"/>
      <c r="AV16" s="163"/>
      <c r="AW16" s="163"/>
      <c r="AX16" s="163"/>
      <c r="AY16" s="163"/>
      <c r="AZ16" s="163"/>
      <c r="BA16" s="163"/>
      <c r="BB16" s="163"/>
      <c r="BC16" s="163"/>
      <c r="BD16" s="163"/>
      <c r="BE16" s="163"/>
      <c r="BF16" s="163"/>
      <c r="BG16" s="163"/>
      <c r="BH16" s="163"/>
      <c r="BI16" s="163"/>
      <c r="BJ16" s="163"/>
      <c r="BK16" s="163"/>
      <c r="BL16" s="163"/>
      <c r="BM16" s="163"/>
      <c r="BN16" s="163"/>
      <c r="BO16" s="163"/>
      <c r="BP16" s="163"/>
      <c r="BQ16" s="163"/>
      <c r="BR16" s="163"/>
      <c r="BS16" s="163"/>
      <c r="BT16" s="163"/>
      <c r="BU16" s="163"/>
      <c r="BV16" s="163"/>
      <c r="BW16" s="163"/>
      <c r="BX16" s="163"/>
      <c r="BY16" s="163"/>
      <c r="BZ16" s="163"/>
      <c r="CA16" s="163"/>
      <c r="CB16" s="163"/>
      <c r="CC16" s="163"/>
      <c r="CD16" s="163"/>
      <c r="CE16" s="163"/>
      <c r="CF16" s="163"/>
      <c r="CG16" s="163"/>
      <c r="CH16" s="163"/>
    </row>
    <row r="17">
      <c r="A17" s="38"/>
      <c r="B17" s="213" t="s">
        <v>165</v>
      </c>
      <c r="C17" s="212" t="s">
        <v>54</v>
      </c>
      <c r="D17" s="213" t="s">
        <v>165</v>
      </c>
      <c r="E17" s="213" t="s">
        <v>165</v>
      </c>
      <c r="F17" s="212" t="s">
        <v>166</v>
      </c>
      <c r="G17" s="213" t="s">
        <v>165</v>
      </c>
      <c r="H17" s="213" t="s">
        <v>165</v>
      </c>
      <c r="I17" s="213" t="s">
        <v>165</v>
      </c>
      <c r="J17" s="213" t="s">
        <v>165</v>
      </c>
      <c r="K17" s="213" t="s">
        <v>165</v>
      </c>
      <c r="L17" s="213" t="s">
        <v>165</v>
      </c>
      <c r="M17" s="212" t="s">
        <v>168</v>
      </c>
      <c r="N17" s="23"/>
      <c r="O17" s="156"/>
      <c r="P17" s="156"/>
      <c r="Q17" s="234"/>
      <c r="R17" s="156"/>
      <c r="S17" s="156"/>
      <c r="T17" s="156"/>
      <c r="U17" s="156"/>
      <c r="V17" s="230"/>
      <c r="W17" s="156"/>
      <c r="X17" s="156"/>
      <c r="Y17" s="156"/>
      <c r="Z17" s="23"/>
      <c r="AA17" s="249" t="s">
        <v>188</v>
      </c>
      <c r="AB17" s="156"/>
      <c r="AC17" s="236" t="s">
        <v>179</v>
      </c>
      <c r="AD17" s="156"/>
      <c r="AE17" s="156"/>
      <c r="AF17" s="156"/>
      <c r="AG17" s="156"/>
      <c r="AH17" s="156"/>
      <c r="AI17" s="156"/>
      <c r="AJ17" s="156"/>
      <c r="AK17" s="156"/>
      <c r="AL17" s="38"/>
      <c r="AM17" s="156"/>
      <c r="AN17" s="156"/>
      <c r="AO17" s="156"/>
      <c r="AP17" s="518" t="s">
        <v>396</v>
      </c>
      <c r="AQ17" s="238" t="s">
        <v>397</v>
      </c>
      <c r="AR17" s="156"/>
      <c r="AS17" s="38"/>
      <c r="AT17" s="69"/>
      <c r="AU17" s="163"/>
      <c r="AV17" s="163"/>
      <c r="AW17" s="163" t="str">
        <f t="array" ref="AW17">TEXTJOIN(" | ", 1, A18:AT18)</f>
        <v>103/104/301/304/306/317/421 | 308 | 103/104/301/304/306/317/421 | 103/104/301/304/306/317/421 | 300 | 103/104/301/304/306/317/421 | 103/104/301/304/306/317/421 | 103/104/301/304/306/317/421 | 103/104/301/304/306/317/421 | 103/104/301/304/306/317/421 | 103/104/301/304/306/317/421 | 101 | 314 | 318 | 316 | ONLINE ON 31/03, 14/04 STARTS AT 16:00</v>
      </c>
      <c r="AX17" s="163"/>
      <c r="AY17" s="163"/>
      <c r="AZ17" s="163"/>
      <c r="BA17" s="163"/>
      <c r="BB17" s="163"/>
      <c r="BC17" s="163"/>
      <c r="BD17" s="163"/>
      <c r="BE17" s="163"/>
      <c r="BF17" s="163"/>
      <c r="BG17" s="163"/>
      <c r="BH17" s="163"/>
      <c r="BI17" s="163"/>
      <c r="BJ17" s="163"/>
      <c r="BK17" s="163"/>
      <c r="BL17" s="163"/>
      <c r="BM17" s="163"/>
      <c r="BN17" s="163"/>
      <c r="BO17" s="163"/>
      <c r="BP17" s="163"/>
      <c r="BQ17" s="163"/>
      <c r="BR17" s="163"/>
      <c r="BS17" s="163"/>
      <c r="BT17" s="163"/>
      <c r="BU17" s="163"/>
      <c r="BV17" s="163"/>
      <c r="BW17" s="163"/>
      <c r="BX17" s="163"/>
      <c r="BY17" s="163"/>
      <c r="BZ17" s="163"/>
      <c r="CA17" s="163"/>
      <c r="CB17" s="163"/>
      <c r="CC17" s="163"/>
      <c r="CD17" s="163"/>
      <c r="CE17" s="163"/>
      <c r="CF17" s="163"/>
      <c r="CG17" s="163"/>
      <c r="CH17" s="163"/>
    </row>
    <row r="18">
      <c r="A18" s="44"/>
      <c r="B18" s="221" t="s">
        <v>171</v>
      </c>
      <c r="C18" s="220">
        <v>308.0</v>
      </c>
      <c r="D18" s="221" t="s">
        <v>171</v>
      </c>
      <c r="E18" s="221" t="s">
        <v>171</v>
      </c>
      <c r="F18" s="222">
        <v>300.0</v>
      </c>
      <c r="G18" s="221" t="s">
        <v>171</v>
      </c>
      <c r="H18" s="221" t="s">
        <v>171</v>
      </c>
      <c r="I18" s="221" t="s">
        <v>171</v>
      </c>
      <c r="J18" s="221" t="s">
        <v>171</v>
      </c>
      <c r="K18" s="221" t="s">
        <v>171</v>
      </c>
      <c r="L18" s="221" t="s">
        <v>171</v>
      </c>
      <c r="M18" s="222">
        <v>101.0</v>
      </c>
      <c r="N18" s="47"/>
      <c r="O18" s="172"/>
      <c r="P18" s="172"/>
      <c r="Q18" s="240"/>
      <c r="R18" s="172"/>
      <c r="S18" s="241"/>
      <c r="T18" s="172"/>
      <c r="U18" s="172"/>
      <c r="V18" s="243"/>
      <c r="W18" s="241"/>
      <c r="X18" s="172"/>
      <c r="Y18" s="172"/>
      <c r="Z18" s="47"/>
      <c r="AA18" s="251">
        <v>314.0</v>
      </c>
      <c r="AB18" s="172"/>
      <c r="AC18" s="244">
        <v>318.0</v>
      </c>
      <c r="AD18" s="172"/>
      <c r="AE18" s="172"/>
      <c r="AF18" s="172"/>
      <c r="AG18" s="172"/>
      <c r="AH18" s="172"/>
      <c r="AI18" s="172"/>
      <c r="AJ18" s="172"/>
      <c r="AK18" s="172"/>
      <c r="AL18" s="44"/>
      <c r="AM18" s="172"/>
      <c r="AN18" s="172"/>
      <c r="AO18" s="172"/>
      <c r="AP18" s="519">
        <v>316.0</v>
      </c>
      <c r="AQ18" s="411" t="s">
        <v>400</v>
      </c>
      <c r="AR18" s="172"/>
      <c r="AS18" s="44"/>
      <c r="AT18" s="76"/>
      <c r="AU18" s="164"/>
      <c r="AV18" s="164" t="str">
        <f>IFERROR(__xludf.DUMMYFUNCTION("TEXTJOIN("" / "", TRUE, FILTER(TO_TEXT(SPLIT($AZ$4, "" / "")), NOT(REGEXMATCH(TO_TEXT(SPLIT($AZ$4, "" / "")), ""\b"" &amp; TEXTJOIN(""|"", TRUE, SPLIT(AW18, "" / "")) &amp; ""\b""))))"),"102 / 105 / 106 / 107 / 108 / 111 / 209 / 303 / 305 / 307 / 312 / 313 / 320 / 321 / 460 / 461")</f>
        <v>102 / 105 / 106 / 107 / 108 / 111 / 209 / 303 / 305 / 307 / 312 / 313 / 320 / 321 / 460 / 461</v>
      </c>
      <c r="AW18" s="178" t="str">
        <f>IFERROR(__xludf.DUMMYFUNCTION("TEXTJOIN("" / "", 1, SORT(UNIQUE(TRANSPOSE(SPLIT(TRIM(REGEXREPLACE(AW17,""([0-9]{3}[a-zA-Z]?)|."",""$1 "")), "" "")))))"),"101 / 103 / 104 / 300 / 301 / 304 / 306 / 308 / 314 / 316 / 317 / 318 / 421")</f>
        <v>101 / 103 / 104 / 300 / 301 / 304 / 306 / 308 / 314 / 316 / 317 / 318 / 421</v>
      </c>
      <c r="AX18" s="163"/>
      <c r="AY18" s="163"/>
      <c r="AZ18" s="163"/>
      <c r="BA18" s="163"/>
      <c r="BB18" s="163"/>
      <c r="BC18" s="163"/>
      <c r="BD18" s="163"/>
      <c r="BE18" s="163"/>
      <c r="BF18" s="163"/>
      <c r="BG18" s="163"/>
      <c r="BH18" s="163"/>
      <c r="BI18" s="163"/>
      <c r="BJ18" s="163"/>
      <c r="BK18" s="163"/>
      <c r="BL18" s="163"/>
      <c r="BM18" s="163"/>
      <c r="BN18" s="163"/>
      <c r="BO18" s="163"/>
      <c r="BP18" s="163"/>
      <c r="BQ18" s="163"/>
      <c r="BR18" s="163"/>
      <c r="BS18" s="163"/>
      <c r="BT18" s="163"/>
      <c r="BU18" s="163"/>
      <c r="BV18" s="163"/>
      <c r="BW18" s="163"/>
      <c r="BX18" s="163"/>
      <c r="BY18" s="163"/>
      <c r="BZ18" s="163"/>
      <c r="CA18" s="163"/>
      <c r="CB18" s="163"/>
      <c r="CC18" s="163"/>
      <c r="CD18" s="163"/>
      <c r="CE18" s="163"/>
      <c r="CF18" s="163"/>
      <c r="CG18" s="163"/>
      <c r="CH18" s="163"/>
    </row>
    <row r="19">
      <c r="A19" s="152" t="s">
        <v>66</v>
      </c>
      <c r="B19" s="253"/>
      <c r="C19" s="156"/>
      <c r="D19" s="156"/>
      <c r="E19" s="156"/>
      <c r="F19" s="156"/>
      <c r="G19" s="156"/>
      <c r="H19" s="156"/>
      <c r="I19" s="156"/>
      <c r="J19" s="156"/>
      <c r="K19" s="156"/>
      <c r="L19" s="207" t="s">
        <v>156</v>
      </c>
      <c r="M19" s="156"/>
      <c r="N19" s="154" t="s">
        <v>191</v>
      </c>
      <c r="O19" s="156"/>
      <c r="P19" s="156"/>
      <c r="Q19" s="156"/>
      <c r="R19" s="156"/>
      <c r="S19" s="156"/>
      <c r="T19" s="156"/>
      <c r="U19" s="156"/>
      <c r="V19" s="156"/>
      <c r="W19" s="156"/>
      <c r="X19" s="156"/>
      <c r="Y19" s="156"/>
      <c r="Z19" s="154" t="s">
        <v>192</v>
      </c>
      <c r="AA19" s="156"/>
      <c r="AB19" s="247" t="s">
        <v>186</v>
      </c>
      <c r="AC19" s="156"/>
      <c r="AD19" s="156"/>
      <c r="AE19" s="156"/>
      <c r="AF19" s="156"/>
      <c r="AG19" s="156"/>
      <c r="AH19" s="156"/>
      <c r="AI19" s="156"/>
      <c r="AJ19" s="156"/>
      <c r="AK19" s="156"/>
      <c r="AL19" s="152" t="s">
        <v>66</v>
      </c>
      <c r="AM19" s="156"/>
      <c r="AN19" s="156"/>
      <c r="AO19" s="156"/>
      <c r="AP19" s="156"/>
      <c r="AQ19" s="156"/>
      <c r="AR19" s="156"/>
      <c r="AS19" s="152" t="s">
        <v>66</v>
      </c>
      <c r="AT19" s="254"/>
      <c r="AU19" s="163"/>
      <c r="AV19" s="163"/>
      <c r="AW19" s="163"/>
      <c r="AX19" s="163"/>
      <c r="AY19" s="163"/>
      <c r="AZ19" s="163"/>
      <c r="BA19" s="163"/>
      <c r="BB19" s="163"/>
      <c r="BC19" s="163"/>
      <c r="BD19" s="163"/>
      <c r="BE19" s="163"/>
      <c r="BF19" s="163"/>
      <c r="BG19" s="163"/>
      <c r="BH19" s="163"/>
      <c r="BI19" s="163"/>
      <c r="BJ19" s="163"/>
      <c r="BK19" s="163"/>
      <c r="BL19" s="163"/>
      <c r="BM19" s="163"/>
      <c r="BN19" s="163"/>
      <c r="BO19" s="163"/>
      <c r="BP19" s="163"/>
      <c r="BQ19" s="163"/>
      <c r="BR19" s="163"/>
      <c r="BS19" s="163"/>
      <c r="BT19" s="163"/>
      <c r="BU19" s="163"/>
      <c r="BV19" s="163"/>
      <c r="BW19" s="163"/>
      <c r="BX19" s="163"/>
      <c r="BY19" s="163"/>
      <c r="BZ19" s="163"/>
      <c r="CA19" s="163"/>
      <c r="CB19" s="163"/>
      <c r="CC19" s="163"/>
      <c r="CD19" s="163"/>
      <c r="CE19" s="163"/>
      <c r="CF19" s="163"/>
      <c r="CG19" s="163"/>
      <c r="CH19" s="163"/>
    </row>
    <row r="20">
      <c r="A20" s="38"/>
      <c r="B20" s="156"/>
      <c r="C20" s="156"/>
      <c r="D20" s="156"/>
      <c r="E20" s="156"/>
      <c r="F20" s="156"/>
      <c r="G20" s="156"/>
      <c r="H20" s="156"/>
      <c r="I20" s="156"/>
      <c r="J20" s="156"/>
      <c r="K20" s="156"/>
      <c r="L20" s="255" t="s">
        <v>194</v>
      </c>
      <c r="M20" s="156"/>
      <c r="N20" s="23"/>
      <c r="O20" s="156"/>
      <c r="P20" s="156"/>
      <c r="Q20" s="156"/>
      <c r="R20" s="156"/>
      <c r="S20" s="156"/>
      <c r="T20" s="156"/>
      <c r="U20" s="156"/>
      <c r="V20" s="156"/>
      <c r="W20" s="156"/>
      <c r="X20" s="156"/>
      <c r="Y20" s="156"/>
      <c r="Z20" s="23"/>
      <c r="AA20" s="156"/>
      <c r="AB20" s="249" t="s">
        <v>188</v>
      </c>
      <c r="AC20" s="156"/>
      <c r="AD20" s="156"/>
      <c r="AE20" s="156"/>
      <c r="AF20" s="156"/>
      <c r="AG20" s="156"/>
      <c r="AH20" s="156"/>
      <c r="AI20" s="156"/>
      <c r="AJ20" s="156"/>
      <c r="AK20" s="156"/>
      <c r="AL20" s="38"/>
      <c r="AM20" s="156"/>
      <c r="AN20" s="156"/>
      <c r="AO20" s="156"/>
      <c r="AP20" s="156"/>
      <c r="AQ20" s="156"/>
      <c r="AR20" s="156"/>
      <c r="AS20" s="38"/>
      <c r="AT20" s="254"/>
      <c r="AU20" s="163"/>
      <c r="AV20" s="163"/>
      <c r="AW20" s="163" t="str">
        <f t="array" ref="AW20">TEXTJOIN(" | ", 1, A21:AT21)</f>
        <v>320 | 314</v>
      </c>
      <c r="AX20" s="163"/>
      <c r="AY20" s="163"/>
      <c r="AZ20" s="163"/>
      <c r="BA20" s="163"/>
      <c r="BB20" s="163"/>
      <c r="BC20" s="163"/>
      <c r="BD20" s="163"/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3"/>
      <c r="BQ20" s="163"/>
      <c r="BR20" s="163"/>
      <c r="BS20" s="163"/>
      <c r="BT20" s="163"/>
      <c r="BU20" s="163"/>
      <c r="BV20" s="163"/>
      <c r="BW20" s="163"/>
      <c r="BX20" s="163"/>
      <c r="BY20" s="163"/>
      <c r="BZ20" s="163"/>
      <c r="CA20" s="163"/>
      <c r="CB20" s="163"/>
      <c r="CC20" s="163"/>
      <c r="CD20" s="163"/>
      <c r="CE20" s="163"/>
      <c r="CF20" s="163"/>
      <c r="CG20" s="163"/>
      <c r="CH20" s="163"/>
    </row>
    <row r="21">
      <c r="A21" s="44"/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220">
        <v>320.0</v>
      </c>
      <c r="M21" s="172"/>
      <c r="N21" s="47"/>
      <c r="O21" s="241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47"/>
      <c r="AA21" s="172"/>
      <c r="AB21" s="251">
        <v>314.0</v>
      </c>
      <c r="AC21" s="172"/>
      <c r="AD21" s="172"/>
      <c r="AE21" s="172"/>
      <c r="AF21" s="172"/>
      <c r="AG21" s="172"/>
      <c r="AH21" s="172"/>
      <c r="AI21" s="172"/>
      <c r="AJ21" s="172"/>
      <c r="AK21" s="172"/>
      <c r="AL21" s="44"/>
      <c r="AM21" s="172"/>
      <c r="AN21" s="172"/>
      <c r="AO21" s="172"/>
      <c r="AP21" s="172"/>
      <c r="AQ21" s="172"/>
      <c r="AR21" s="172"/>
      <c r="AS21" s="44"/>
      <c r="AT21" s="254"/>
      <c r="AU21" s="164"/>
      <c r="AV21" s="164" t="str">
        <f>IFERROR(__xludf.DUMMYFUNCTION("TEXTJOIN("" / "", TRUE, FILTER(TO_TEXT(SPLIT($AZ$4, "" / "")), NOT(REGEXMATCH(TO_TEXT(SPLIT($AZ$4, "" / "")), ""\b"" &amp; TEXTJOIN(""|"", TRUE, SPLIT(AW21, "" / "")) &amp; ""\b""))))"),"101 / 102 / 103 / 104 / 105 / 106 / 107 / 108 / 111 / 209 / 300 / 301 / 303 / 304 / 305 / 306 / 307 / 308 / 312 / 313 / 316 / 317 / 318 / 321 / 421 / 460 / 461")</f>
        <v>101 / 102 / 103 / 104 / 105 / 106 / 107 / 108 / 111 / 209 / 300 / 301 / 303 / 304 / 305 / 306 / 307 / 308 / 312 / 313 / 316 / 317 / 318 / 321 / 421 / 460 / 461</v>
      </c>
      <c r="AW21" s="178" t="str">
        <f>IFERROR(__xludf.DUMMYFUNCTION("TEXTJOIN("" / "", 1, SORT(UNIQUE(TRANSPOSE(SPLIT(TRIM(REGEXREPLACE(AW20,""([0-9]{3}[a-zA-Z]?)|."",""$1 "")), "" "")))))"),"314 / 320")</f>
        <v>314 / 320</v>
      </c>
      <c r="AX21" s="163"/>
      <c r="AY21" s="163"/>
      <c r="AZ21" s="163"/>
      <c r="BA21" s="163"/>
      <c r="BB21" s="163"/>
      <c r="BC21" s="163"/>
      <c r="BD21" s="163"/>
      <c r="BE21" s="163"/>
      <c r="BF21" s="163"/>
      <c r="BG21" s="163"/>
      <c r="BH21" s="163"/>
      <c r="BI21" s="163"/>
      <c r="BJ21" s="163"/>
      <c r="BK21" s="163"/>
      <c r="BL21" s="163"/>
      <c r="BM21" s="163"/>
      <c r="BN21" s="163"/>
      <c r="BO21" s="163"/>
      <c r="BP21" s="163"/>
      <c r="BQ21" s="163"/>
      <c r="BR21" s="163"/>
      <c r="BS21" s="163"/>
      <c r="BT21" s="163"/>
      <c r="BU21" s="163"/>
      <c r="BV21" s="163"/>
      <c r="BW21" s="163"/>
      <c r="BX21" s="163"/>
      <c r="BY21" s="163"/>
      <c r="BZ21" s="163"/>
      <c r="CA21" s="163"/>
      <c r="CB21" s="163"/>
      <c r="CC21" s="163"/>
      <c r="CD21" s="163"/>
      <c r="CE21" s="163"/>
      <c r="CF21" s="163"/>
      <c r="CG21" s="163"/>
      <c r="CH21" s="163"/>
    </row>
    <row r="22">
      <c r="A22" s="147" t="s">
        <v>74</v>
      </c>
      <c r="B22" s="148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7"/>
      <c r="N22" s="149" t="s">
        <v>74</v>
      </c>
      <c r="O22" s="148"/>
      <c r="P22" s="46"/>
      <c r="Q22" s="46"/>
      <c r="R22" s="46"/>
      <c r="S22" s="46"/>
      <c r="T22" s="46"/>
      <c r="U22" s="46"/>
      <c r="V22" s="46"/>
      <c r="W22" s="46"/>
      <c r="X22" s="46"/>
      <c r="Y22" s="47"/>
      <c r="Z22" s="149" t="s">
        <v>74</v>
      </c>
      <c r="AA22" s="148"/>
      <c r="AB22" s="46"/>
      <c r="AC22" s="46"/>
      <c r="AD22" s="46"/>
      <c r="AE22" s="46"/>
      <c r="AF22" s="46"/>
      <c r="AG22" s="46"/>
      <c r="AH22" s="46"/>
      <c r="AI22" s="46"/>
      <c r="AJ22" s="46"/>
      <c r="AK22" s="47"/>
      <c r="AL22" s="147" t="s">
        <v>74</v>
      </c>
      <c r="AM22" s="148"/>
      <c r="AN22" s="46"/>
      <c r="AO22" s="46"/>
      <c r="AP22" s="46"/>
      <c r="AQ22" s="46"/>
      <c r="AR22" s="47"/>
      <c r="AS22" s="147" t="s">
        <v>74</v>
      </c>
      <c r="AT22" s="150"/>
      <c r="AU22" s="151"/>
      <c r="AV22" s="151"/>
      <c r="AW22" s="151"/>
      <c r="AX22" s="151"/>
      <c r="AY22" s="151"/>
      <c r="AZ22" s="151"/>
      <c r="BA22" s="151"/>
      <c r="BB22" s="151"/>
      <c r="BC22" s="151"/>
      <c r="BD22" s="151"/>
      <c r="BE22" s="151"/>
      <c r="BF22" s="151"/>
      <c r="BG22" s="151"/>
      <c r="BH22" s="151"/>
      <c r="BI22" s="151"/>
      <c r="BJ22" s="151"/>
      <c r="BK22" s="151"/>
      <c r="BL22" s="151"/>
      <c r="BM22" s="151"/>
      <c r="BN22" s="151"/>
      <c r="BO22" s="151"/>
      <c r="BP22" s="151"/>
      <c r="BQ22" s="151"/>
      <c r="BR22" s="151"/>
      <c r="BS22" s="151"/>
      <c r="BT22" s="151"/>
      <c r="BU22" s="151"/>
      <c r="BV22" s="151"/>
      <c r="BW22" s="151"/>
      <c r="BX22" s="151"/>
      <c r="BY22" s="151"/>
      <c r="BZ22" s="151"/>
      <c r="CA22" s="151"/>
      <c r="CB22" s="151"/>
      <c r="CC22" s="151"/>
      <c r="CD22" s="151"/>
      <c r="CE22" s="151"/>
      <c r="CF22" s="151"/>
      <c r="CG22" s="151"/>
      <c r="CH22" s="151"/>
    </row>
    <row r="23">
      <c r="A23" s="152" t="s">
        <v>39</v>
      </c>
      <c r="B23" s="253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4" t="s">
        <v>128</v>
      </c>
      <c r="O23" s="156"/>
      <c r="P23" s="182" t="s">
        <v>143</v>
      </c>
      <c r="Q23" s="156"/>
      <c r="R23" s="182" t="s">
        <v>143</v>
      </c>
      <c r="S23" s="231" t="s">
        <v>196</v>
      </c>
      <c r="T23" s="156"/>
      <c r="U23" s="156"/>
      <c r="V23" s="156"/>
      <c r="W23" s="156"/>
      <c r="X23" s="156"/>
      <c r="Y23" s="156"/>
      <c r="Z23" s="154" t="s">
        <v>130</v>
      </c>
      <c r="AA23" s="156"/>
      <c r="AB23" s="156"/>
      <c r="AC23" s="156"/>
      <c r="AD23" s="156"/>
      <c r="AE23" s="156"/>
      <c r="AF23" s="156"/>
      <c r="AG23" s="156"/>
      <c r="AH23" s="156"/>
      <c r="AI23" s="156"/>
      <c r="AJ23" s="156"/>
      <c r="AK23" s="156"/>
      <c r="AL23" s="152" t="s">
        <v>39</v>
      </c>
      <c r="AM23" s="156"/>
      <c r="AN23" s="156"/>
      <c r="AO23" s="156"/>
      <c r="AP23" s="183" t="s">
        <v>198</v>
      </c>
      <c r="AQ23" s="228"/>
      <c r="AR23" s="156"/>
      <c r="AS23" s="152" t="s">
        <v>39</v>
      </c>
      <c r="AT23" s="257" t="s">
        <v>199</v>
      </c>
      <c r="AU23" s="258"/>
      <c r="AV23" s="258"/>
      <c r="AW23" s="258"/>
      <c r="AX23" s="258"/>
      <c r="AY23" s="258"/>
      <c r="AZ23" s="258"/>
      <c r="BA23" s="258"/>
      <c r="BB23" s="258"/>
      <c r="BC23" s="258"/>
      <c r="BD23" s="258"/>
      <c r="BE23" s="258"/>
      <c r="BF23" s="258"/>
      <c r="BG23" s="258"/>
      <c r="BH23" s="258"/>
      <c r="BI23" s="258"/>
      <c r="BJ23" s="258"/>
      <c r="BK23" s="258"/>
      <c r="BL23" s="258"/>
      <c r="BM23" s="258"/>
      <c r="BN23" s="258"/>
      <c r="BO23" s="258"/>
      <c r="BP23" s="258"/>
      <c r="BQ23" s="258"/>
      <c r="BR23" s="258"/>
      <c r="BS23" s="258"/>
      <c r="BT23" s="258"/>
      <c r="BU23" s="258"/>
      <c r="BV23" s="258"/>
      <c r="BW23" s="258"/>
      <c r="BX23" s="258"/>
      <c r="BY23" s="258"/>
      <c r="BZ23" s="258"/>
      <c r="CA23" s="258"/>
      <c r="CB23" s="258"/>
      <c r="CC23" s="258"/>
      <c r="CD23" s="258"/>
      <c r="CE23" s="258"/>
      <c r="CF23" s="258"/>
      <c r="CG23" s="258"/>
      <c r="CH23" s="258"/>
    </row>
    <row r="24">
      <c r="A24" s="38"/>
      <c r="B24" s="156"/>
      <c r="C24" s="156"/>
      <c r="D24" s="156"/>
      <c r="E24" s="156"/>
      <c r="F24" s="156"/>
      <c r="G24" s="156"/>
      <c r="H24" s="156"/>
      <c r="I24" s="156"/>
      <c r="J24" s="156"/>
      <c r="K24" s="156"/>
      <c r="L24" s="156"/>
      <c r="M24" s="156"/>
      <c r="N24" s="23"/>
      <c r="O24" s="156"/>
      <c r="P24" s="259" t="s">
        <v>200</v>
      </c>
      <c r="Q24" s="156"/>
      <c r="R24" s="260" t="s">
        <v>170</v>
      </c>
      <c r="S24" s="261" t="s">
        <v>201</v>
      </c>
      <c r="T24" s="156"/>
      <c r="U24" s="156"/>
      <c r="V24" s="156"/>
      <c r="W24" s="156"/>
      <c r="X24" s="156"/>
      <c r="Y24" s="156"/>
      <c r="Z24" s="23"/>
      <c r="AA24" s="156"/>
      <c r="AB24" s="156"/>
      <c r="AC24" s="156"/>
      <c r="AD24" s="156"/>
      <c r="AE24" s="156"/>
      <c r="AF24" s="156"/>
      <c r="AG24" s="156"/>
      <c r="AH24" s="156"/>
      <c r="AI24" s="156"/>
      <c r="AJ24" s="156"/>
      <c r="AK24" s="156"/>
      <c r="AL24" s="38"/>
      <c r="AM24" s="156"/>
      <c r="AN24" s="156"/>
      <c r="AO24" s="156"/>
      <c r="AP24" s="263" t="s">
        <v>203</v>
      </c>
      <c r="AQ24" s="161"/>
      <c r="AR24" s="156"/>
      <c r="AS24" s="38"/>
      <c r="AT24" s="264" t="s">
        <v>204</v>
      </c>
      <c r="AU24" s="258"/>
      <c r="AV24" s="258"/>
      <c r="AW24" s="163" t="str">
        <f t="array" ref="AW24">TEXTJOIN(" | ", 1, A25:AT25)</f>
        <v>308 | 318 | 461 | 460 | 320</v>
      </c>
      <c r="AX24" s="258"/>
      <c r="AY24" s="258"/>
      <c r="AZ24" s="258"/>
      <c r="BA24" s="258"/>
      <c r="BB24" s="258"/>
      <c r="BC24" s="258"/>
      <c r="BD24" s="258"/>
      <c r="BE24" s="258"/>
      <c r="BF24" s="258"/>
      <c r="BG24" s="258"/>
      <c r="BH24" s="258"/>
      <c r="BI24" s="258"/>
      <c r="BJ24" s="258"/>
      <c r="BK24" s="258"/>
      <c r="BL24" s="258"/>
      <c r="BM24" s="258"/>
      <c r="BN24" s="258"/>
      <c r="BO24" s="258"/>
      <c r="BP24" s="258"/>
      <c r="BQ24" s="258"/>
      <c r="BR24" s="258"/>
      <c r="BS24" s="258"/>
      <c r="BT24" s="258"/>
      <c r="BU24" s="258"/>
      <c r="BV24" s="258"/>
      <c r="BW24" s="258"/>
      <c r="BX24" s="258"/>
      <c r="BY24" s="258"/>
      <c r="BZ24" s="258"/>
      <c r="CA24" s="258"/>
      <c r="CB24" s="258"/>
      <c r="CC24" s="258"/>
      <c r="CD24" s="258"/>
      <c r="CE24" s="258"/>
      <c r="CF24" s="258"/>
      <c r="CG24" s="258"/>
      <c r="CH24" s="258"/>
    </row>
    <row r="25">
      <c r="A25" s="44"/>
      <c r="B25" s="172"/>
      <c r="C25" s="172"/>
      <c r="D25" s="172"/>
      <c r="E25" s="172"/>
      <c r="F25" s="172"/>
      <c r="G25" s="172"/>
      <c r="H25" s="172"/>
      <c r="I25" s="172"/>
      <c r="J25" s="172"/>
      <c r="K25" s="172"/>
      <c r="L25" s="172"/>
      <c r="M25" s="172"/>
      <c r="N25" s="47"/>
      <c r="O25" s="172"/>
      <c r="P25" s="520">
        <v>308.0</v>
      </c>
      <c r="Q25" s="172"/>
      <c r="R25" s="520">
        <v>318.0</v>
      </c>
      <c r="S25" s="244">
        <v>461.0</v>
      </c>
      <c r="T25" s="241"/>
      <c r="U25" s="241"/>
      <c r="V25" s="241"/>
      <c r="W25" s="241"/>
      <c r="X25" s="241"/>
      <c r="Y25" s="241"/>
      <c r="Z25" s="47"/>
      <c r="AA25" s="172"/>
      <c r="AB25" s="172"/>
      <c r="AC25" s="172"/>
      <c r="AD25" s="172"/>
      <c r="AE25" s="172"/>
      <c r="AF25" s="172"/>
      <c r="AG25" s="172"/>
      <c r="AH25" s="172"/>
      <c r="AI25" s="172"/>
      <c r="AJ25" s="172"/>
      <c r="AK25" s="172"/>
      <c r="AL25" s="44"/>
      <c r="AM25" s="172"/>
      <c r="AN25" s="172"/>
      <c r="AO25" s="241"/>
      <c r="AP25" s="200">
        <v>460.0</v>
      </c>
      <c r="AQ25" s="177"/>
      <c r="AR25" s="172"/>
      <c r="AS25" s="44"/>
      <c r="AT25" s="266">
        <v>320.0</v>
      </c>
      <c r="AU25" s="267"/>
      <c r="AV25" s="267" t="str">
        <f>IFERROR(__xludf.DUMMYFUNCTION("TEXTJOIN("" / "", TRUE, FILTER(TO_TEXT(SPLIT($AZ$4, "" / "")), NOT(REGEXMATCH(TO_TEXT(SPLIT($AZ$4, "" / "")), ""\b"" &amp; TEXTJOIN(""|"", TRUE, SPLIT(AW25, "" / "")) &amp; ""\b""))))"),"101 / 102 / 103 / 104 / 105 / 106 / 107 / 108 / 111 / 209 / 300 / 301 / 303 / 304 / 305 / 306 / 307 / 312 / 313 / 314 / 316 / 317 / 321 / 421")</f>
        <v>101 / 102 / 103 / 104 / 105 / 106 / 107 / 108 / 111 / 209 / 300 / 301 / 303 / 304 / 305 / 306 / 307 / 312 / 313 / 314 / 316 / 317 / 321 / 421</v>
      </c>
      <c r="AW25" s="268" t="str">
        <f>IFERROR(__xludf.DUMMYFUNCTION("TEXTJOIN("" / "", 1, SORT(UNIQUE(TRANSPOSE(SPLIT(TRIM(REGEXREPLACE(AW24,""([0-9]{3}[a-zA-Z]?)|."",""$1 "")), "" "")))))"),"308 / 318 / 320 / 460 / 461")</f>
        <v>308 / 318 / 320 / 460 / 461</v>
      </c>
      <c r="AX25" s="163"/>
      <c r="AY25" s="163"/>
      <c r="AZ25" s="163"/>
      <c r="BA25" s="163"/>
      <c r="BB25" s="163"/>
      <c r="BC25" s="163"/>
      <c r="BD25" s="163"/>
      <c r="BE25" s="163"/>
      <c r="BF25" s="163"/>
      <c r="BG25" s="163"/>
      <c r="BH25" s="163"/>
      <c r="BI25" s="163"/>
      <c r="BJ25" s="163"/>
      <c r="BK25" s="163"/>
      <c r="BL25" s="163"/>
      <c r="BM25" s="163"/>
      <c r="BN25" s="163"/>
      <c r="BO25" s="163"/>
      <c r="BP25" s="163"/>
      <c r="BQ25" s="163"/>
      <c r="BR25" s="163"/>
      <c r="BS25" s="163"/>
      <c r="BT25" s="163"/>
      <c r="BU25" s="163"/>
      <c r="BV25" s="163"/>
      <c r="BW25" s="163"/>
      <c r="BX25" s="163"/>
      <c r="BY25" s="163"/>
      <c r="BZ25" s="163"/>
      <c r="CA25" s="163"/>
      <c r="CB25" s="163"/>
      <c r="CC25" s="163"/>
      <c r="CD25" s="163"/>
      <c r="CE25" s="163"/>
      <c r="CF25" s="163"/>
      <c r="CG25" s="163"/>
      <c r="CH25" s="163"/>
    </row>
    <row r="26">
      <c r="A26" s="152" t="s">
        <v>49</v>
      </c>
      <c r="B26" s="181" t="s">
        <v>205</v>
      </c>
      <c r="M26" s="23"/>
      <c r="N26" s="154" t="s">
        <v>139</v>
      </c>
      <c r="O26" s="231" t="s">
        <v>196</v>
      </c>
      <c r="P26" s="156"/>
      <c r="Q26" s="182" t="s">
        <v>143</v>
      </c>
      <c r="R26" s="231" t="s">
        <v>196</v>
      </c>
      <c r="S26" s="182" t="s">
        <v>143</v>
      </c>
      <c r="T26" s="158"/>
      <c r="U26" s="269"/>
      <c r="V26" s="182" t="s">
        <v>143</v>
      </c>
      <c r="W26" s="270" t="s">
        <v>206</v>
      </c>
      <c r="X26" s="271" t="s">
        <v>207</v>
      </c>
      <c r="Y26" s="521" t="s">
        <v>401</v>
      </c>
      <c r="Z26" s="163" t="s">
        <v>145</v>
      </c>
      <c r="AA26" s="228"/>
      <c r="AB26" s="156"/>
      <c r="AC26" s="156"/>
      <c r="AD26" s="156"/>
      <c r="AE26" s="156"/>
      <c r="AF26" s="156"/>
      <c r="AG26" s="273" t="s">
        <v>209</v>
      </c>
      <c r="AH26" s="228"/>
      <c r="AI26" s="156"/>
      <c r="AJ26" s="522"/>
      <c r="AK26" s="63"/>
      <c r="AL26" s="152" t="s">
        <v>49</v>
      </c>
      <c r="AM26" s="254"/>
      <c r="AN26" s="63"/>
      <c r="AO26" s="156"/>
      <c r="AP26" s="183" t="s">
        <v>211</v>
      </c>
      <c r="AQ26" s="276" t="s">
        <v>212</v>
      </c>
      <c r="AR26" s="63"/>
      <c r="AS26" s="152" t="s">
        <v>49</v>
      </c>
      <c r="AT26" s="63"/>
      <c r="AU26" s="163"/>
      <c r="AV26" s="163"/>
      <c r="AW26" s="163"/>
      <c r="AX26" s="163"/>
      <c r="AY26" s="163"/>
      <c r="AZ26" s="163"/>
      <c r="BA26" s="163"/>
      <c r="BB26" s="163"/>
      <c r="BC26" s="163"/>
      <c r="BD26" s="163"/>
      <c r="BE26" s="163"/>
      <c r="BF26" s="163"/>
      <c r="BG26" s="163"/>
      <c r="BH26" s="163"/>
      <c r="BI26" s="163"/>
      <c r="BJ26" s="163"/>
      <c r="BK26" s="163"/>
      <c r="BL26" s="163"/>
      <c r="BM26" s="163"/>
      <c r="BN26" s="163"/>
      <c r="BO26" s="163"/>
      <c r="BP26" s="163"/>
      <c r="BQ26" s="163"/>
      <c r="BR26" s="163"/>
      <c r="BS26" s="163"/>
      <c r="BT26" s="163"/>
      <c r="BU26" s="163"/>
      <c r="BV26" s="163"/>
      <c r="BW26" s="163"/>
      <c r="BX26" s="163"/>
      <c r="BY26" s="163"/>
      <c r="BZ26" s="163"/>
      <c r="CA26" s="163"/>
      <c r="CB26" s="163"/>
      <c r="CC26" s="163"/>
      <c r="CD26" s="163"/>
      <c r="CE26" s="163"/>
      <c r="CF26" s="163"/>
      <c r="CG26" s="163"/>
      <c r="CH26" s="163"/>
    </row>
    <row r="27">
      <c r="A27" s="38"/>
      <c r="B27" s="278" t="s">
        <v>214</v>
      </c>
      <c r="M27" s="23"/>
      <c r="N27" s="23"/>
      <c r="O27" s="261" t="s">
        <v>201</v>
      </c>
      <c r="P27" s="156"/>
      <c r="Q27" s="259" t="s">
        <v>200</v>
      </c>
      <c r="R27" s="279" t="s">
        <v>216</v>
      </c>
      <c r="S27" s="260" t="s">
        <v>170</v>
      </c>
      <c r="T27" s="154"/>
      <c r="U27" s="168"/>
      <c r="V27" s="260" t="s">
        <v>152</v>
      </c>
      <c r="W27" s="239" t="s">
        <v>217</v>
      </c>
      <c r="X27" s="280" t="s">
        <v>218</v>
      </c>
      <c r="Y27" s="281" t="s">
        <v>99</v>
      </c>
      <c r="AA27" s="161"/>
      <c r="AB27" s="156"/>
      <c r="AC27" s="156"/>
      <c r="AD27" s="156"/>
      <c r="AE27" s="156"/>
      <c r="AF27" s="156"/>
      <c r="AG27" s="282" t="s">
        <v>219</v>
      </c>
      <c r="AH27" s="161"/>
      <c r="AI27" s="156"/>
      <c r="AJ27" s="283"/>
      <c r="AK27" s="69"/>
      <c r="AL27" s="38"/>
      <c r="AM27" s="254"/>
      <c r="AN27" s="69"/>
      <c r="AO27" s="156"/>
      <c r="AP27" s="285" t="s">
        <v>221</v>
      </c>
      <c r="AQ27" s="250" t="s">
        <v>222</v>
      </c>
      <c r="AR27" s="69"/>
      <c r="AS27" s="38"/>
      <c r="AT27" s="69"/>
      <c r="AU27" s="163"/>
      <c r="AV27" s="163"/>
      <c r="AW27" s="163" t="str">
        <f t="array" ref="AW27">TEXTJOIN(" | ", 1, A28:AT28)</f>
        <v>ONLINE | 461 | 308 | 300 | 318 | 304 | 104 | 102 | 103 | 316 (312 ON 04/03) | 460 | 301 STARTS AT 11:10</v>
      </c>
      <c r="AX27" s="163"/>
      <c r="AY27" s="163"/>
      <c r="AZ27" s="163"/>
      <c r="BA27" s="163"/>
      <c r="BB27" s="163"/>
      <c r="BC27" s="163"/>
      <c r="BD27" s="163"/>
      <c r="BE27" s="163"/>
      <c r="BF27" s="163"/>
      <c r="BG27" s="163"/>
      <c r="BH27" s="163"/>
      <c r="BI27" s="163"/>
      <c r="BJ27" s="163"/>
      <c r="BK27" s="163"/>
      <c r="BL27" s="163"/>
      <c r="BM27" s="163"/>
      <c r="BN27" s="163"/>
      <c r="BO27" s="163"/>
      <c r="BP27" s="163"/>
      <c r="BQ27" s="163"/>
      <c r="BR27" s="163"/>
      <c r="BS27" s="163"/>
      <c r="BT27" s="163"/>
      <c r="BU27" s="163"/>
      <c r="BV27" s="163"/>
      <c r="BW27" s="163"/>
      <c r="BX27" s="163"/>
      <c r="BY27" s="163"/>
      <c r="BZ27" s="163"/>
      <c r="CA27" s="163"/>
      <c r="CB27" s="163"/>
      <c r="CC27" s="163"/>
      <c r="CD27" s="163"/>
      <c r="CE27" s="163"/>
      <c r="CF27" s="163"/>
      <c r="CG27" s="163"/>
      <c r="CH27" s="163"/>
    </row>
    <row r="28">
      <c r="A28" s="44"/>
      <c r="B28" s="286" t="s">
        <v>137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7"/>
      <c r="N28" s="47"/>
      <c r="O28" s="244">
        <v>461.0</v>
      </c>
      <c r="P28" s="172"/>
      <c r="Q28" s="520">
        <v>308.0</v>
      </c>
      <c r="R28" s="244">
        <v>300.0</v>
      </c>
      <c r="S28" s="520">
        <v>318.0</v>
      </c>
      <c r="T28" s="174"/>
      <c r="U28" s="287"/>
      <c r="V28" s="199">
        <v>304.0</v>
      </c>
      <c r="W28" s="288">
        <v>104.0</v>
      </c>
      <c r="X28" s="289">
        <v>102.0</v>
      </c>
      <c r="Y28" s="290">
        <v>103.0</v>
      </c>
      <c r="Z28" s="46"/>
      <c r="AA28" s="177"/>
      <c r="AB28" s="172"/>
      <c r="AC28" s="172"/>
      <c r="AD28" s="172"/>
      <c r="AE28" s="172"/>
      <c r="AF28" s="172"/>
      <c r="AG28" s="204" t="s">
        <v>402</v>
      </c>
      <c r="AH28" s="177"/>
      <c r="AI28" s="172"/>
      <c r="AJ28" s="523"/>
      <c r="AK28" s="76"/>
      <c r="AL28" s="44"/>
      <c r="AM28" s="372"/>
      <c r="AN28" s="76"/>
      <c r="AO28" s="241"/>
      <c r="AP28" s="200">
        <v>460.0</v>
      </c>
      <c r="AQ28" s="252" t="s">
        <v>223</v>
      </c>
      <c r="AR28" s="76"/>
      <c r="AS28" s="44"/>
      <c r="AT28" s="76"/>
      <c r="AU28" s="164"/>
      <c r="AV28" s="164" t="str">
        <f>IFERROR(__xludf.DUMMYFUNCTION("TEXTJOIN("" / "", TRUE, FILTER(TO_TEXT(SPLIT($AZ$4, "" / "")), NOT(REGEXMATCH(TO_TEXT(SPLIT($AZ$4, "" / "")), ""\b"" &amp; TEXTJOIN(""|"", TRUE, SPLIT(AW28, "" / "")) &amp; ""\b""))))"),"101 / 105 / 106 / 107 / 108 / 111 / 209 / 303 / 305 / 306 / 307 / 313 / 314 / 317 / 320 / 321 / 421")</f>
        <v>101 / 105 / 106 / 107 / 108 / 111 / 209 / 303 / 305 / 306 / 307 / 313 / 314 / 317 / 320 / 321 / 421</v>
      </c>
      <c r="AW28" s="178" t="str">
        <f>IFERROR(__xludf.DUMMYFUNCTION("TEXTJOIN("" / "", 1, SORT(UNIQUE(TRANSPOSE(SPLIT(TRIM(REGEXREPLACE(AW27,""([0-9]{3}[a-zA-Z]?)|."",""$1 "")), "" "")))))"),"102 / 103 / 104 / 300 / 301 / 304 / 308 / 312 / 316 / 318 / 460 / 461")</f>
        <v>102 / 103 / 104 / 300 / 301 / 304 / 308 / 312 / 316 / 318 / 460 / 461</v>
      </c>
      <c r="AX28" s="163"/>
      <c r="AY28" s="163"/>
      <c r="AZ28" s="163"/>
      <c r="BA28" s="163"/>
      <c r="BB28" s="163"/>
      <c r="BC28" s="163"/>
      <c r="BD28" s="163"/>
      <c r="BE28" s="163"/>
      <c r="BF28" s="163"/>
      <c r="BG28" s="163"/>
      <c r="BH28" s="163"/>
      <c r="BI28" s="163"/>
      <c r="BJ28" s="163"/>
      <c r="BK28" s="163"/>
      <c r="BL28" s="163"/>
      <c r="BM28" s="163"/>
      <c r="BN28" s="163"/>
      <c r="BO28" s="163"/>
      <c r="BP28" s="163"/>
      <c r="BQ28" s="163"/>
      <c r="BR28" s="163"/>
      <c r="BS28" s="163"/>
      <c r="BT28" s="163"/>
      <c r="BU28" s="163"/>
      <c r="BV28" s="163"/>
      <c r="BW28" s="163"/>
      <c r="BX28" s="163"/>
      <c r="BY28" s="163"/>
      <c r="BZ28" s="163"/>
      <c r="CA28" s="163"/>
      <c r="CB28" s="163"/>
      <c r="CC28" s="163"/>
      <c r="CD28" s="163"/>
      <c r="CE28" s="163"/>
      <c r="CF28" s="163"/>
      <c r="CG28" s="163"/>
      <c r="CH28" s="163"/>
    </row>
    <row r="29">
      <c r="A29" s="152" t="s">
        <v>51</v>
      </c>
      <c r="B29" s="181" t="s">
        <v>224</v>
      </c>
      <c r="M29" s="23"/>
      <c r="N29" s="154" t="s">
        <v>158</v>
      </c>
      <c r="O29" s="182" t="s">
        <v>143</v>
      </c>
      <c r="P29" s="231" t="s">
        <v>196</v>
      </c>
      <c r="Q29" s="231" t="s">
        <v>196</v>
      </c>
      <c r="R29" s="156"/>
      <c r="S29" s="156"/>
      <c r="T29" s="182" t="s">
        <v>143</v>
      </c>
      <c r="U29" s="182" t="s">
        <v>143</v>
      </c>
      <c r="V29" s="270" t="s">
        <v>206</v>
      </c>
      <c r="W29" s="182" t="s">
        <v>143</v>
      </c>
      <c r="X29" s="271" t="s">
        <v>225</v>
      </c>
      <c r="Y29" s="521" t="s">
        <v>403</v>
      </c>
      <c r="Z29" s="154" t="s">
        <v>162</v>
      </c>
      <c r="AA29" s="156"/>
      <c r="AB29" s="156"/>
      <c r="AC29" s="156"/>
      <c r="AD29" s="156"/>
      <c r="AE29" s="156"/>
      <c r="AF29" s="182" t="s">
        <v>209</v>
      </c>
      <c r="AG29" s="156"/>
      <c r="AH29" s="156"/>
      <c r="AI29" s="156"/>
      <c r="AJ29" s="498"/>
      <c r="AK29" s="524" t="s">
        <v>404</v>
      </c>
      <c r="AL29" s="152" t="s">
        <v>51</v>
      </c>
      <c r="AM29" s="63"/>
      <c r="AN29" s="63"/>
      <c r="AO29" s="228"/>
      <c r="AP29" s="156"/>
      <c r="AQ29" s="276" t="s">
        <v>212</v>
      </c>
      <c r="AR29" s="525" t="s">
        <v>405</v>
      </c>
      <c r="AS29" s="152" t="s">
        <v>51</v>
      </c>
      <c r="AT29" s="63"/>
      <c r="AU29" s="163"/>
      <c r="AV29" s="163"/>
      <c r="AW29" s="163"/>
      <c r="AX29" s="163"/>
      <c r="AY29" s="163"/>
      <c r="AZ29" s="163"/>
      <c r="BA29" s="163"/>
      <c r="BB29" s="163"/>
      <c r="BC29" s="163"/>
      <c r="BD29" s="163"/>
      <c r="BE29" s="163"/>
      <c r="BF29" s="163"/>
      <c r="BG29" s="163"/>
      <c r="BH29" s="163"/>
      <c r="BI29" s="163"/>
      <c r="BJ29" s="163"/>
      <c r="BK29" s="163"/>
      <c r="BL29" s="163"/>
      <c r="BM29" s="163"/>
      <c r="BN29" s="163"/>
      <c r="BO29" s="163"/>
      <c r="BP29" s="163"/>
      <c r="BQ29" s="163"/>
      <c r="BR29" s="163"/>
      <c r="BS29" s="163"/>
      <c r="BT29" s="163"/>
      <c r="BU29" s="163"/>
      <c r="BV29" s="163"/>
      <c r="BW29" s="163"/>
      <c r="BX29" s="163"/>
      <c r="BY29" s="163"/>
      <c r="BZ29" s="163"/>
      <c r="CA29" s="163"/>
      <c r="CB29" s="163"/>
      <c r="CC29" s="163"/>
      <c r="CD29" s="163"/>
      <c r="CE29" s="163"/>
      <c r="CF29" s="163"/>
      <c r="CG29" s="163"/>
      <c r="CH29" s="163"/>
    </row>
    <row r="30">
      <c r="A30" s="38"/>
      <c r="B30" s="278" t="s">
        <v>229</v>
      </c>
      <c r="M30" s="23"/>
      <c r="N30" s="23"/>
      <c r="O30" s="259" t="s">
        <v>200</v>
      </c>
      <c r="P30" s="279" t="s">
        <v>230</v>
      </c>
      <c r="Q30" s="261" t="s">
        <v>201</v>
      </c>
      <c r="R30" s="156"/>
      <c r="S30" s="156"/>
      <c r="T30" s="260" t="s">
        <v>170</v>
      </c>
      <c r="U30" s="260" t="s">
        <v>233</v>
      </c>
      <c r="V30" s="239" t="s">
        <v>217</v>
      </c>
      <c r="W30" s="260" t="s">
        <v>152</v>
      </c>
      <c r="X30" s="296" t="s">
        <v>234</v>
      </c>
      <c r="Y30" s="297" t="s">
        <v>406</v>
      </c>
      <c r="Z30" s="23"/>
      <c r="AA30" s="156"/>
      <c r="AB30" s="156"/>
      <c r="AC30" s="156"/>
      <c r="AD30" s="156"/>
      <c r="AE30" s="156"/>
      <c r="AF30" s="259" t="s">
        <v>219</v>
      </c>
      <c r="AG30" s="156"/>
      <c r="AH30" s="156"/>
      <c r="AI30" s="156"/>
      <c r="AJ30" s="298"/>
      <c r="AK30" s="299" t="s">
        <v>407</v>
      </c>
      <c r="AL30" s="38"/>
      <c r="AM30" s="69"/>
      <c r="AN30" s="69"/>
      <c r="AO30" s="161"/>
      <c r="AP30" s="156"/>
      <c r="AQ30" s="250" t="s">
        <v>237</v>
      </c>
      <c r="AR30" s="262" t="s">
        <v>408</v>
      </c>
      <c r="AS30" s="38"/>
      <c r="AT30" s="69"/>
      <c r="AU30" s="163"/>
      <c r="AV30" s="163"/>
      <c r="AW30" s="300" t="str">
        <f t="array" ref="AW30">TEXTJOIN(" | ", 1, A31:AT31)</f>
        <v>108 | 308 | 300 | 461 | 318 | 305 | 104 | 304 | 102 | 103 | 316 (312 ON 04/03) | 317 | 301 STARTS AT 12:50 | Online</v>
      </c>
      <c r="AX30" s="163"/>
      <c r="AY30" s="163"/>
      <c r="AZ30" s="163"/>
      <c r="BA30" s="163"/>
      <c r="BB30" s="163"/>
      <c r="BC30" s="163"/>
      <c r="BD30" s="163"/>
      <c r="BE30" s="163"/>
      <c r="BF30" s="163"/>
      <c r="BG30" s="163"/>
      <c r="BH30" s="163"/>
      <c r="BI30" s="163"/>
      <c r="BJ30" s="163"/>
      <c r="BK30" s="163"/>
      <c r="BL30" s="163"/>
      <c r="BM30" s="163"/>
      <c r="BN30" s="163"/>
      <c r="BO30" s="163"/>
      <c r="BP30" s="163"/>
      <c r="BQ30" s="163"/>
      <c r="BR30" s="163"/>
      <c r="BS30" s="163"/>
      <c r="BT30" s="163"/>
      <c r="BU30" s="163"/>
      <c r="BV30" s="163"/>
      <c r="BW30" s="163"/>
      <c r="BX30" s="163"/>
      <c r="BY30" s="163"/>
      <c r="BZ30" s="163"/>
      <c r="CA30" s="163"/>
      <c r="CB30" s="163"/>
      <c r="CC30" s="163"/>
      <c r="CD30" s="163"/>
      <c r="CE30" s="163"/>
      <c r="CF30" s="163"/>
      <c r="CG30" s="163"/>
      <c r="CH30" s="163"/>
    </row>
    <row r="31">
      <c r="A31" s="44"/>
      <c r="B31" s="301">
        <v>108.0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7"/>
      <c r="N31" s="47"/>
      <c r="O31" s="520">
        <v>308.0</v>
      </c>
      <c r="P31" s="244">
        <v>300.0</v>
      </c>
      <c r="Q31" s="244">
        <v>461.0</v>
      </c>
      <c r="R31" s="241"/>
      <c r="S31" s="172"/>
      <c r="T31" s="520">
        <v>318.0</v>
      </c>
      <c r="U31" s="204">
        <v>305.0</v>
      </c>
      <c r="V31" s="288">
        <v>104.0</v>
      </c>
      <c r="W31" s="199">
        <v>304.0</v>
      </c>
      <c r="X31" s="289">
        <v>102.0</v>
      </c>
      <c r="Y31" s="290">
        <v>103.0</v>
      </c>
      <c r="Z31" s="47"/>
      <c r="AA31" s="172"/>
      <c r="AB31" s="172"/>
      <c r="AC31" s="172"/>
      <c r="AD31" s="172"/>
      <c r="AE31" s="172"/>
      <c r="AF31" s="204" t="s">
        <v>402</v>
      </c>
      <c r="AG31" s="172"/>
      <c r="AH31" s="172"/>
      <c r="AI31" s="172"/>
      <c r="AJ31" s="323"/>
      <c r="AK31" s="304">
        <v>317.0</v>
      </c>
      <c r="AL31" s="44"/>
      <c r="AM31" s="76"/>
      <c r="AN31" s="76"/>
      <c r="AO31" s="172"/>
      <c r="AP31" s="172"/>
      <c r="AQ31" s="252" t="s">
        <v>238</v>
      </c>
      <c r="AR31" s="265" t="s">
        <v>250</v>
      </c>
      <c r="AS31" s="44"/>
      <c r="AT31" s="76"/>
      <c r="AU31" s="164"/>
      <c r="AV31" s="164" t="str">
        <f>IFERROR(__xludf.DUMMYFUNCTION("TEXTJOIN("" / "", TRUE, FILTER(TO_TEXT(SPLIT($AZ$4, "" / "")), NOT(REGEXMATCH(TO_TEXT(SPLIT($AZ$4, "" / "")), ""\b"" &amp; TEXTJOIN(""|"", TRUE, SPLIT(AW31, "" / "")) &amp; ""\b""))))"),"101 / 105 / 106 / 107 / 111 / 209 / 303 / 306 / 307 / 313 / 314 / 320 / 321 / 421 / 460")</f>
        <v>101 / 105 / 106 / 107 / 111 / 209 / 303 / 306 / 307 / 313 / 314 / 320 / 321 / 421 / 460</v>
      </c>
      <c r="AW31" s="178" t="str">
        <f>IFERROR(__xludf.DUMMYFUNCTION("TEXTJOIN("" / "", 1, SORT(UNIQUE(TRANSPOSE(SPLIT(TRIM(REGEXREPLACE(AW30,""([0-9]{3}[a-zA-Z]?)|."",""$1 "")), "" "")))))"),"102 / 103 / 104 / 108 / 300 / 301 / 304 / 305 / 308 / 312 / 316 / 317 / 318 / 461")</f>
        <v>102 / 103 / 104 / 108 / 300 / 301 / 304 / 305 / 308 / 312 / 316 / 317 / 318 / 461</v>
      </c>
      <c r="AX31" s="163"/>
      <c r="AY31" s="163"/>
      <c r="AZ31" s="163"/>
      <c r="BA31" s="163"/>
      <c r="BB31" s="163"/>
      <c r="BC31" s="163"/>
      <c r="BD31" s="163"/>
      <c r="BE31" s="163"/>
      <c r="BF31" s="163"/>
      <c r="BG31" s="163"/>
      <c r="BH31" s="163"/>
      <c r="BI31" s="163"/>
      <c r="BJ31" s="163"/>
      <c r="BK31" s="163"/>
      <c r="BL31" s="163"/>
      <c r="BM31" s="163"/>
      <c r="BN31" s="163"/>
      <c r="BO31" s="163"/>
      <c r="BP31" s="163"/>
      <c r="BQ31" s="163"/>
      <c r="BR31" s="163"/>
      <c r="BS31" s="163"/>
      <c r="BT31" s="163"/>
      <c r="BU31" s="163"/>
      <c r="BV31" s="163"/>
      <c r="BW31" s="163"/>
      <c r="BX31" s="163"/>
      <c r="BY31" s="163"/>
      <c r="BZ31" s="163"/>
      <c r="CA31" s="163"/>
      <c r="CB31" s="163"/>
      <c r="CC31" s="163"/>
      <c r="CD31" s="163"/>
      <c r="CE31" s="163"/>
      <c r="CF31" s="163"/>
      <c r="CG31" s="163"/>
      <c r="CH31" s="163"/>
    </row>
    <row r="32">
      <c r="A32" s="152" t="s">
        <v>59</v>
      </c>
      <c r="B32" s="270" t="s">
        <v>239</v>
      </c>
      <c r="C32" s="208" t="s">
        <v>157</v>
      </c>
      <c r="D32" s="208" t="s">
        <v>157</v>
      </c>
      <c r="E32" s="270" t="s">
        <v>239</v>
      </c>
      <c r="F32" s="208" t="s">
        <v>157</v>
      </c>
      <c r="G32" s="208" t="s">
        <v>157</v>
      </c>
      <c r="H32" s="270" t="s">
        <v>239</v>
      </c>
      <c r="I32" s="208" t="s">
        <v>157</v>
      </c>
      <c r="J32" s="227"/>
      <c r="K32" s="208" t="s">
        <v>157</v>
      </c>
      <c r="L32" s="270" t="s">
        <v>239</v>
      </c>
      <c r="M32" s="208" t="s">
        <v>157</v>
      </c>
      <c r="N32" s="154" t="s">
        <v>172</v>
      </c>
      <c r="O32" s="228"/>
      <c r="P32" s="305"/>
      <c r="Q32" s="305"/>
      <c r="R32" s="305"/>
      <c r="S32" s="305"/>
      <c r="T32" s="305"/>
      <c r="U32" s="305"/>
      <c r="V32" s="305"/>
      <c r="W32" s="305"/>
      <c r="X32" s="305"/>
      <c r="Y32" s="155" t="s">
        <v>143</v>
      </c>
      <c r="Z32" s="152" t="s">
        <v>174</v>
      </c>
      <c r="AA32" s="156"/>
      <c r="AB32" s="156"/>
      <c r="AC32" s="156"/>
      <c r="AD32" s="306" t="s">
        <v>240</v>
      </c>
      <c r="AE32" s="23"/>
      <c r="AF32" s="155" t="s">
        <v>241</v>
      </c>
      <c r="AI32" s="23"/>
      <c r="AJ32" s="63"/>
      <c r="AK32" s="524" t="s">
        <v>404</v>
      </c>
      <c r="AL32" s="152" t="s">
        <v>59</v>
      </c>
      <c r="AM32" s="307" t="s">
        <v>242</v>
      </c>
      <c r="AN32" s="8"/>
      <c r="AO32" s="156"/>
      <c r="AP32" s="156"/>
      <c r="AQ32" s="156"/>
      <c r="AR32" s="525" t="s">
        <v>405</v>
      </c>
      <c r="AS32" s="152" t="s">
        <v>59</v>
      </c>
      <c r="AT32" s="63"/>
      <c r="AU32" s="163"/>
      <c r="AV32" s="163"/>
      <c r="AW32" s="163"/>
      <c r="AX32" s="163"/>
      <c r="AY32" s="163"/>
      <c r="AZ32" s="163"/>
      <c r="BA32" s="163"/>
      <c r="BB32" s="163"/>
      <c r="BC32" s="163"/>
      <c r="BD32" s="163"/>
      <c r="BE32" s="163"/>
      <c r="BF32" s="163"/>
      <c r="BG32" s="163"/>
      <c r="BH32" s="163"/>
      <c r="BI32" s="163"/>
      <c r="BJ32" s="163"/>
      <c r="BK32" s="163"/>
      <c r="BL32" s="163"/>
      <c r="BM32" s="163"/>
      <c r="BN32" s="163"/>
      <c r="BO32" s="163"/>
      <c r="BP32" s="163"/>
      <c r="BQ32" s="163"/>
      <c r="BR32" s="163"/>
      <c r="BS32" s="163"/>
      <c r="BT32" s="163"/>
      <c r="BU32" s="163"/>
      <c r="BV32" s="163"/>
      <c r="BW32" s="163"/>
      <c r="BX32" s="163"/>
      <c r="BY32" s="163"/>
      <c r="BZ32" s="163"/>
      <c r="CA32" s="163"/>
      <c r="CB32" s="163"/>
      <c r="CC32" s="163"/>
      <c r="CD32" s="163"/>
      <c r="CE32" s="163"/>
      <c r="CF32" s="163"/>
      <c r="CG32" s="163"/>
      <c r="CH32" s="163"/>
    </row>
    <row r="33">
      <c r="A33" s="38"/>
      <c r="B33" s="194" t="s">
        <v>243</v>
      </c>
      <c r="C33" s="213" t="s">
        <v>165</v>
      </c>
      <c r="D33" s="213" t="s">
        <v>165</v>
      </c>
      <c r="E33" s="194" t="s">
        <v>244</v>
      </c>
      <c r="F33" s="213" t="s">
        <v>165</v>
      </c>
      <c r="G33" s="213" t="s">
        <v>165</v>
      </c>
      <c r="H33" s="239" t="s">
        <v>245</v>
      </c>
      <c r="I33" s="213" t="s">
        <v>165</v>
      </c>
      <c r="J33" s="234"/>
      <c r="K33" s="213" t="s">
        <v>165</v>
      </c>
      <c r="L33" s="194" t="s">
        <v>232</v>
      </c>
      <c r="M33" s="213" t="s">
        <v>165</v>
      </c>
      <c r="N33" s="23"/>
      <c r="O33" s="161"/>
      <c r="P33" s="156"/>
      <c r="Q33" s="156"/>
      <c r="R33" s="156"/>
      <c r="S33" s="156"/>
      <c r="T33" s="156"/>
      <c r="U33" s="156"/>
      <c r="V33" s="156"/>
      <c r="W33" s="156"/>
      <c r="X33" s="156"/>
      <c r="Y33" s="308" t="s">
        <v>150</v>
      </c>
      <c r="Z33" s="38"/>
      <c r="AA33" s="156"/>
      <c r="AB33" s="156"/>
      <c r="AC33" s="156"/>
      <c r="AD33" s="309" t="s">
        <v>246</v>
      </c>
      <c r="AE33" s="23"/>
      <c r="AF33" s="310" t="s">
        <v>247</v>
      </c>
      <c r="AI33" s="23"/>
      <c r="AJ33" s="69"/>
      <c r="AK33" s="299" t="s">
        <v>407</v>
      </c>
      <c r="AL33" s="38"/>
      <c r="AM33" s="311" t="s">
        <v>248</v>
      </c>
      <c r="AN33" s="23"/>
      <c r="AO33" s="156"/>
      <c r="AP33" s="156"/>
      <c r="AQ33" s="156"/>
      <c r="AR33" s="262" t="s">
        <v>409</v>
      </c>
      <c r="AS33" s="38"/>
      <c r="AT33" s="69"/>
      <c r="AU33" s="163"/>
      <c r="AV33" s="163"/>
      <c r="AW33" s="300" t="str">
        <f t="array" ref="AW33">TEXTJOIN(" | ", 1, A34:AT34)</f>
        <v>318 | 103/104/301/111/306/421/460 | 103/104/301/111/306/421/460 | 209 (421 ON 01/04) | 103/104/301/111/306/421/460 | 103/104/301/111/306/421/460 | 300 | 103/104/301/111/306/421/460 | 103/104/301/111/306/421/460 | 314 | 103/104/301/111/306/421/460 | 101 | Online (461 ON 11/03) | ONLINE | 317 | 321 | 503</v>
      </c>
      <c r="AX33" s="163"/>
      <c r="AY33" s="163"/>
      <c r="AZ33" s="163"/>
      <c r="BA33" s="163"/>
      <c r="BB33" s="163"/>
      <c r="BC33" s="163"/>
      <c r="BD33" s="163"/>
      <c r="BE33" s="163"/>
      <c r="BF33" s="163"/>
      <c r="BG33" s="163"/>
      <c r="BH33" s="163"/>
      <c r="BI33" s="163"/>
      <c r="BJ33" s="163"/>
      <c r="BK33" s="163"/>
      <c r="BL33" s="163"/>
      <c r="BM33" s="163"/>
      <c r="BN33" s="163"/>
      <c r="BO33" s="163"/>
      <c r="BP33" s="163"/>
      <c r="BQ33" s="163"/>
      <c r="BR33" s="163"/>
      <c r="BS33" s="163"/>
      <c r="BT33" s="163"/>
      <c r="BU33" s="163"/>
      <c r="BV33" s="163"/>
      <c r="BW33" s="163"/>
      <c r="BX33" s="163"/>
      <c r="BY33" s="163"/>
      <c r="BZ33" s="163"/>
      <c r="CA33" s="163"/>
      <c r="CB33" s="163"/>
      <c r="CC33" s="163"/>
      <c r="CD33" s="163"/>
      <c r="CE33" s="163"/>
      <c r="CF33" s="163"/>
      <c r="CG33" s="163"/>
      <c r="CH33" s="163"/>
    </row>
    <row r="34">
      <c r="A34" s="44"/>
      <c r="B34" s="312">
        <v>318.0</v>
      </c>
      <c r="C34" s="221" t="s">
        <v>249</v>
      </c>
      <c r="D34" s="221" t="s">
        <v>249</v>
      </c>
      <c r="E34" s="313" t="s">
        <v>410</v>
      </c>
      <c r="F34" s="221" t="s">
        <v>249</v>
      </c>
      <c r="G34" s="221" t="s">
        <v>249</v>
      </c>
      <c r="H34" s="312">
        <v>300.0</v>
      </c>
      <c r="I34" s="221" t="s">
        <v>249</v>
      </c>
      <c r="J34" s="240"/>
      <c r="K34" s="221" t="s">
        <v>249</v>
      </c>
      <c r="L34" s="313">
        <v>314.0</v>
      </c>
      <c r="M34" s="221" t="s">
        <v>249</v>
      </c>
      <c r="N34" s="47"/>
      <c r="O34" s="177"/>
      <c r="P34" s="172"/>
      <c r="Q34" s="172"/>
      <c r="R34" s="172"/>
      <c r="S34" s="172"/>
      <c r="T34" s="172"/>
      <c r="U34" s="172"/>
      <c r="V34" s="172"/>
      <c r="W34" s="172"/>
      <c r="X34" s="172"/>
      <c r="Y34" s="526">
        <v>101.0</v>
      </c>
      <c r="Z34" s="44"/>
      <c r="AA34" s="172"/>
      <c r="AB34" s="172"/>
      <c r="AC34" s="172"/>
      <c r="AD34" s="527" t="s">
        <v>411</v>
      </c>
      <c r="AE34" s="47"/>
      <c r="AF34" s="316" t="s">
        <v>137</v>
      </c>
      <c r="AG34" s="46"/>
      <c r="AH34" s="46"/>
      <c r="AI34" s="47"/>
      <c r="AJ34" s="76"/>
      <c r="AK34" s="304">
        <v>317.0</v>
      </c>
      <c r="AL34" s="44"/>
      <c r="AM34" s="317">
        <v>321.0</v>
      </c>
      <c r="AN34" s="47"/>
      <c r="AO34" s="172"/>
      <c r="AP34" s="172"/>
      <c r="AQ34" s="172"/>
      <c r="AR34" s="265">
        <v>503.0</v>
      </c>
      <c r="AS34" s="44"/>
      <c r="AT34" s="76"/>
      <c r="AU34" s="164"/>
      <c r="AV34" s="164" t="str">
        <f>IFERROR(__xludf.DUMMYFUNCTION("TEXTJOIN("" / "", TRUE, FILTER(TO_TEXT(SPLIT($AZ$4, "" / "")), NOT(REGEXMATCH(TO_TEXT(SPLIT($AZ$4, "" / "")), ""\b"" &amp; TEXTJOIN(""|"", TRUE, SPLIT(AW34, "" / "")) &amp; ""\b""))))"),"102 / 105 / 106 / 107 / 108 / 303 / 304 / 305 / 307 / 308 / 312 / 313 / 316 / 320")</f>
        <v>102 / 105 / 106 / 107 / 108 / 303 / 304 / 305 / 307 / 308 / 312 / 313 / 316 / 320</v>
      </c>
      <c r="AW34" s="178" t="str">
        <f>IFERROR(__xludf.DUMMYFUNCTION("TEXTJOIN("" / "", 1, SORT(UNIQUE(TRANSPOSE(SPLIT(TRIM(REGEXREPLACE(AW33,""([0-9]{3}[a-zA-Z]?)|."",""$1 "")), "" "")))))"),"101 / 103 / 104 / 111 / 209 / 300 / 301 / 306 / 314 / 317 / 318 / 321 / 421 / 460 / 461 / 503")</f>
        <v>101 / 103 / 104 / 111 / 209 / 300 / 301 / 306 / 314 / 317 / 318 / 321 / 421 / 460 / 461 / 503</v>
      </c>
      <c r="AX34" s="163"/>
      <c r="AY34" s="163"/>
      <c r="AZ34" s="163"/>
      <c r="BA34" s="163"/>
      <c r="BB34" s="163"/>
      <c r="BC34" s="163"/>
      <c r="BD34" s="163"/>
      <c r="BE34" s="163"/>
      <c r="BF34" s="163"/>
      <c r="BG34" s="163"/>
      <c r="BH34" s="163"/>
      <c r="BI34" s="163"/>
      <c r="BJ34" s="163"/>
      <c r="BK34" s="163"/>
      <c r="BL34" s="163"/>
      <c r="BM34" s="163"/>
      <c r="BN34" s="163"/>
      <c r="BO34" s="163"/>
      <c r="BP34" s="163"/>
      <c r="BQ34" s="163"/>
      <c r="BR34" s="163"/>
      <c r="BS34" s="163"/>
      <c r="BT34" s="163"/>
      <c r="BU34" s="163"/>
      <c r="BV34" s="163"/>
      <c r="BW34" s="163"/>
      <c r="BX34" s="163"/>
      <c r="BY34" s="163"/>
      <c r="BZ34" s="163"/>
      <c r="CA34" s="163"/>
      <c r="CB34" s="163"/>
      <c r="CC34" s="163"/>
      <c r="CD34" s="163"/>
      <c r="CE34" s="163"/>
      <c r="CF34" s="163"/>
      <c r="CG34" s="163"/>
      <c r="CH34" s="163"/>
    </row>
    <row r="35">
      <c r="A35" s="152" t="s">
        <v>64</v>
      </c>
      <c r="B35" s="208" t="s">
        <v>157</v>
      </c>
      <c r="C35" s="270" t="s">
        <v>239</v>
      </c>
      <c r="D35" s="208" t="s">
        <v>157</v>
      </c>
      <c r="E35" s="208" t="s">
        <v>157</v>
      </c>
      <c r="F35" s="270" t="s">
        <v>239</v>
      </c>
      <c r="G35" s="208" t="s">
        <v>157</v>
      </c>
      <c r="H35" s="208" t="s">
        <v>157</v>
      </c>
      <c r="I35" s="270" t="s">
        <v>239</v>
      </c>
      <c r="J35" s="208" t="s">
        <v>157</v>
      </c>
      <c r="K35" s="270" t="s">
        <v>239</v>
      </c>
      <c r="L35" s="208" t="s">
        <v>157</v>
      </c>
      <c r="M35" s="158"/>
      <c r="N35" s="154" t="s">
        <v>184</v>
      </c>
      <c r="O35" s="228"/>
      <c r="P35" s="305"/>
      <c r="Q35" s="305"/>
      <c r="R35" s="305"/>
      <c r="S35" s="305"/>
      <c r="T35" s="305"/>
      <c r="U35" s="305"/>
      <c r="V35" s="305"/>
      <c r="W35" s="305"/>
      <c r="X35" s="305"/>
      <c r="Y35" s="156"/>
      <c r="Z35" s="154" t="s">
        <v>185</v>
      </c>
      <c r="AA35" s="156"/>
      <c r="AB35" s="156"/>
      <c r="AC35" s="156"/>
      <c r="AD35" s="306" t="s">
        <v>240</v>
      </c>
      <c r="AE35" s="23"/>
      <c r="AF35" s="134"/>
      <c r="AG35" s="158"/>
      <c r="AH35" s="228"/>
      <c r="AI35" s="156"/>
      <c r="AJ35" s="449"/>
      <c r="AK35" s="156"/>
      <c r="AL35" s="152" t="s">
        <v>64</v>
      </c>
      <c r="AM35" s="230"/>
      <c r="AN35" s="156"/>
      <c r="AO35" s="230"/>
      <c r="AP35" s="156"/>
      <c r="AQ35" s="156"/>
      <c r="AR35" s="156"/>
      <c r="AS35" s="152" t="s">
        <v>64</v>
      </c>
      <c r="AT35" s="257" t="s">
        <v>252</v>
      </c>
      <c r="AU35" s="258"/>
      <c r="AV35" s="258"/>
      <c r="AW35" s="258"/>
      <c r="AX35" s="258"/>
      <c r="AY35" s="258"/>
      <c r="AZ35" s="258"/>
      <c r="BA35" s="258"/>
      <c r="BB35" s="258"/>
      <c r="BC35" s="258"/>
      <c r="BD35" s="258"/>
      <c r="BE35" s="258"/>
      <c r="BF35" s="258"/>
      <c r="BG35" s="258"/>
      <c r="BH35" s="258"/>
      <c r="BI35" s="258"/>
      <c r="BJ35" s="258"/>
      <c r="BK35" s="258"/>
      <c r="BL35" s="258"/>
      <c r="BM35" s="258"/>
      <c r="BN35" s="258"/>
      <c r="BO35" s="258"/>
      <c r="BP35" s="258"/>
      <c r="BQ35" s="258"/>
      <c r="BR35" s="258"/>
      <c r="BS35" s="258"/>
      <c r="BT35" s="258"/>
      <c r="BU35" s="258"/>
      <c r="BV35" s="258"/>
      <c r="BW35" s="258"/>
      <c r="BX35" s="258"/>
      <c r="BY35" s="258"/>
      <c r="BZ35" s="258"/>
      <c r="CA35" s="258"/>
      <c r="CB35" s="258"/>
      <c r="CC35" s="258"/>
      <c r="CD35" s="258"/>
      <c r="CE35" s="258"/>
      <c r="CF35" s="258"/>
      <c r="CG35" s="258"/>
      <c r="CH35" s="258"/>
    </row>
    <row r="36">
      <c r="A36" s="38"/>
      <c r="B36" s="213" t="s">
        <v>165</v>
      </c>
      <c r="C36" s="194" t="s">
        <v>243</v>
      </c>
      <c r="D36" s="213" t="s">
        <v>165</v>
      </c>
      <c r="E36" s="213" t="s">
        <v>165</v>
      </c>
      <c r="F36" s="194" t="s">
        <v>244</v>
      </c>
      <c r="G36" s="213" t="s">
        <v>165</v>
      </c>
      <c r="H36" s="213" t="s">
        <v>165</v>
      </c>
      <c r="I36" s="239" t="s">
        <v>245</v>
      </c>
      <c r="J36" s="213" t="s">
        <v>165</v>
      </c>
      <c r="K36" s="194" t="s">
        <v>232</v>
      </c>
      <c r="L36" s="213" t="s">
        <v>165</v>
      </c>
      <c r="M36" s="168"/>
      <c r="N36" s="23"/>
      <c r="O36" s="161"/>
      <c r="P36" s="156"/>
      <c r="Q36" s="156"/>
      <c r="R36" s="156"/>
      <c r="S36" s="156"/>
      <c r="T36" s="156"/>
      <c r="U36" s="156"/>
      <c r="V36" s="156"/>
      <c r="W36" s="156"/>
      <c r="X36" s="156"/>
      <c r="Y36" s="156"/>
      <c r="Z36" s="23"/>
      <c r="AA36" s="156"/>
      <c r="AB36" s="156"/>
      <c r="AC36" s="156"/>
      <c r="AD36" s="309" t="s">
        <v>246</v>
      </c>
      <c r="AE36" s="23"/>
      <c r="AF36" s="211"/>
      <c r="AG36" s="154"/>
      <c r="AH36" s="161"/>
      <c r="AI36" s="156"/>
      <c r="AJ36" s="237"/>
      <c r="AK36" s="156"/>
      <c r="AL36" s="38"/>
      <c r="AM36" s="230"/>
      <c r="AN36" s="156"/>
      <c r="AO36" s="230"/>
      <c r="AP36" s="156"/>
      <c r="AQ36" s="156"/>
      <c r="AR36" s="156"/>
      <c r="AS36" s="38"/>
      <c r="AT36" s="321" t="s">
        <v>254</v>
      </c>
      <c r="AU36" s="258"/>
      <c r="AV36" s="258"/>
      <c r="AW36" s="300" t="str">
        <f t="array" ref="AW36">TEXTJOIN(" | ", 1, A37:AT37)</f>
        <v>103/104/301/111/306/421/460 | 318 | 103/104/301/111/306/421/460 | 103/104/301/111/306/421/460 | 209 (421 ON 01/04) | 103/104/301/111/306/421/460 | 103/104/301/111/306/421/460 | 300 | 103/104/301/111/306/421/460 | 314 | 103/104/301/111/306/421/460 | Online (461 ON 11/03) | 320 ON 18/03</v>
      </c>
      <c r="AX36" s="258"/>
      <c r="AY36" s="258"/>
      <c r="AZ36" s="258"/>
      <c r="BA36" s="258"/>
      <c r="BB36" s="258"/>
      <c r="BC36" s="258"/>
      <c r="BD36" s="258"/>
      <c r="BE36" s="258"/>
      <c r="BF36" s="258"/>
      <c r="BG36" s="258"/>
      <c r="BH36" s="258"/>
      <c r="BI36" s="258"/>
      <c r="BJ36" s="258"/>
      <c r="BK36" s="258"/>
      <c r="BL36" s="258"/>
      <c r="BM36" s="258"/>
      <c r="BN36" s="258"/>
      <c r="BO36" s="258"/>
      <c r="BP36" s="258"/>
      <c r="BQ36" s="258"/>
      <c r="BR36" s="258"/>
      <c r="BS36" s="258"/>
      <c r="BT36" s="258"/>
      <c r="BU36" s="258"/>
      <c r="BV36" s="258"/>
      <c r="BW36" s="258"/>
      <c r="BX36" s="258"/>
      <c r="BY36" s="258"/>
      <c r="BZ36" s="258"/>
      <c r="CA36" s="258"/>
      <c r="CB36" s="258"/>
      <c r="CC36" s="258"/>
      <c r="CD36" s="258"/>
      <c r="CE36" s="258"/>
      <c r="CF36" s="258"/>
      <c r="CG36" s="258"/>
      <c r="CH36" s="258"/>
    </row>
    <row r="37">
      <c r="A37" s="44"/>
      <c r="B37" s="221" t="s">
        <v>249</v>
      </c>
      <c r="C37" s="312">
        <v>318.0</v>
      </c>
      <c r="D37" s="221" t="s">
        <v>249</v>
      </c>
      <c r="E37" s="221" t="s">
        <v>249</v>
      </c>
      <c r="F37" s="313" t="s">
        <v>410</v>
      </c>
      <c r="G37" s="221" t="s">
        <v>249</v>
      </c>
      <c r="H37" s="221" t="s">
        <v>249</v>
      </c>
      <c r="I37" s="312">
        <v>300.0</v>
      </c>
      <c r="J37" s="221" t="s">
        <v>249</v>
      </c>
      <c r="K37" s="313">
        <v>314.0</v>
      </c>
      <c r="L37" s="221" t="s">
        <v>249</v>
      </c>
      <c r="M37" s="202"/>
      <c r="N37" s="47"/>
      <c r="O37" s="177"/>
      <c r="P37" s="172"/>
      <c r="Q37" s="172"/>
      <c r="R37" s="172"/>
      <c r="S37" s="172"/>
      <c r="T37" s="172"/>
      <c r="U37" s="172"/>
      <c r="V37" s="172"/>
      <c r="W37" s="172"/>
      <c r="X37" s="172"/>
      <c r="Y37" s="241"/>
      <c r="Z37" s="47"/>
      <c r="AA37" s="172"/>
      <c r="AB37" s="172"/>
      <c r="AC37" s="172"/>
      <c r="AD37" s="527" t="s">
        <v>411</v>
      </c>
      <c r="AE37" s="47"/>
      <c r="AF37" s="226"/>
      <c r="AG37" s="202"/>
      <c r="AH37" s="177"/>
      <c r="AI37" s="172"/>
      <c r="AJ37" s="412"/>
      <c r="AK37" s="172"/>
      <c r="AL37" s="44"/>
      <c r="AM37" s="243"/>
      <c r="AN37" s="172"/>
      <c r="AO37" s="243"/>
      <c r="AP37" s="172"/>
      <c r="AQ37" s="172"/>
      <c r="AR37" s="172"/>
      <c r="AS37" s="44"/>
      <c r="AT37" s="266" t="s">
        <v>412</v>
      </c>
      <c r="AU37" s="164"/>
      <c r="AV37" s="164" t="str">
        <f>IFERROR(__xludf.DUMMYFUNCTION("TEXTJOIN("" / "", TRUE, FILTER(TO_TEXT(SPLIT($AZ$4, "" / "")), NOT(REGEXMATCH(TO_TEXT(SPLIT($AZ$4, "" / "")), ""\b"" &amp; TEXTJOIN(""|"", TRUE, SPLIT(AW37, "" / "")) &amp; ""\b""))))"),"101 / 102 / 105 / 106 / 107 / 108 / 303 / 304 / 305 / 307 / 308 / 312 / 313 / 316 / 317 / 321")</f>
        <v>101 / 102 / 105 / 106 / 107 / 108 / 303 / 304 / 305 / 307 / 308 / 312 / 313 / 316 / 317 / 321</v>
      </c>
      <c r="AW37" s="178" t="str">
        <f>IFERROR(__xludf.DUMMYFUNCTION("TEXTJOIN("" / "", 1, SORT(UNIQUE(TRANSPOSE(SPLIT(TRIM(REGEXREPLACE(AW36,""([0-9]{3}[a-zA-Z]?)|."",""$1 "")), "" "")))))"),"103 / 104 / 111 / 209 / 300 / 301 / 306 / 314 / 318 / 320 / 421 / 460 / 461")</f>
        <v>103 / 104 / 111 / 209 / 300 / 301 / 306 / 314 / 318 / 320 / 421 / 460 / 461</v>
      </c>
      <c r="AX37" s="163"/>
      <c r="AY37" s="163"/>
      <c r="AZ37" s="163"/>
      <c r="BA37" s="163"/>
      <c r="BB37" s="163"/>
      <c r="BC37" s="163"/>
      <c r="BD37" s="163"/>
      <c r="BE37" s="163"/>
      <c r="BF37" s="163"/>
      <c r="BG37" s="163"/>
      <c r="BH37" s="163"/>
      <c r="BI37" s="163"/>
      <c r="BJ37" s="163"/>
      <c r="BK37" s="163"/>
      <c r="BL37" s="163"/>
      <c r="BM37" s="163"/>
      <c r="BN37" s="163"/>
      <c r="BO37" s="163"/>
      <c r="BP37" s="163"/>
      <c r="BQ37" s="163"/>
      <c r="BR37" s="163"/>
      <c r="BS37" s="163"/>
      <c r="BT37" s="163"/>
      <c r="BU37" s="163"/>
      <c r="BV37" s="163"/>
      <c r="BW37" s="163"/>
      <c r="BX37" s="163"/>
      <c r="BY37" s="163"/>
      <c r="BZ37" s="163"/>
      <c r="CA37" s="163"/>
      <c r="CB37" s="163"/>
      <c r="CC37" s="163"/>
      <c r="CD37" s="163"/>
      <c r="CE37" s="163"/>
      <c r="CF37" s="163"/>
      <c r="CG37" s="163"/>
      <c r="CH37" s="163"/>
    </row>
    <row r="38">
      <c r="A38" s="152" t="s">
        <v>66</v>
      </c>
      <c r="B38" s="156"/>
      <c r="C38" s="156"/>
      <c r="D38" s="270" t="s">
        <v>239</v>
      </c>
      <c r="E38" s="156"/>
      <c r="F38" s="156"/>
      <c r="G38" s="270" t="s">
        <v>239</v>
      </c>
      <c r="H38" s="156"/>
      <c r="I38" s="156"/>
      <c r="J38" s="270" t="s">
        <v>239</v>
      </c>
      <c r="K38" s="227"/>
      <c r="L38" s="156"/>
      <c r="M38" s="270" t="s">
        <v>239</v>
      </c>
      <c r="N38" s="154" t="s">
        <v>191</v>
      </c>
      <c r="O38" s="228"/>
      <c r="P38" s="305"/>
      <c r="Q38" s="305"/>
      <c r="R38" s="305"/>
      <c r="S38" s="305"/>
      <c r="T38" s="305"/>
      <c r="U38" s="305"/>
      <c r="V38" s="305"/>
      <c r="W38" s="305"/>
      <c r="X38" s="305"/>
      <c r="Y38" s="156"/>
      <c r="Z38" s="154" t="s">
        <v>192</v>
      </c>
      <c r="AA38" s="156"/>
      <c r="AB38" s="156"/>
      <c r="AC38" s="156"/>
      <c r="AD38" s="156"/>
      <c r="AE38" s="156"/>
      <c r="AF38" s="158"/>
      <c r="AG38" s="63"/>
      <c r="AH38" s="228"/>
      <c r="AI38" s="63"/>
      <c r="AJ38" s="248" t="s">
        <v>413</v>
      </c>
      <c r="AK38" s="156"/>
      <c r="AL38" s="152" t="s">
        <v>66</v>
      </c>
      <c r="AM38" s="275" t="s">
        <v>210</v>
      </c>
      <c r="AN38" s="23"/>
      <c r="AO38" s="228"/>
      <c r="AP38" s="228"/>
      <c r="AQ38" s="207" t="s">
        <v>257</v>
      </c>
      <c r="AR38" s="156"/>
      <c r="AS38" s="324" t="s">
        <v>66</v>
      </c>
      <c r="AT38" s="257" t="s">
        <v>252</v>
      </c>
      <c r="AU38" s="258"/>
      <c r="AV38" s="258"/>
      <c r="AW38" s="258"/>
      <c r="AX38" s="258"/>
      <c r="AY38" s="258"/>
      <c r="AZ38" s="258"/>
      <c r="BA38" s="258"/>
      <c r="BB38" s="258"/>
      <c r="BC38" s="258"/>
      <c r="BD38" s="258"/>
      <c r="BE38" s="258"/>
      <c r="BF38" s="258"/>
      <c r="BG38" s="258"/>
      <c r="BH38" s="258"/>
      <c r="BI38" s="258"/>
      <c r="BJ38" s="258"/>
      <c r="BK38" s="258"/>
      <c r="BL38" s="258"/>
      <c r="BM38" s="258"/>
      <c r="BN38" s="258"/>
      <c r="BO38" s="258"/>
      <c r="BP38" s="258"/>
      <c r="BQ38" s="258"/>
      <c r="BR38" s="258"/>
      <c r="BS38" s="258"/>
      <c r="BT38" s="258"/>
      <c r="BU38" s="258"/>
      <c r="BV38" s="258"/>
      <c r="BW38" s="258"/>
      <c r="BX38" s="258"/>
      <c r="BY38" s="258"/>
      <c r="BZ38" s="258"/>
      <c r="CA38" s="258"/>
      <c r="CB38" s="258"/>
      <c r="CC38" s="258"/>
      <c r="CD38" s="258"/>
      <c r="CE38" s="258"/>
      <c r="CF38" s="258"/>
      <c r="CG38" s="258"/>
      <c r="CH38" s="258"/>
    </row>
    <row r="39">
      <c r="A39" s="38"/>
      <c r="B39" s="156"/>
      <c r="C39" s="156"/>
      <c r="D39" s="194" t="s">
        <v>244</v>
      </c>
      <c r="E39" s="156"/>
      <c r="F39" s="156"/>
      <c r="G39" s="194" t="s">
        <v>243</v>
      </c>
      <c r="H39" s="156"/>
      <c r="I39" s="156"/>
      <c r="J39" s="194" t="s">
        <v>245</v>
      </c>
      <c r="K39" s="234"/>
      <c r="L39" s="156"/>
      <c r="M39" s="194" t="s">
        <v>232</v>
      </c>
      <c r="N39" s="23"/>
      <c r="O39" s="161"/>
      <c r="P39" s="156"/>
      <c r="Q39" s="156"/>
      <c r="R39" s="156"/>
      <c r="S39" s="156"/>
      <c r="T39" s="156"/>
      <c r="U39" s="156"/>
      <c r="V39" s="156"/>
      <c r="W39" s="156"/>
      <c r="X39" s="156"/>
      <c r="Y39" s="156"/>
      <c r="Z39" s="23"/>
      <c r="AA39" s="156"/>
      <c r="AB39" s="156"/>
      <c r="AC39" s="156"/>
      <c r="AD39" s="156"/>
      <c r="AE39" s="156"/>
      <c r="AF39" s="154"/>
      <c r="AG39" s="69"/>
      <c r="AH39" s="161"/>
      <c r="AI39" s="69"/>
      <c r="AJ39" s="250" t="s">
        <v>189</v>
      </c>
      <c r="AK39" s="156"/>
      <c r="AL39" s="38"/>
      <c r="AM39" s="284" t="s">
        <v>220</v>
      </c>
      <c r="AN39" s="23"/>
      <c r="AO39" s="161"/>
      <c r="AP39" s="161"/>
      <c r="AQ39" s="214" t="s">
        <v>258</v>
      </c>
      <c r="AR39" s="156"/>
      <c r="AS39" s="38"/>
      <c r="AT39" s="321" t="s">
        <v>254</v>
      </c>
      <c r="AU39" s="258"/>
      <c r="AV39" s="258"/>
      <c r="AW39" s="163" t="str">
        <f t="array" ref="AW39">TEXTJOIN(" | ", 1, A40:AT40)</f>
        <v>209 (421 ON 01/04) | 318 | 300 | 314 | ONLINE STARTS AT 18:00 TILL 21:10 | 321 EXCEPT 01/04 | ONLINE STARTS AT 20:00 | 320 ON 18/03</v>
      </c>
      <c r="AX39" s="258"/>
      <c r="AY39" s="258"/>
      <c r="AZ39" s="258"/>
      <c r="BA39" s="258"/>
      <c r="BB39" s="258"/>
      <c r="BC39" s="258"/>
      <c r="BD39" s="258"/>
      <c r="BE39" s="258"/>
      <c r="BF39" s="258"/>
      <c r="BG39" s="258"/>
      <c r="BH39" s="258"/>
      <c r="BI39" s="258"/>
      <c r="BJ39" s="258"/>
      <c r="BK39" s="258"/>
      <c r="BL39" s="258"/>
      <c r="BM39" s="258"/>
      <c r="BN39" s="258"/>
      <c r="BO39" s="258"/>
      <c r="BP39" s="258"/>
      <c r="BQ39" s="258"/>
      <c r="BR39" s="258"/>
      <c r="BS39" s="258"/>
      <c r="BT39" s="258"/>
      <c r="BU39" s="258"/>
      <c r="BV39" s="258"/>
      <c r="BW39" s="258"/>
      <c r="BX39" s="258"/>
      <c r="BY39" s="258"/>
      <c r="BZ39" s="258"/>
      <c r="CA39" s="258"/>
      <c r="CB39" s="258"/>
      <c r="CC39" s="258"/>
      <c r="CD39" s="258"/>
      <c r="CE39" s="258"/>
      <c r="CF39" s="258"/>
      <c r="CG39" s="258"/>
      <c r="CH39" s="258"/>
    </row>
    <row r="40">
      <c r="A40" s="44"/>
      <c r="B40" s="172"/>
      <c r="C40" s="172"/>
      <c r="D40" s="313" t="s">
        <v>410</v>
      </c>
      <c r="E40" s="172"/>
      <c r="F40" s="172"/>
      <c r="G40" s="313">
        <v>318.0</v>
      </c>
      <c r="H40" s="172"/>
      <c r="I40" s="172"/>
      <c r="J40" s="312">
        <v>300.0</v>
      </c>
      <c r="K40" s="240"/>
      <c r="L40" s="172"/>
      <c r="M40" s="313">
        <v>314.0</v>
      </c>
      <c r="N40" s="47"/>
      <c r="O40" s="177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47"/>
      <c r="AA40" s="172"/>
      <c r="AB40" s="172"/>
      <c r="AC40" s="172"/>
      <c r="AD40" s="172"/>
      <c r="AE40" s="172"/>
      <c r="AF40" s="202"/>
      <c r="AG40" s="76"/>
      <c r="AH40" s="177"/>
      <c r="AI40" s="76"/>
      <c r="AJ40" s="252" t="s">
        <v>414</v>
      </c>
      <c r="AK40" s="172"/>
      <c r="AL40" s="44"/>
      <c r="AM40" s="292" t="s">
        <v>415</v>
      </c>
      <c r="AN40" s="47"/>
      <c r="AO40" s="177"/>
      <c r="AP40" s="177"/>
      <c r="AQ40" s="325" t="s">
        <v>260</v>
      </c>
      <c r="AR40" s="172"/>
      <c r="AS40" s="44"/>
      <c r="AT40" s="266" t="s">
        <v>412</v>
      </c>
      <c r="AU40" s="164"/>
      <c r="AV40" s="164" t="str">
        <f>IFERROR(__xludf.DUMMYFUNCTION("TEXTJOIN("" / "", TRUE, FILTER(TO_TEXT(SPLIT($AZ$4, "" / "")), NOT(REGEXMATCH(TO_TEXT(SPLIT($AZ$4, "" / "")), ""\b"" &amp; TEXTJOIN(""|"", TRUE, SPLIT(AW40, "" / "")) &amp; ""\b""))))"),"101 / 102 / 103 / 104 / 105 / 106 / 107 / 108 / 111 / 301 / 303 / 304 / 305 / 306 / 307 / 308 / 312 / 313 / 316 / 317 / 460 / 461")</f>
        <v>101 / 102 / 103 / 104 / 105 / 106 / 107 / 108 / 111 / 301 / 303 / 304 / 305 / 306 / 307 / 308 / 312 / 313 / 316 / 317 / 460 / 461</v>
      </c>
      <c r="AW40" s="178" t="str">
        <f>IFERROR(__xludf.DUMMYFUNCTION("TEXTJOIN("" / "", 1, SORT(UNIQUE(TRANSPOSE(SPLIT(TRIM(REGEXREPLACE(AW39,""([0-9]{3}[a-zA-Z]?)|."",""$1 "")), "" "")))))"),"209 / 300 / 314 / 318 / 320 / 321 / 421")</f>
        <v>209 / 300 / 314 / 318 / 320 / 321 / 421</v>
      </c>
      <c r="AX40" s="164"/>
      <c r="AY40" s="163"/>
      <c r="AZ40" s="163"/>
      <c r="BA40" s="163"/>
      <c r="BB40" s="163"/>
      <c r="BC40" s="163"/>
      <c r="BD40" s="163"/>
      <c r="BE40" s="163"/>
      <c r="BF40" s="163"/>
      <c r="BG40" s="163"/>
      <c r="BH40" s="163"/>
      <c r="BI40" s="163"/>
      <c r="BJ40" s="163"/>
      <c r="BK40" s="163"/>
      <c r="BL40" s="163"/>
      <c r="BM40" s="163"/>
      <c r="BN40" s="163"/>
      <c r="BO40" s="163"/>
      <c r="BP40" s="163"/>
      <c r="BQ40" s="163"/>
      <c r="BR40" s="163"/>
      <c r="BS40" s="163"/>
      <c r="BT40" s="163"/>
      <c r="BU40" s="163"/>
      <c r="BV40" s="163"/>
      <c r="BW40" s="163"/>
      <c r="BX40" s="163"/>
      <c r="BY40" s="163"/>
      <c r="BZ40" s="163"/>
      <c r="CA40" s="163"/>
      <c r="CB40" s="163"/>
      <c r="CC40" s="163"/>
      <c r="CD40" s="163"/>
      <c r="CE40" s="163"/>
      <c r="CF40" s="163"/>
      <c r="CG40" s="163"/>
      <c r="CH40" s="163"/>
    </row>
    <row r="41">
      <c r="A41" s="147" t="s">
        <v>82</v>
      </c>
      <c r="B41" s="148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7"/>
      <c r="N41" s="149" t="s">
        <v>82</v>
      </c>
      <c r="O41" s="148"/>
      <c r="P41" s="46"/>
      <c r="Q41" s="46"/>
      <c r="R41" s="46"/>
      <c r="S41" s="46"/>
      <c r="T41" s="46"/>
      <c r="U41" s="46"/>
      <c r="V41" s="46"/>
      <c r="W41" s="46"/>
      <c r="X41" s="46"/>
      <c r="Y41" s="47"/>
      <c r="Z41" s="149" t="s">
        <v>82</v>
      </c>
      <c r="AA41" s="148"/>
      <c r="AB41" s="46"/>
      <c r="AC41" s="46"/>
      <c r="AD41" s="46"/>
      <c r="AE41" s="46"/>
      <c r="AF41" s="46"/>
      <c r="AG41" s="46"/>
      <c r="AH41" s="46"/>
      <c r="AI41" s="46"/>
      <c r="AJ41" s="46"/>
      <c r="AK41" s="47"/>
      <c r="AL41" s="147" t="s">
        <v>82</v>
      </c>
      <c r="AM41" s="148"/>
      <c r="AN41" s="46"/>
      <c r="AO41" s="46"/>
      <c r="AP41" s="46"/>
      <c r="AQ41" s="46"/>
      <c r="AR41" s="47"/>
      <c r="AS41" s="147" t="s">
        <v>82</v>
      </c>
      <c r="AT41" s="326"/>
      <c r="AU41" s="151"/>
      <c r="AV41" s="151"/>
      <c r="AW41" s="151"/>
      <c r="AX41" s="151"/>
      <c r="AY41" s="151"/>
      <c r="AZ41" s="151"/>
      <c r="BA41" s="151"/>
      <c r="BB41" s="151"/>
      <c r="BC41" s="151"/>
      <c r="BD41" s="151"/>
      <c r="BE41" s="151"/>
      <c r="BF41" s="151"/>
      <c r="BG41" s="151"/>
      <c r="BH41" s="151"/>
      <c r="BI41" s="151"/>
      <c r="BJ41" s="151"/>
      <c r="BK41" s="151"/>
      <c r="BL41" s="151"/>
      <c r="BM41" s="151"/>
      <c r="BN41" s="151"/>
      <c r="BO41" s="151"/>
      <c r="BP41" s="151"/>
      <c r="BQ41" s="151"/>
      <c r="BR41" s="151"/>
      <c r="BS41" s="151"/>
      <c r="BT41" s="151"/>
      <c r="BU41" s="151"/>
      <c r="BV41" s="151"/>
      <c r="BW41" s="151"/>
      <c r="BX41" s="151"/>
      <c r="BY41" s="151"/>
      <c r="BZ41" s="151"/>
      <c r="CA41" s="151"/>
      <c r="CB41" s="151"/>
      <c r="CC41" s="151"/>
      <c r="CD41" s="151"/>
      <c r="CE41" s="151"/>
      <c r="CF41" s="151"/>
      <c r="CG41" s="151"/>
      <c r="CH41" s="151"/>
    </row>
    <row r="42">
      <c r="A42" s="152" t="s">
        <v>39</v>
      </c>
      <c r="B42" s="327" t="s">
        <v>261</v>
      </c>
      <c r="M42" s="23"/>
      <c r="N42" s="154" t="s">
        <v>128</v>
      </c>
      <c r="O42" s="156"/>
      <c r="P42" s="156"/>
      <c r="Q42" s="156"/>
      <c r="R42" s="156"/>
      <c r="S42" s="156"/>
      <c r="T42" s="156"/>
      <c r="U42" s="156"/>
      <c r="V42" s="156"/>
      <c r="W42" s="156"/>
      <c r="X42" s="156"/>
      <c r="Y42" s="156"/>
      <c r="Z42" s="154" t="s">
        <v>130</v>
      </c>
      <c r="AA42" s="156"/>
      <c r="AB42" s="156"/>
      <c r="AC42" s="156"/>
      <c r="AD42" s="156"/>
      <c r="AE42" s="156"/>
      <c r="AF42" s="328" t="s">
        <v>262</v>
      </c>
      <c r="AI42" s="23"/>
      <c r="AJ42" s="522"/>
      <c r="AK42" s="227"/>
      <c r="AL42" s="152" t="s">
        <v>39</v>
      </c>
      <c r="AM42" s="228"/>
      <c r="AN42" s="228"/>
      <c r="AO42" s="228"/>
      <c r="AP42" s="231" t="s">
        <v>264</v>
      </c>
      <c r="AQ42" s="247" t="s">
        <v>265</v>
      </c>
      <c r="AR42" s="63"/>
      <c r="AS42" s="152" t="s">
        <v>39</v>
      </c>
      <c r="AT42" s="63"/>
      <c r="AU42" s="332"/>
      <c r="AV42" s="332"/>
      <c r="AW42" s="332"/>
      <c r="AX42" s="332"/>
      <c r="AY42" s="332"/>
      <c r="AZ42" s="332"/>
      <c r="BA42" s="332"/>
      <c r="BB42" s="332"/>
      <c r="BC42" s="332"/>
      <c r="BD42" s="332"/>
      <c r="BE42" s="332"/>
      <c r="BF42" s="332"/>
      <c r="BG42" s="332"/>
      <c r="BH42" s="332"/>
      <c r="BI42" s="332"/>
      <c r="BJ42" s="332"/>
      <c r="BK42" s="332"/>
      <c r="BL42" s="332"/>
      <c r="BM42" s="332"/>
      <c r="BN42" s="332"/>
      <c r="BO42" s="332"/>
      <c r="BP42" s="332"/>
      <c r="BQ42" s="332"/>
      <c r="BR42" s="332"/>
      <c r="BS42" s="332"/>
      <c r="BT42" s="332"/>
      <c r="BU42" s="332"/>
      <c r="BV42" s="332"/>
      <c r="BW42" s="332"/>
      <c r="BX42" s="332"/>
      <c r="BY42" s="332"/>
      <c r="BZ42" s="332"/>
      <c r="CA42" s="332"/>
      <c r="CB42" s="332"/>
      <c r="CC42" s="332"/>
      <c r="CD42" s="332"/>
      <c r="CE42" s="332"/>
      <c r="CF42" s="332"/>
      <c r="CG42" s="332"/>
      <c r="CH42" s="332"/>
    </row>
    <row r="43">
      <c r="A43" s="38"/>
      <c r="B43" s="333" t="s">
        <v>268</v>
      </c>
      <c r="M43" s="23"/>
      <c r="N43" s="23"/>
      <c r="O43" s="156"/>
      <c r="P43" s="156"/>
      <c r="Q43" s="156"/>
      <c r="R43" s="156"/>
      <c r="S43" s="156"/>
      <c r="T43" s="156"/>
      <c r="U43" s="156"/>
      <c r="V43" s="156"/>
      <c r="W43" s="156"/>
      <c r="X43" s="156"/>
      <c r="Y43" s="156"/>
      <c r="Z43" s="23"/>
      <c r="AA43" s="156"/>
      <c r="AB43" s="156"/>
      <c r="AC43" s="156"/>
      <c r="AD43" s="156"/>
      <c r="AE43" s="156"/>
      <c r="AF43" s="334" t="s">
        <v>269</v>
      </c>
      <c r="AI43" s="23"/>
      <c r="AJ43" s="283"/>
      <c r="AK43" s="234"/>
      <c r="AL43" s="38"/>
      <c r="AM43" s="161"/>
      <c r="AN43" s="161"/>
      <c r="AO43" s="161"/>
      <c r="AP43" s="336" t="s">
        <v>271</v>
      </c>
      <c r="AQ43" s="337" t="s">
        <v>272</v>
      </c>
      <c r="AR43" s="69"/>
      <c r="AS43" s="38"/>
      <c r="AT43" s="69"/>
      <c r="AU43" s="339"/>
      <c r="AV43" s="339"/>
      <c r="AW43" s="163" t="str">
        <f t="array" ref="AW43">TEXTJOIN(" | ", 1, A44:AT44)</f>
        <v>108 | 106 | ONLINE | ONLINE ON 05/03, 12/03 STARTS AT 11:00 TILL 14:00</v>
      </c>
      <c r="AX43" s="339"/>
      <c r="AY43" s="339"/>
      <c r="AZ43" s="339"/>
      <c r="BA43" s="339"/>
      <c r="BB43" s="339"/>
      <c r="BC43" s="339"/>
      <c r="BD43" s="339"/>
      <c r="BE43" s="339"/>
      <c r="BF43" s="339"/>
      <c r="BG43" s="339"/>
      <c r="BH43" s="339"/>
      <c r="BI43" s="339"/>
      <c r="BJ43" s="339"/>
      <c r="BK43" s="339"/>
      <c r="BL43" s="339"/>
      <c r="BM43" s="339"/>
      <c r="BN43" s="339"/>
      <c r="BO43" s="339"/>
      <c r="BP43" s="339"/>
      <c r="BQ43" s="339"/>
      <c r="BR43" s="339"/>
      <c r="BS43" s="339"/>
      <c r="BT43" s="339"/>
      <c r="BU43" s="339"/>
      <c r="BV43" s="339"/>
      <c r="BW43" s="339"/>
      <c r="BX43" s="339"/>
      <c r="BY43" s="339"/>
      <c r="BZ43" s="339"/>
      <c r="CA43" s="339"/>
      <c r="CB43" s="339"/>
      <c r="CC43" s="339"/>
      <c r="CD43" s="339"/>
      <c r="CE43" s="339"/>
      <c r="CF43" s="339"/>
      <c r="CG43" s="339"/>
      <c r="CH43" s="339"/>
    </row>
    <row r="44">
      <c r="A44" s="44"/>
      <c r="B44" s="528">
        <v>108.0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7"/>
      <c r="N44" s="47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47"/>
      <c r="AA44" s="172"/>
      <c r="AB44" s="172"/>
      <c r="AC44" s="172"/>
      <c r="AD44" s="172"/>
      <c r="AE44" s="172"/>
      <c r="AF44" s="341">
        <v>106.0</v>
      </c>
      <c r="AG44" s="46"/>
      <c r="AH44" s="46"/>
      <c r="AI44" s="47"/>
      <c r="AJ44" s="523"/>
      <c r="AK44" s="240"/>
      <c r="AL44" s="44"/>
      <c r="AM44" s="177"/>
      <c r="AN44" s="177"/>
      <c r="AO44" s="177"/>
      <c r="AP44" s="343" t="s">
        <v>137</v>
      </c>
      <c r="AQ44" s="344" t="s">
        <v>416</v>
      </c>
      <c r="AR44" s="76"/>
      <c r="AS44" s="44"/>
      <c r="AT44" s="76"/>
      <c r="AU44" s="164"/>
      <c r="AV44" s="164" t="str">
        <f>IFERROR(__xludf.DUMMYFUNCTION("TEXTJOIN("" / "", TRUE, FILTER(TO_TEXT(SPLIT($AZ$4, "" / "")), NOT(REGEXMATCH(TO_TEXT(SPLIT($AZ$4, "" / "")), ""\b"" &amp; TEXTJOIN(""|"", TRUE, SPLIT(AW44, "" / "")) &amp; ""\b""))))"),"101 / 102 / 103 / 104 / 105 / 107 / 111 / 209 / 300 / 301 / 303 / 304 / 305 / 306 / 307 / 308 / 312 / 313 / 314 / 316 / 317 / 318 / 320 / 321 / 421 / 460 / 461")</f>
        <v>101 / 102 / 103 / 104 / 105 / 107 / 111 / 209 / 300 / 301 / 303 / 304 / 305 / 306 / 307 / 308 / 312 / 313 / 314 / 316 / 317 / 318 / 320 / 321 / 421 / 460 / 461</v>
      </c>
      <c r="AW44" s="178" t="str">
        <f>IFERROR(__xludf.DUMMYFUNCTION("TEXTJOIN("" / "", 1, SORT(UNIQUE(TRANSPOSE(SPLIT(TRIM(REGEXREPLACE(AW43,""([0-9]{3}[a-zA-Z]?)|."",""$1 "")), "" "")))))"),"106 / 108")</f>
        <v>106 / 108</v>
      </c>
      <c r="AX44" s="346"/>
      <c r="AY44" s="346"/>
      <c r="AZ44" s="346"/>
      <c r="BA44" s="346"/>
      <c r="BB44" s="346"/>
      <c r="BC44" s="346"/>
      <c r="BD44" s="346"/>
      <c r="BE44" s="346"/>
      <c r="BF44" s="346"/>
      <c r="BG44" s="346"/>
      <c r="BH44" s="346"/>
      <c r="BI44" s="346"/>
      <c r="BJ44" s="346"/>
      <c r="BK44" s="346"/>
      <c r="BL44" s="346"/>
      <c r="BM44" s="346"/>
      <c r="BN44" s="346"/>
      <c r="BO44" s="346"/>
      <c r="BP44" s="346"/>
      <c r="BQ44" s="346"/>
      <c r="BR44" s="346"/>
      <c r="BS44" s="346"/>
      <c r="BT44" s="346"/>
      <c r="BU44" s="346"/>
      <c r="BV44" s="346"/>
      <c r="BW44" s="346"/>
      <c r="BX44" s="346"/>
      <c r="BY44" s="346"/>
      <c r="BZ44" s="346"/>
      <c r="CA44" s="346"/>
      <c r="CB44" s="346"/>
      <c r="CC44" s="346"/>
      <c r="CD44" s="346"/>
      <c r="CE44" s="346"/>
      <c r="CF44" s="346"/>
      <c r="CG44" s="346"/>
      <c r="CH44" s="346"/>
    </row>
    <row r="45">
      <c r="A45" s="152" t="s">
        <v>49</v>
      </c>
      <c r="B45" s="327" t="s">
        <v>277</v>
      </c>
      <c r="M45" s="23"/>
      <c r="N45" s="154" t="s">
        <v>139</v>
      </c>
      <c r="O45" s="156"/>
      <c r="P45" s="156"/>
      <c r="Q45" s="156"/>
      <c r="R45" s="156"/>
      <c r="S45" s="156"/>
      <c r="T45" s="156"/>
      <c r="U45" s="156"/>
      <c r="V45" s="156"/>
      <c r="W45" s="156"/>
      <c r="X45" s="156"/>
      <c r="Y45" s="156"/>
      <c r="Z45" s="154" t="s">
        <v>145</v>
      </c>
      <c r="AA45" s="156"/>
      <c r="AB45" s="156"/>
      <c r="AC45" s="156"/>
      <c r="AD45" s="156"/>
      <c r="AE45" s="156"/>
      <c r="AF45" s="247" t="s">
        <v>278</v>
      </c>
      <c r="AG45" s="158"/>
      <c r="AH45" s="182" t="s">
        <v>209</v>
      </c>
      <c r="AI45" s="247" t="s">
        <v>278</v>
      </c>
      <c r="AJ45" s="522"/>
      <c r="AK45" s="63"/>
      <c r="AL45" s="152" t="s">
        <v>49</v>
      </c>
      <c r="AM45" s="347" t="s">
        <v>279</v>
      </c>
      <c r="AN45" s="23"/>
      <c r="AO45" s="348" t="s">
        <v>280</v>
      </c>
      <c r="AP45" s="231" t="s">
        <v>281</v>
      </c>
      <c r="AQ45" s="158"/>
      <c r="AR45" s="254"/>
      <c r="AS45" s="152" t="s">
        <v>49</v>
      </c>
      <c r="AT45" s="63"/>
      <c r="AU45" s="332"/>
      <c r="AV45" s="332"/>
      <c r="AW45" s="332"/>
      <c r="AX45" s="332"/>
      <c r="AY45" s="332"/>
      <c r="AZ45" s="332"/>
      <c r="BA45" s="332"/>
      <c r="BB45" s="332"/>
      <c r="BC45" s="332"/>
      <c r="BD45" s="332"/>
      <c r="BE45" s="332"/>
      <c r="BF45" s="332"/>
      <c r="BG45" s="332"/>
      <c r="BH45" s="332"/>
      <c r="BI45" s="332"/>
      <c r="BJ45" s="332"/>
      <c r="BK45" s="332"/>
      <c r="BL45" s="332"/>
      <c r="BM45" s="332"/>
      <c r="BN45" s="332"/>
      <c r="BO45" s="332"/>
      <c r="BP45" s="332"/>
      <c r="BQ45" s="332"/>
      <c r="BR45" s="332"/>
      <c r="BS45" s="332"/>
      <c r="BT45" s="332"/>
      <c r="BU45" s="332"/>
      <c r="BV45" s="332"/>
      <c r="BW45" s="332"/>
      <c r="BX45" s="332"/>
      <c r="BY45" s="332"/>
      <c r="BZ45" s="332"/>
      <c r="CA45" s="332"/>
      <c r="CB45" s="332"/>
      <c r="CC45" s="332"/>
      <c r="CD45" s="332"/>
      <c r="CE45" s="332"/>
      <c r="CF45" s="332"/>
      <c r="CG45" s="332"/>
      <c r="CH45" s="332"/>
    </row>
    <row r="46">
      <c r="A46" s="38"/>
      <c r="B46" s="350" t="s">
        <v>283</v>
      </c>
      <c r="M46" s="23"/>
      <c r="N46" s="23"/>
      <c r="O46" s="156"/>
      <c r="P46" s="156"/>
      <c r="Q46" s="156"/>
      <c r="R46" s="156"/>
      <c r="S46" s="156"/>
      <c r="T46" s="156"/>
      <c r="U46" s="156"/>
      <c r="V46" s="156"/>
      <c r="W46" s="156"/>
      <c r="X46" s="156"/>
      <c r="Y46" s="156"/>
      <c r="Z46" s="23"/>
      <c r="AA46" s="156"/>
      <c r="AB46" s="156"/>
      <c r="AC46" s="156"/>
      <c r="AD46" s="156"/>
      <c r="AE46" s="156"/>
      <c r="AF46" s="337" t="s">
        <v>284</v>
      </c>
      <c r="AG46" s="168"/>
      <c r="AH46" s="259" t="s">
        <v>219</v>
      </c>
      <c r="AI46" s="249" t="s">
        <v>150</v>
      </c>
      <c r="AJ46" s="283"/>
      <c r="AK46" s="69"/>
      <c r="AL46" s="38"/>
      <c r="AM46" s="352" t="s">
        <v>285</v>
      </c>
      <c r="AN46" s="23"/>
      <c r="AO46" s="353" t="s">
        <v>286</v>
      </c>
      <c r="AP46" s="336" t="s">
        <v>271</v>
      </c>
      <c r="AQ46" s="168"/>
      <c r="AR46" s="254"/>
      <c r="AS46" s="38"/>
      <c r="AT46" s="69"/>
      <c r="AU46" s="339"/>
      <c r="AV46" s="339"/>
      <c r="AW46" s="163" t="str">
        <f t="array" ref="AW46">TEXTJOIN(" | ", 1, A47:AT47)</f>
        <v>108 | 318 | 308 | 316 (320 ON 19/03) | 321 | 312 | ONLINE</v>
      </c>
      <c r="AX46" s="339"/>
      <c r="AY46" s="339"/>
      <c r="AZ46" s="339"/>
      <c r="BA46" s="339"/>
      <c r="BB46" s="339"/>
      <c r="BC46" s="339"/>
      <c r="BD46" s="339"/>
      <c r="BE46" s="339"/>
      <c r="BF46" s="339"/>
      <c r="BG46" s="339"/>
      <c r="BH46" s="339"/>
      <c r="BI46" s="339"/>
      <c r="BJ46" s="339"/>
      <c r="BK46" s="339"/>
      <c r="BL46" s="339"/>
      <c r="BM46" s="339"/>
      <c r="BN46" s="339"/>
      <c r="BO46" s="339"/>
      <c r="BP46" s="339"/>
      <c r="BQ46" s="339"/>
      <c r="BR46" s="339"/>
      <c r="BS46" s="339"/>
      <c r="BT46" s="339"/>
      <c r="BU46" s="339"/>
      <c r="BV46" s="339"/>
      <c r="BW46" s="339"/>
      <c r="BX46" s="339"/>
      <c r="BY46" s="339"/>
      <c r="BZ46" s="339"/>
      <c r="CA46" s="339"/>
      <c r="CB46" s="339"/>
      <c r="CC46" s="339"/>
      <c r="CD46" s="339"/>
      <c r="CE46" s="339"/>
      <c r="CF46" s="339"/>
      <c r="CG46" s="339"/>
      <c r="CH46" s="339"/>
    </row>
    <row r="47">
      <c r="A47" s="44"/>
      <c r="B47" s="528">
        <v>108.0</v>
      </c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7"/>
      <c r="N47" s="47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47"/>
      <c r="AA47" s="172"/>
      <c r="AB47" s="172"/>
      <c r="AC47" s="172"/>
      <c r="AD47" s="172"/>
      <c r="AE47" s="172"/>
      <c r="AF47" s="251">
        <v>318.0</v>
      </c>
      <c r="AG47" s="174"/>
      <c r="AH47" s="204">
        <v>308.0</v>
      </c>
      <c r="AI47" s="251" t="s">
        <v>417</v>
      </c>
      <c r="AJ47" s="523"/>
      <c r="AK47" s="76"/>
      <c r="AL47" s="44"/>
      <c r="AM47" s="354">
        <v>321.0</v>
      </c>
      <c r="AN47" s="47"/>
      <c r="AO47" s="224">
        <v>312.0</v>
      </c>
      <c r="AP47" s="343" t="s">
        <v>137</v>
      </c>
      <c r="AQ47" s="205"/>
      <c r="AR47" s="254"/>
      <c r="AS47" s="44"/>
      <c r="AT47" s="76"/>
      <c r="AU47" s="164"/>
      <c r="AV47" s="164" t="str">
        <f>IFERROR(__xludf.DUMMYFUNCTION("TEXTJOIN("" / "", TRUE, FILTER(TO_TEXT(SPLIT($AZ$4, "" / "")), NOT(REGEXMATCH(TO_TEXT(SPLIT($AZ$4, "" / "")), ""\b"" &amp; TEXTJOIN(""|"", TRUE, SPLIT(AW47, "" / "")) &amp; ""\b""))))"),"101 / 102 / 103 / 104 / 105 / 106 / 107 / 111 / 209 / 300 / 301 / 303 / 304 / 305 / 306 / 307 / 313 / 314 / 317 / 421 / 460 / 461")</f>
        <v>101 / 102 / 103 / 104 / 105 / 106 / 107 / 111 / 209 / 300 / 301 / 303 / 304 / 305 / 306 / 307 / 313 / 314 / 317 / 421 / 460 / 461</v>
      </c>
      <c r="AW47" s="178" t="str">
        <f>IFERROR(__xludf.DUMMYFUNCTION("TEXTJOIN("" / "", 1, SORT(UNIQUE(TRANSPOSE(SPLIT(TRIM(REGEXREPLACE(AW46,""([0-9]{3}[a-zA-Z]?)|."",""$1 "")), "" "")))))"),"108 / 308 / 312 / 316 / 318 / 320 / 321")</f>
        <v>108 / 308 / 312 / 316 / 318 / 320 / 321</v>
      </c>
      <c r="AX47" s="267"/>
      <c r="AY47" s="346"/>
      <c r="AZ47" s="346"/>
      <c r="BA47" s="346"/>
      <c r="BB47" s="346"/>
      <c r="BC47" s="346"/>
      <c r="BD47" s="346"/>
      <c r="BE47" s="346"/>
      <c r="BF47" s="346"/>
      <c r="BG47" s="346"/>
      <c r="BH47" s="346"/>
      <c r="BI47" s="346"/>
      <c r="BJ47" s="346"/>
      <c r="BK47" s="346"/>
      <c r="BL47" s="346"/>
      <c r="BM47" s="346"/>
      <c r="BN47" s="346"/>
      <c r="BO47" s="346"/>
      <c r="BP47" s="346"/>
      <c r="BQ47" s="346"/>
      <c r="BR47" s="346"/>
      <c r="BS47" s="346"/>
      <c r="BT47" s="346"/>
      <c r="BU47" s="346"/>
      <c r="BV47" s="346"/>
      <c r="BW47" s="346"/>
      <c r="BX47" s="346"/>
      <c r="BY47" s="346"/>
      <c r="BZ47" s="346"/>
      <c r="CA47" s="346"/>
      <c r="CB47" s="346"/>
      <c r="CC47" s="346"/>
      <c r="CD47" s="346"/>
      <c r="CE47" s="346"/>
      <c r="CF47" s="346"/>
      <c r="CG47" s="346"/>
      <c r="CH47" s="346"/>
    </row>
    <row r="48">
      <c r="A48" s="152" t="s">
        <v>51</v>
      </c>
      <c r="B48" s="356" t="s">
        <v>287</v>
      </c>
      <c r="C48" s="208" t="s">
        <v>157</v>
      </c>
      <c r="D48" s="356" t="s">
        <v>287</v>
      </c>
      <c r="E48" s="208" t="s">
        <v>157</v>
      </c>
      <c r="F48" s="208" t="s">
        <v>157</v>
      </c>
      <c r="G48" s="208" t="s">
        <v>157</v>
      </c>
      <c r="H48" s="356" t="s">
        <v>287</v>
      </c>
      <c r="I48" s="208" t="s">
        <v>157</v>
      </c>
      <c r="J48" s="356" t="s">
        <v>287</v>
      </c>
      <c r="K48" s="208" t="s">
        <v>157</v>
      </c>
      <c r="L48" s="356" t="s">
        <v>287</v>
      </c>
      <c r="M48" s="208" t="s">
        <v>157</v>
      </c>
      <c r="N48" s="154" t="s">
        <v>158</v>
      </c>
      <c r="O48" s="357" t="s">
        <v>288</v>
      </c>
      <c r="X48" s="23"/>
      <c r="Y48" s="156"/>
      <c r="Z48" s="154" t="s">
        <v>162</v>
      </c>
      <c r="AA48" s="328" t="s">
        <v>289</v>
      </c>
      <c r="AC48" s="23"/>
      <c r="AD48" s="63"/>
      <c r="AE48" s="63"/>
      <c r="AF48" s="254"/>
      <c r="AG48" s="247" t="s">
        <v>278</v>
      </c>
      <c r="AH48" s="247" t="s">
        <v>278</v>
      </c>
      <c r="AI48" s="182" t="s">
        <v>209</v>
      </c>
      <c r="AJ48" s="63"/>
      <c r="AK48" s="156"/>
      <c r="AL48" s="152" t="s">
        <v>51</v>
      </c>
      <c r="AM48" s="358" t="s">
        <v>290</v>
      </c>
      <c r="AN48" s="23"/>
      <c r="AO48" s="348" t="s">
        <v>291</v>
      </c>
      <c r="AP48" s="228"/>
      <c r="AQ48" s="228"/>
      <c r="AR48" s="228"/>
      <c r="AS48" s="152" t="s">
        <v>51</v>
      </c>
      <c r="AT48" s="63"/>
      <c r="AU48" s="359"/>
      <c r="AV48" s="359"/>
      <c r="AW48" s="360"/>
      <c r="AX48" s="360"/>
      <c r="AY48" s="360"/>
      <c r="AZ48" s="360"/>
      <c r="BA48" s="360"/>
      <c r="BB48" s="360"/>
      <c r="BC48" s="360"/>
      <c r="BD48" s="360"/>
      <c r="BE48" s="360"/>
      <c r="BF48" s="360"/>
      <c r="BG48" s="360"/>
      <c r="BH48" s="360"/>
      <c r="BI48" s="360"/>
      <c r="BJ48" s="360"/>
      <c r="BK48" s="360"/>
      <c r="BL48" s="360"/>
      <c r="BM48" s="360"/>
      <c r="BN48" s="360"/>
      <c r="BO48" s="360"/>
      <c r="BP48" s="360"/>
      <c r="BQ48" s="360"/>
      <c r="BR48" s="360"/>
      <c r="BS48" s="360"/>
      <c r="BT48" s="360"/>
      <c r="BU48" s="360"/>
      <c r="BV48" s="360"/>
      <c r="BW48" s="360"/>
      <c r="BX48" s="360"/>
      <c r="BY48" s="360"/>
      <c r="BZ48" s="360"/>
      <c r="CA48" s="360"/>
      <c r="CB48" s="360"/>
      <c r="CC48" s="360"/>
      <c r="CD48" s="360"/>
      <c r="CE48" s="360"/>
      <c r="CF48" s="360"/>
      <c r="CG48" s="360"/>
      <c r="CH48" s="360"/>
    </row>
    <row r="49">
      <c r="A49" s="38"/>
      <c r="B49" s="361" t="s">
        <v>215</v>
      </c>
      <c r="C49" s="213" t="s">
        <v>165</v>
      </c>
      <c r="D49" s="362" t="s">
        <v>53</v>
      </c>
      <c r="E49" s="213" t="s">
        <v>165</v>
      </c>
      <c r="F49" s="213" t="s">
        <v>165</v>
      </c>
      <c r="G49" s="213" t="s">
        <v>165</v>
      </c>
      <c r="H49" s="363" t="s">
        <v>292</v>
      </c>
      <c r="I49" s="213" t="s">
        <v>165</v>
      </c>
      <c r="J49" s="363" t="s">
        <v>202</v>
      </c>
      <c r="K49" s="213" t="s">
        <v>165</v>
      </c>
      <c r="L49" s="363" t="s">
        <v>166</v>
      </c>
      <c r="M49" s="213" t="s">
        <v>165</v>
      </c>
      <c r="N49" s="23"/>
      <c r="O49" s="364" t="s">
        <v>293</v>
      </c>
      <c r="X49" s="23"/>
      <c r="Y49" s="156"/>
      <c r="Z49" s="23"/>
      <c r="AA49" s="365" t="s">
        <v>294</v>
      </c>
      <c r="AC49" s="23"/>
      <c r="AD49" s="69"/>
      <c r="AE49" s="69"/>
      <c r="AF49" s="254"/>
      <c r="AG49" s="337" t="s">
        <v>284</v>
      </c>
      <c r="AH49" s="249" t="s">
        <v>150</v>
      </c>
      <c r="AI49" s="259" t="s">
        <v>219</v>
      </c>
      <c r="AJ49" s="69"/>
      <c r="AK49" s="156"/>
      <c r="AL49" s="38"/>
      <c r="AM49" s="366" t="s">
        <v>295</v>
      </c>
      <c r="AN49" s="23"/>
      <c r="AO49" s="367" t="s">
        <v>78</v>
      </c>
      <c r="AP49" s="161"/>
      <c r="AQ49" s="161"/>
      <c r="AR49" s="161"/>
      <c r="AS49" s="38"/>
      <c r="AT49" s="69"/>
      <c r="AU49" s="359"/>
      <c r="AV49" s="359"/>
      <c r="AW49" s="163" t="str">
        <f t="array" ref="AW49">TEXTJOIN(" | ", 1, A50:AT50)</f>
        <v>101 | 103/104/301/304/306/317/421 | 300 | 103/104/301/304/306/317/421 | 103/104/301/304/306/317/421 | 103/104/301/304/306/317/421 | 460 | 103/104/301/304/306/317/421 | 314 | 103/104/301/304/306/317/421 | 209 | 103/104/301/304/306/317/421 | 108 | 105 | 318 | 316 (320 ON 19/03) | 308 | 321 | 312</v>
      </c>
      <c r="AX49" s="346"/>
      <c r="AY49" s="346"/>
      <c r="AZ49" s="346"/>
      <c r="BA49" s="346"/>
      <c r="BB49" s="346"/>
      <c r="BC49" s="346"/>
      <c r="BD49" s="346"/>
      <c r="BE49" s="346"/>
      <c r="BF49" s="346"/>
      <c r="BG49" s="346"/>
      <c r="BH49" s="346"/>
      <c r="BI49" s="346"/>
      <c r="BJ49" s="346"/>
      <c r="BK49" s="346"/>
      <c r="BL49" s="346"/>
      <c r="BM49" s="346"/>
      <c r="BN49" s="346"/>
      <c r="BO49" s="346"/>
      <c r="BP49" s="346"/>
      <c r="BQ49" s="346"/>
      <c r="BR49" s="346"/>
      <c r="BS49" s="346"/>
      <c r="BT49" s="346"/>
      <c r="BU49" s="346"/>
      <c r="BV49" s="346"/>
      <c r="BW49" s="346"/>
      <c r="BX49" s="346"/>
      <c r="BY49" s="346"/>
      <c r="BZ49" s="346"/>
      <c r="CA49" s="346"/>
      <c r="CB49" s="346"/>
      <c r="CC49" s="346"/>
      <c r="CD49" s="346"/>
      <c r="CE49" s="346"/>
      <c r="CF49" s="346"/>
      <c r="CG49" s="346"/>
      <c r="CH49" s="346"/>
    </row>
    <row r="50">
      <c r="A50" s="44"/>
      <c r="B50" s="368">
        <v>101.0</v>
      </c>
      <c r="C50" s="221" t="s">
        <v>171</v>
      </c>
      <c r="D50" s="369">
        <v>300.0</v>
      </c>
      <c r="E50" s="221" t="s">
        <v>171</v>
      </c>
      <c r="F50" s="221" t="s">
        <v>171</v>
      </c>
      <c r="G50" s="221" t="s">
        <v>171</v>
      </c>
      <c r="H50" s="368">
        <v>460.0</v>
      </c>
      <c r="I50" s="221" t="s">
        <v>171</v>
      </c>
      <c r="J50" s="368">
        <v>314.0</v>
      </c>
      <c r="K50" s="221" t="s">
        <v>171</v>
      </c>
      <c r="L50" s="368">
        <v>209.0</v>
      </c>
      <c r="M50" s="221" t="s">
        <v>171</v>
      </c>
      <c r="N50" s="47"/>
      <c r="O50" s="370">
        <v>108.0</v>
      </c>
      <c r="P50" s="46"/>
      <c r="Q50" s="46"/>
      <c r="R50" s="46"/>
      <c r="S50" s="46"/>
      <c r="T50" s="46"/>
      <c r="U50" s="46"/>
      <c r="V50" s="46"/>
      <c r="W50" s="46"/>
      <c r="X50" s="47"/>
      <c r="Y50" s="172"/>
      <c r="Z50" s="47"/>
      <c r="AA50" s="371">
        <v>105.0</v>
      </c>
      <c r="AB50" s="46"/>
      <c r="AC50" s="47"/>
      <c r="AD50" s="76"/>
      <c r="AE50" s="76"/>
      <c r="AF50" s="372"/>
      <c r="AG50" s="251">
        <v>318.0</v>
      </c>
      <c r="AH50" s="251" t="s">
        <v>417</v>
      </c>
      <c r="AI50" s="204">
        <v>308.0</v>
      </c>
      <c r="AJ50" s="76"/>
      <c r="AK50" s="172"/>
      <c r="AL50" s="44"/>
      <c r="AM50" s="173">
        <v>321.0</v>
      </c>
      <c r="AN50" s="47"/>
      <c r="AO50" s="224">
        <v>312.0</v>
      </c>
      <c r="AP50" s="177"/>
      <c r="AQ50" s="177"/>
      <c r="AR50" s="177"/>
      <c r="AS50" s="44"/>
      <c r="AT50" s="76"/>
      <c r="AU50" s="164"/>
      <c r="AV50" s="164" t="str">
        <f>IFERROR(__xludf.DUMMYFUNCTION("TEXTJOIN("" / "", TRUE, FILTER(TO_TEXT(SPLIT($AZ$4, "" / "")), NOT(REGEXMATCH(TO_TEXT(SPLIT($AZ$4, "" / "")), ""\b"" &amp; TEXTJOIN(""|"", TRUE, SPLIT(AW50, "" / "")) &amp; ""\b""))))"),"102 / 106 / 107 / 111 / 303 / 305 / 307 / 313 / 461")</f>
        <v>102 / 106 / 107 / 111 / 303 / 305 / 307 / 313 / 461</v>
      </c>
      <c r="AW50" s="178" t="str">
        <f>IFERROR(__xludf.DUMMYFUNCTION("TEXTJOIN("" / "", 1, SORT(UNIQUE(TRANSPOSE(SPLIT(TRIM(REGEXREPLACE(AW49,""([0-9]{3}[a-zA-Z]?)|."",""$1 "")), "" "")))))"),"101 / 103 / 104 / 105 / 108 / 209 / 300 / 301 / 304 / 306 / 308 / 312 / 314 / 316 / 317 / 318 / 320 / 321 / 421 / 460")</f>
        <v>101 / 103 / 104 / 105 / 108 / 209 / 300 / 301 / 304 / 306 / 308 / 312 / 314 / 316 / 317 / 318 / 320 / 321 / 421 / 460</v>
      </c>
      <c r="AX50" s="267"/>
      <c r="AY50" s="346"/>
      <c r="AZ50" s="346"/>
      <c r="BA50" s="346"/>
      <c r="BB50" s="346"/>
      <c r="BC50" s="346"/>
      <c r="BD50" s="346"/>
      <c r="BE50" s="346"/>
      <c r="BF50" s="346"/>
      <c r="BG50" s="346"/>
      <c r="BH50" s="346"/>
      <c r="BI50" s="346"/>
      <c r="BJ50" s="346"/>
      <c r="BK50" s="346"/>
      <c r="BL50" s="346"/>
      <c r="BM50" s="346"/>
      <c r="BN50" s="346"/>
      <c r="BO50" s="346"/>
      <c r="BP50" s="346"/>
      <c r="BQ50" s="346"/>
      <c r="BR50" s="346"/>
      <c r="BS50" s="346"/>
      <c r="BT50" s="346"/>
      <c r="BU50" s="346"/>
      <c r="BV50" s="346"/>
      <c r="BW50" s="346"/>
      <c r="BX50" s="346"/>
      <c r="BY50" s="346"/>
      <c r="BZ50" s="346"/>
      <c r="CA50" s="346"/>
      <c r="CB50" s="346"/>
      <c r="CC50" s="346"/>
      <c r="CD50" s="346"/>
      <c r="CE50" s="346"/>
      <c r="CF50" s="346"/>
      <c r="CG50" s="346"/>
      <c r="CH50" s="346"/>
    </row>
    <row r="51">
      <c r="A51" s="152" t="s">
        <v>59</v>
      </c>
      <c r="B51" s="208" t="s">
        <v>157</v>
      </c>
      <c r="C51" s="208" t="s">
        <v>157</v>
      </c>
      <c r="D51" s="208" t="s">
        <v>157</v>
      </c>
      <c r="E51" s="373" t="s">
        <v>287</v>
      </c>
      <c r="F51" s="208" t="s">
        <v>157</v>
      </c>
      <c r="G51" s="356" t="s">
        <v>287</v>
      </c>
      <c r="H51" s="208" t="s">
        <v>157</v>
      </c>
      <c r="I51" s="356" t="s">
        <v>287</v>
      </c>
      <c r="J51" s="208" t="s">
        <v>157</v>
      </c>
      <c r="K51" s="356" t="s">
        <v>287</v>
      </c>
      <c r="L51" s="208" t="s">
        <v>157</v>
      </c>
      <c r="M51" s="208" t="s">
        <v>157</v>
      </c>
      <c r="N51" s="154" t="s">
        <v>172</v>
      </c>
      <c r="O51" s="357" t="s">
        <v>298</v>
      </c>
      <c r="X51" s="23"/>
      <c r="Y51" s="156"/>
      <c r="Z51" s="154" t="s">
        <v>174</v>
      </c>
      <c r="AA51" s="63"/>
      <c r="AB51" s="63"/>
      <c r="AC51" s="247" t="s">
        <v>186</v>
      </c>
      <c r="AD51" s="63"/>
      <c r="AE51" s="254"/>
      <c r="AF51" s="155" t="s">
        <v>241</v>
      </c>
      <c r="AI51" s="23"/>
      <c r="AJ51" s="63"/>
      <c r="AK51" s="156"/>
      <c r="AL51" s="152" t="s">
        <v>59</v>
      </c>
      <c r="AM51" s="358" t="s">
        <v>299</v>
      </c>
      <c r="AN51" s="23"/>
      <c r="AO51" s="374" t="s">
        <v>300</v>
      </c>
      <c r="AP51" s="228"/>
      <c r="AQ51" s="228"/>
      <c r="AR51" s="228"/>
      <c r="AS51" s="152" t="s">
        <v>59</v>
      </c>
      <c r="AT51" s="63"/>
      <c r="AU51" s="359"/>
      <c r="AV51" s="359"/>
      <c r="AW51" s="360"/>
      <c r="AX51" s="360"/>
      <c r="AY51" s="360"/>
      <c r="AZ51" s="360"/>
      <c r="BA51" s="360"/>
      <c r="BB51" s="360"/>
      <c r="BC51" s="360"/>
      <c r="BD51" s="360"/>
      <c r="BE51" s="360"/>
      <c r="BF51" s="360"/>
      <c r="BG51" s="360"/>
      <c r="BH51" s="360"/>
      <c r="BI51" s="360"/>
      <c r="BJ51" s="360"/>
      <c r="BK51" s="360"/>
      <c r="BL51" s="360"/>
      <c r="BM51" s="360"/>
      <c r="BN51" s="360"/>
      <c r="BO51" s="360"/>
      <c r="BP51" s="360"/>
      <c r="BQ51" s="360"/>
      <c r="BR51" s="360"/>
      <c r="BS51" s="360"/>
      <c r="BT51" s="360"/>
      <c r="BU51" s="360"/>
      <c r="BV51" s="360"/>
      <c r="BW51" s="360"/>
      <c r="BX51" s="360"/>
      <c r="BY51" s="360"/>
      <c r="BZ51" s="360"/>
      <c r="CA51" s="360"/>
      <c r="CB51" s="360"/>
      <c r="CC51" s="360"/>
      <c r="CD51" s="360"/>
      <c r="CE51" s="360"/>
      <c r="CF51" s="360"/>
      <c r="CG51" s="360"/>
      <c r="CH51" s="360"/>
    </row>
    <row r="52">
      <c r="A52" s="38"/>
      <c r="B52" s="213" t="s">
        <v>165</v>
      </c>
      <c r="C52" s="213" t="s">
        <v>165</v>
      </c>
      <c r="D52" s="213" t="s">
        <v>165</v>
      </c>
      <c r="E52" s="362" t="s">
        <v>53</v>
      </c>
      <c r="F52" s="213" t="s">
        <v>165</v>
      </c>
      <c r="G52" s="363" t="s">
        <v>215</v>
      </c>
      <c r="H52" s="213" t="s">
        <v>165</v>
      </c>
      <c r="I52" s="363" t="s">
        <v>202</v>
      </c>
      <c r="J52" s="213" t="s">
        <v>165</v>
      </c>
      <c r="K52" s="363" t="s">
        <v>292</v>
      </c>
      <c r="L52" s="213" t="s">
        <v>165</v>
      </c>
      <c r="M52" s="213" t="s">
        <v>165</v>
      </c>
      <c r="N52" s="23"/>
      <c r="O52" s="375" t="s">
        <v>293</v>
      </c>
      <c r="X52" s="23"/>
      <c r="Y52" s="156"/>
      <c r="Z52" s="23"/>
      <c r="AA52" s="69"/>
      <c r="AB52" s="69"/>
      <c r="AC52" s="249" t="s">
        <v>301</v>
      </c>
      <c r="AD52" s="69"/>
      <c r="AE52" s="254"/>
      <c r="AF52" s="310" t="s">
        <v>247</v>
      </c>
      <c r="AI52" s="23"/>
      <c r="AJ52" s="69"/>
      <c r="AK52" s="156"/>
      <c r="AL52" s="38"/>
      <c r="AM52" s="376" t="s">
        <v>169</v>
      </c>
      <c r="AN52" s="23"/>
      <c r="AO52" s="377" t="s">
        <v>286</v>
      </c>
      <c r="AP52" s="161"/>
      <c r="AQ52" s="161"/>
      <c r="AR52" s="161"/>
      <c r="AS52" s="38"/>
      <c r="AT52" s="69"/>
      <c r="AU52" s="359"/>
      <c r="AV52" s="359"/>
      <c r="AW52" s="163" t="str">
        <f t="array" ref="AW52">TEXTJOIN(" | ", 1, A53:AT53)</f>
        <v>103/104/301/304/306/317/421 | 103/104/301/304/306/317/421 | 103/104/301/304/306/317/421 | 300 | 103/104/301/304/306/317/421 | 101 | 103/104/301/304/306/317/421 | 314 | 103/104/301/304/306/317/421 | 460 | 103/104/301/304/306/317/421 | 103/104/301/304/306/317/421 | 108 | 312 | ONLINE ON 12/02, 19/02, 12/03 | 321 | 303</v>
      </c>
      <c r="AX52" s="346"/>
      <c r="AY52" s="346"/>
      <c r="AZ52" s="346"/>
      <c r="BA52" s="346"/>
      <c r="BB52" s="346"/>
      <c r="BC52" s="346"/>
      <c r="BD52" s="346"/>
      <c r="BE52" s="346"/>
      <c r="BF52" s="346"/>
      <c r="BG52" s="346"/>
      <c r="BH52" s="346"/>
      <c r="BI52" s="346"/>
      <c r="BJ52" s="346"/>
      <c r="BK52" s="346"/>
      <c r="BL52" s="346"/>
      <c r="BM52" s="346"/>
      <c r="BN52" s="346"/>
      <c r="BO52" s="346"/>
      <c r="BP52" s="346"/>
      <c r="BQ52" s="346"/>
      <c r="BR52" s="346"/>
      <c r="BS52" s="346"/>
      <c r="BT52" s="346"/>
      <c r="BU52" s="346"/>
      <c r="BV52" s="346"/>
      <c r="BW52" s="346"/>
      <c r="BX52" s="346"/>
      <c r="BY52" s="346"/>
      <c r="BZ52" s="346"/>
      <c r="CA52" s="346"/>
      <c r="CB52" s="346"/>
      <c r="CC52" s="346"/>
      <c r="CD52" s="346"/>
      <c r="CE52" s="346"/>
      <c r="CF52" s="346"/>
      <c r="CG52" s="346"/>
      <c r="CH52" s="346"/>
    </row>
    <row r="53">
      <c r="A53" s="44"/>
      <c r="B53" s="221" t="s">
        <v>171</v>
      </c>
      <c r="C53" s="221" t="s">
        <v>171</v>
      </c>
      <c r="D53" s="221" t="s">
        <v>171</v>
      </c>
      <c r="E53" s="369">
        <v>300.0</v>
      </c>
      <c r="F53" s="221" t="s">
        <v>171</v>
      </c>
      <c r="G53" s="368">
        <v>101.0</v>
      </c>
      <c r="H53" s="221" t="s">
        <v>171</v>
      </c>
      <c r="I53" s="368">
        <v>314.0</v>
      </c>
      <c r="J53" s="221" t="s">
        <v>171</v>
      </c>
      <c r="K53" s="368">
        <v>460.0</v>
      </c>
      <c r="L53" s="221" t="s">
        <v>171</v>
      </c>
      <c r="M53" s="221" t="s">
        <v>171</v>
      </c>
      <c r="N53" s="47"/>
      <c r="O53" s="370">
        <v>108.0</v>
      </c>
      <c r="P53" s="46"/>
      <c r="Q53" s="46"/>
      <c r="R53" s="46"/>
      <c r="S53" s="46"/>
      <c r="T53" s="46"/>
      <c r="U53" s="46"/>
      <c r="V53" s="46"/>
      <c r="W53" s="46"/>
      <c r="X53" s="47"/>
      <c r="Y53" s="172"/>
      <c r="Z53" s="47"/>
      <c r="AA53" s="76"/>
      <c r="AB53" s="76"/>
      <c r="AC53" s="251">
        <v>312.0</v>
      </c>
      <c r="AD53" s="76"/>
      <c r="AE53" s="254"/>
      <c r="AF53" s="316" t="s">
        <v>418</v>
      </c>
      <c r="AG53" s="46"/>
      <c r="AH53" s="46"/>
      <c r="AI53" s="47"/>
      <c r="AJ53" s="76"/>
      <c r="AK53" s="172"/>
      <c r="AL53" s="44"/>
      <c r="AM53" s="173">
        <v>321.0</v>
      </c>
      <c r="AN53" s="47"/>
      <c r="AO53" s="378">
        <v>303.0</v>
      </c>
      <c r="AP53" s="177"/>
      <c r="AQ53" s="177"/>
      <c r="AR53" s="177"/>
      <c r="AS53" s="44"/>
      <c r="AT53" s="76"/>
      <c r="AU53" s="164"/>
      <c r="AV53" s="164" t="str">
        <f>IFERROR(__xludf.DUMMYFUNCTION("TEXTJOIN("" / "", TRUE, FILTER(TO_TEXT(SPLIT($AZ$4, "" / "")), NOT(REGEXMATCH(TO_TEXT(SPLIT($AZ$4, "" / "")), ""\b"" &amp; TEXTJOIN(""|"", TRUE, SPLIT(AW53, "" / "")) &amp; ""\b""))))"),"102 / 105 / 106 / 107 / 111 / 209 / 305 / 307 / 308 / 313 / 316 / 318 / 320 / 461")</f>
        <v>102 / 105 / 106 / 107 / 111 / 209 / 305 / 307 / 308 / 313 / 316 / 318 / 320 / 461</v>
      </c>
      <c r="AW53" s="178" t="str">
        <f>IFERROR(__xludf.DUMMYFUNCTION("TEXTJOIN("" / "", 1, SORT(UNIQUE(TRANSPOSE(SPLIT(TRIM(REGEXREPLACE(AW52,""([0-9]{3}[a-zA-Z]?)|."",""$1 "")), "" "")))))"),"101 / 103 / 104 / 108 / 300 / 301 / 303 / 304 / 306 / 312 / 314 / 317 / 321 / 421 / 460")</f>
        <v>101 / 103 / 104 / 108 / 300 / 301 / 303 / 304 / 306 / 312 / 314 / 317 / 321 / 421 / 460</v>
      </c>
      <c r="AX53" s="164"/>
      <c r="AY53" s="163"/>
      <c r="AZ53" s="163"/>
      <c r="BA53" s="163"/>
      <c r="BB53" s="163"/>
      <c r="BC53" s="163"/>
      <c r="BD53" s="163"/>
      <c r="BE53" s="163"/>
      <c r="BF53" s="163"/>
      <c r="BG53" s="163"/>
      <c r="BH53" s="163"/>
      <c r="BI53" s="163"/>
      <c r="BJ53" s="163"/>
      <c r="BK53" s="163"/>
      <c r="BL53" s="163"/>
      <c r="BM53" s="163"/>
      <c r="BN53" s="163"/>
      <c r="BO53" s="163"/>
      <c r="BP53" s="163"/>
      <c r="BQ53" s="163"/>
      <c r="BR53" s="163"/>
      <c r="BS53" s="163"/>
      <c r="BT53" s="163"/>
      <c r="BU53" s="163"/>
      <c r="BV53" s="163"/>
      <c r="BW53" s="163"/>
      <c r="BX53" s="163"/>
      <c r="BY53" s="163"/>
      <c r="BZ53" s="163"/>
      <c r="CA53" s="163"/>
      <c r="CB53" s="163"/>
      <c r="CC53" s="163"/>
      <c r="CD53" s="163"/>
      <c r="CE53" s="163"/>
      <c r="CF53" s="163"/>
      <c r="CG53" s="163"/>
      <c r="CH53" s="163"/>
    </row>
    <row r="54">
      <c r="A54" s="152" t="s">
        <v>64</v>
      </c>
      <c r="B54" s="208" t="s">
        <v>157</v>
      </c>
      <c r="C54" s="356" t="s">
        <v>287</v>
      </c>
      <c r="D54" s="208" t="s">
        <v>157</v>
      </c>
      <c r="E54" s="208" t="s">
        <v>157</v>
      </c>
      <c r="F54" s="356" t="s">
        <v>287</v>
      </c>
      <c r="G54" s="208" t="s">
        <v>157</v>
      </c>
      <c r="H54" s="208" t="s">
        <v>157</v>
      </c>
      <c r="I54" s="208" t="s">
        <v>157</v>
      </c>
      <c r="J54" s="208" t="s">
        <v>157</v>
      </c>
      <c r="K54" s="208" t="s">
        <v>157</v>
      </c>
      <c r="L54" s="208" t="s">
        <v>157</v>
      </c>
      <c r="M54" s="356" t="s">
        <v>287</v>
      </c>
      <c r="N54" s="154" t="s">
        <v>184</v>
      </c>
      <c r="O54" s="63"/>
      <c r="P54" s="63"/>
      <c r="Q54" s="379" t="s">
        <v>302</v>
      </c>
      <c r="R54" s="156"/>
      <c r="S54" s="156"/>
      <c r="T54" s="156"/>
      <c r="U54" s="156"/>
      <c r="V54" s="156"/>
      <c r="W54" s="156"/>
      <c r="X54" s="156"/>
      <c r="Y54" s="156"/>
      <c r="Z54" s="154" t="s">
        <v>185</v>
      </c>
      <c r="AA54" s="63"/>
      <c r="AB54" s="63"/>
      <c r="AC54" s="63"/>
      <c r="AE54" s="380" t="s">
        <v>303</v>
      </c>
      <c r="AF54" s="159"/>
      <c r="AG54" s="158"/>
      <c r="AH54" s="63"/>
      <c r="AI54" s="156"/>
      <c r="AJ54" s="156"/>
      <c r="AK54" s="156"/>
      <c r="AL54" s="152" t="s">
        <v>64</v>
      </c>
      <c r="AM54" s="230"/>
      <c r="AN54" s="156"/>
      <c r="AO54" s="381" t="s">
        <v>304</v>
      </c>
      <c r="AP54" s="228"/>
      <c r="AQ54" s="228"/>
      <c r="AR54" s="228"/>
      <c r="AS54" s="152" t="s">
        <v>64</v>
      </c>
      <c r="AT54" s="63"/>
      <c r="AU54" s="258"/>
      <c r="AV54" s="258"/>
      <c r="AW54" s="258"/>
      <c r="AX54" s="258"/>
      <c r="AY54" s="258"/>
      <c r="AZ54" s="258"/>
      <c r="BA54" s="258"/>
      <c r="BB54" s="258"/>
      <c r="BC54" s="258"/>
      <c r="BD54" s="258"/>
      <c r="BE54" s="258"/>
      <c r="BF54" s="258"/>
      <c r="BG54" s="258"/>
      <c r="BH54" s="258"/>
      <c r="BI54" s="258"/>
      <c r="BJ54" s="258"/>
      <c r="BK54" s="258"/>
      <c r="BL54" s="258"/>
      <c r="BM54" s="258"/>
      <c r="BN54" s="258"/>
      <c r="BO54" s="258"/>
      <c r="BP54" s="258"/>
      <c r="BQ54" s="258"/>
      <c r="BR54" s="258"/>
      <c r="BS54" s="258"/>
      <c r="BT54" s="258"/>
      <c r="BU54" s="258"/>
      <c r="BV54" s="258"/>
      <c r="BW54" s="258"/>
      <c r="BX54" s="258"/>
      <c r="BY54" s="258"/>
      <c r="BZ54" s="258"/>
      <c r="CA54" s="258"/>
      <c r="CB54" s="258"/>
      <c r="CC54" s="258"/>
      <c r="CD54" s="258"/>
      <c r="CE54" s="258"/>
      <c r="CF54" s="258"/>
      <c r="CG54" s="258"/>
      <c r="CH54" s="258"/>
    </row>
    <row r="55">
      <c r="A55" s="38"/>
      <c r="B55" s="213" t="s">
        <v>165</v>
      </c>
      <c r="C55" s="361" t="s">
        <v>215</v>
      </c>
      <c r="D55" s="213" t="s">
        <v>165</v>
      </c>
      <c r="E55" s="213" t="s">
        <v>165</v>
      </c>
      <c r="F55" s="363" t="s">
        <v>166</v>
      </c>
      <c r="G55" s="213" t="s">
        <v>165</v>
      </c>
      <c r="H55" s="213" t="s">
        <v>165</v>
      </c>
      <c r="I55" s="213" t="s">
        <v>165</v>
      </c>
      <c r="J55" s="213" t="s">
        <v>165</v>
      </c>
      <c r="K55" s="213" t="s">
        <v>165</v>
      </c>
      <c r="L55" s="213" t="s">
        <v>165</v>
      </c>
      <c r="M55" s="362" t="s">
        <v>53</v>
      </c>
      <c r="N55" s="23"/>
      <c r="O55" s="69"/>
      <c r="P55" s="69"/>
      <c r="Q55" s="383" t="s">
        <v>168</v>
      </c>
      <c r="R55" s="156"/>
      <c r="S55" s="156"/>
      <c r="T55" s="156"/>
      <c r="U55" s="156"/>
      <c r="V55" s="156"/>
      <c r="W55" s="156"/>
      <c r="X55" s="156"/>
      <c r="Y55" s="156"/>
      <c r="Z55" s="23"/>
      <c r="AA55" s="69"/>
      <c r="AB55" s="69"/>
      <c r="AC55" s="69"/>
      <c r="AE55" s="384" t="s">
        <v>202</v>
      </c>
      <c r="AF55" s="159"/>
      <c r="AG55" s="168"/>
      <c r="AH55" s="69"/>
      <c r="AI55" s="156"/>
      <c r="AJ55" s="156"/>
      <c r="AK55" s="156"/>
      <c r="AL55" s="38"/>
      <c r="AM55" s="230"/>
      <c r="AN55" s="156"/>
      <c r="AO55" s="385" t="s">
        <v>200</v>
      </c>
      <c r="AP55" s="161"/>
      <c r="AQ55" s="161"/>
      <c r="AR55" s="161"/>
      <c r="AS55" s="38"/>
      <c r="AT55" s="69"/>
      <c r="AU55" s="258"/>
      <c r="AV55" s="258"/>
      <c r="AW55" s="163" t="str">
        <f t="array" ref="AW55">TEXTJOIN(" | ", 1, A56:AT56)</f>
        <v>103/104/301/304/306/317/421 | 101 | 103/104/301/304/306/317/421 | 103/104/301/304/306/317/421 | 308 | 103/104/301/304/306/317/421 | 103/104/301/304/306/317/421 | 103/104/301/304/306/317/421 | 103/104/301/304/306/317/421 | 103/104/301/304/306/317/421 | 103/104/301/304/306/317/421 | 300 | 321 | 318 | 303</v>
      </c>
      <c r="AX55" s="258"/>
      <c r="AY55" s="258"/>
      <c r="AZ55" s="258"/>
      <c r="BA55" s="258"/>
      <c r="BB55" s="258"/>
      <c r="BC55" s="258"/>
      <c r="BD55" s="258"/>
      <c r="BE55" s="258"/>
      <c r="BF55" s="258"/>
      <c r="BG55" s="258"/>
      <c r="BH55" s="258"/>
      <c r="BI55" s="258"/>
      <c r="BJ55" s="258"/>
      <c r="BK55" s="258"/>
      <c r="BL55" s="258"/>
      <c r="BM55" s="258"/>
      <c r="BN55" s="258"/>
      <c r="BO55" s="258"/>
      <c r="BP55" s="258"/>
      <c r="BQ55" s="258"/>
      <c r="BR55" s="258"/>
      <c r="BS55" s="258"/>
      <c r="BT55" s="258"/>
      <c r="BU55" s="258"/>
      <c r="BV55" s="258"/>
      <c r="BW55" s="258"/>
      <c r="BX55" s="258"/>
      <c r="BY55" s="258"/>
      <c r="BZ55" s="258"/>
      <c r="CA55" s="258"/>
      <c r="CB55" s="258"/>
      <c r="CC55" s="258"/>
      <c r="CD55" s="258"/>
      <c r="CE55" s="258"/>
      <c r="CF55" s="258"/>
      <c r="CG55" s="258"/>
      <c r="CH55" s="258"/>
    </row>
    <row r="56">
      <c r="A56" s="44"/>
      <c r="B56" s="221" t="s">
        <v>171</v>
      </c>
      <c r="C56" s="368">
        <v>101.0</v>
      </c>
      <c r="D56" s="221" t="s">
        <v>171</v>
      </c>
      <c r="E56" s="221" t="s">
        <v>171</v>
      </c>
      <c r="F56" s="368">
        <v>308.0</v>
      </c>
      <c r="G56" s="221" t="s">
        <v>171</v>
      </c>
      <c r="H56" s="221" t="s">
        <v>171</v>
      </c>
      <c r="I56" s="221" t="s">
        <v>171</v>
      </c>
      <c r="J56" s="221" t="s">
        <v>171</v>
      </c>
      <c r="K56" s="221" t="s">
        <v>171</v>
      </c>
      <c r="L56" s="221" t="s">
        <v>171</v>
      </c>
      <c r="M56" s="368">
        <v>300.0</v>
      </c>
      <c r="N56" s="47"/>
      <c r="O56" s="76"/>
      <c r="P56" s="76"/>
      <c r="Q56" s="387">
        <v>321.0</v>
      </c>
      <c r="R56" s="172"/>
      <c r="S56" s="172"/>
      <c r="T56" s="172"/>
      <c r="U56" s="172"/>
      <c r="V56" s="172"/>
      <c r="W56" s="172"/>
      <c r="X56" s="172"/>
      <c r="Y56" s="172"/>
      <c r="Z56" s="47"/>
      <c r="AA56" s="76"/>
      <c r="AB56" s="76"/>
      <c r="AC56" s="76"/>
      <c r="AD56" s="388"/>
      <c r="AE56" s="389">
        <v>318.0</v>
      </c>
      <c r="AF56" s="175"/>
      <c r="AG56" s="174"/>
      <c r="AH56" s="76"/>
      <c r="AI56" s="172"/>
      <c r="AJ56" s="172"/>
      <c r="AK56" s="172"/>
      <c r="AL56" s="44"/>
      <c r="AM56" s="243"/>
      <c r="AN56" s="172"/>
      <c r="AO56" s="221">
        <v>303.0</v>
      </c>
      <c r="AP56" s="177"/>
      <c r="AQ56" s="177"/>
      <c r="AR56" s="177"/>
      <c r="AS56" s="44"/>
      <c r="AT56" s="76"/>
      <c r="AU56" s="164"/>
      <c r="AV56" s="164" t="str">
        <f>IFERROR(__xludf.DUMMYFUNCTION("TEXTJOIN("" / "", TRUE, FILTER(TO_TEXT(SPLIT($AZ$4, "" / "")), NOT(REGEXMATCH(TO_TEXT(SPLIT($AZ$4, "" / "")), ""\b"" &amp; TEXTJOIN(""|"", TRUE, SPLIT(AW56, "" / "")) &amp; ""\b""))))"),"102 / 105 / 106 / 107 / 108 / 111 / 209 / 305 / 307 / 312 / 313 / 314 / 316 / 320 / 460 / 461")</f>
        <v>102 / 105 / 106 / 107 / 108 / 111 / 209 / 305 / 307 / 312 / 313 / 314 / 316 / 320 / 460 / 461</v>
      </c>
      <c r="AW56" s="178" t="str">
        <f>IFERROR(__xludf.DUMMYFUNCTION("TEXTJOIN("" / "", 1, SORT(UNIQUE(TRANSPOSE(SPLIT(TRIM(REGEXREPLACE(AW55,""([0-9]{3}[a-zA-Z]?)|."",""$1 "")), "" "")))))"),"101 / 103 / 104 / 300 / 301 / 303 / 304 / 306 / 308 / 317 / 318 / 321 / 421")</f>
        <v>101 / 103 / 104 / 300 / 301 / 303 / 304 / 306 / 308 / 317 / 318 / 321 / 421</v>
      </c>
      <c r="AX56" s="258"/>
      <c r="AY56" s="258"/>
      <c r="AZ56" s="258"/>
      <c r="BA56" s="258"/>
      <c r="BB56" s="258"/>
      <c r="BC56" s="258"/>
      <c r="BD56" s="258"/>
      <c r="BE56" s="258"/>
      <c r="BF56" s="258"/>
      <c r="BG56" s="258"/>
      <c r="BH56" s="258"/>
      <c r="BI56" s="258"/>
      <c r="BJ56" s="258"/>
      <c r="BK56" s="258"/>
      <c r="BL56" s="258"/>
      <c r="BM56" s="258"/>
      <c r="BN56" s="258"/>
      <c r="BO56" s="258"/>
      <c r="BP56" s="258"/>
      <c r="BQ56" s="258"/>
      <c r="BR56" s="258"/>
      <c r="BS56" s="258"/>
      <c r="BT56" s="258"/>
      <c r="BU56" s="258"/>
      <c r="BV56" s="258"/>
      <c r="BW56" s="258"/>
      <c r="BX56" s="258"/>
      <c r="BY56" s="258"/>
      <c r="BZ56" s="258"/>
      <c r="CA56" s="258"/>
      <c r="CB56" s="258"/>
      <c r="CC56" s="258"/>
      <c r="CD56" s="258"/>
      <c r="CE56" s="258"/>
      <c r="CF56" s="258"/>
      <c r="CG56" s="258"/>
      <c r="CH56" s="258"/>
    </row>
    <row r="57">
      <c r="A57" s="152" t="s">
        <v>66</v>
      </c>
      <c r="B57" s="230"/>
      <c r="C57" s="230"/>
      <c r="D57" s="230"/>
      <c r="E57" s="230"/>
      <c r="F57" s="230"/>
      <c r="G57" s="230"/>
      <c r="H57" s="156"/>
      <c r="I57" s="63"/>
      <c r="J57" s="156"/>
      <c r="K57" s="158"/>
      <c r="L57" s="63"/>
      <c r="M57" s="156"/>
      <c r="N57" s="154" t="s">
        <v>191</v>
      </c>
      <c r="O57" s="156"/>
      <c r="P57" s="156"/>
      <c r="Q57" s="156"/>
      <c r="R57" s="156"/>
      <c r="S57" s="156"/>
      <c r="T57" s="156"/>
      <c r="U57" s="156"/>
      <c r="V57" s="156"/>
      <c r="W57" s="379" t="s">
        <v>302</v>
      </c>
      <c r="X57" s="156"/>
      <c r="Y57" s="156"/>
      <c r="Z57" s="154" t="s">
        <v>192</v>
      </c>
      <c r="AA57" s="156"/>
      <c r="AB57" s="156"/>
      <c r="AC57" s="156"/>
      <c r="AD57" s="391" t="s">
        <v>303</v>
      </c>
      <c r="AE57" s="156"/>
      <c r="AF57" s="156"/>
      <c r="AG57" s="156"/>
      <c r="AH57" s="156"/>
      <c r="AI57" s="156"/>
      <c r="AJ57" s="156"/>
      <c r="AK57" s="156"/>
      <c r="AL57" s="152" t="s">
        <v>66</v>
      </c>
      <c r="AM57" s="228"/>
      <c r="AN57" s="228"/>
      <c r="AO57" s="228"/>
      <c r="AP57" s="228"/>
      <c r="AQ57" s="392" t="s">
        <v>308</v>
      </c>
      <c r="AR57" s="228"/>
      <c r="AS57" s="152" t="s">
        <v>66</v>
      </c>
      <c r="AT57" s="161"/>
      <c r="AU57" s="258"/>
      <c r="AV57" s="258"/>
      <c r="AW57" s="258"/>
      <c r="AX57" s="258"/>
      <c r="AY57" s="258"/>
      <c r="AZ57" s="258"/>
      <c r="BA57" s="258"/>
      <c r="BB57" s="258"/>
      <c r="BC57" s="258"/>
      <c r="BD57" s="258"/>
      <c r="BE57" s="258"/>
      <c r="BF57" s="258"/>
      <c r="BG57" s="258"/>
      <c r="BH57" s="258"/>
      <c r="BI57" s="258"/>
      <c r="BJ57" s="258"/>
      <c r="BK57" s="258"/>
      <c r="BL57" s="258"/>
      <c r="BM57" s="258"/>
      <c r="BN57" s="258"/>
      <c r="BO57" s="258"/>
      <c r="BP57" s="258"/>
      <c r="BQ57" s="258"/>
      <c r="BR57" s="258"/>
      <c r="BS57" s="258"/>
      <c r="BT57" s="258"/>
      <c r="BU57" s="258"/>
      <c r="BV57" s="258"/>
      <c r="BW57" s="258"/>
      <c r="BX57" s="258"/>
      <c r="BY57" s="258"/>
      <c r="BZ57" s="258"/>
      <c r="CA57" s="258"/>
      <c r="CB57" s="258"/>
      <c r="CC57" s="258"/>
      <c r="CD57" s="258"/>
      <c r="CE57" s="258"/>
      <c r="CF57" s="258"/>
      <c r="CG57" s="258"/>
      <c r="CH57" s="258"/>
    </row>
    <row r="58">
      <c r="A58" s="38"/>
      <c r="B58" s="230"/>
      <c r="C58" s="230"/>
      <c r="D58" s="230"/>
      <c r="E58" s="230"/>
      <c r="F58" s="230"/>
      <c r="G58" s="230"/>
      <c r="H58" s="156"/>
      <c r="I58" s="69"/>
      <c r="J58" s="156"/>
      <c r="K58" s="393"/>
      <c r="L58" s="69"/>
      <c r="M58" s="156"/>
      <c r="N58" s="23"/>
      <c r="O58" s="156"/>
      <c r="P58" s="156"/>
      <c r="Q58" s="156"/>
      <c r="R58" s="156"/>
      <c r="S58" s="156"/>
      <c r="T58" s="156"/>
      <c r="U58" s="156"/>
      <c r="V58" s="156"/>
      <c r="W58" s="383" t="s">
        <v>168</v>
      </c>
      <c r="X58" s="156"/>
      <c r="Y58" s="156"/>
      <c r="Z58" s="23"/>
      <c r="AA58" s="156"/>
      <c r="AB58" s="156"/>
      <c r="AC58" s="359"/>
      <c r="AD58" s="394" t="s">
        <v>202</v>
      </c>
      <c r="AE58" s="156"/>
      <c r="AF58" s="156"/>
      <c r="AG58" s="156"/>
      <c r="AH58" s="156"/>
      <c r="AI58" s="156"/>
      <c r="AJ58" s="156"/>
      <c r="AK58" s="156"/>
      <c r="AL58" s="38"/>
      <c r="AM58" s="161"/>
      <c r="AN58" s="161"/>
      <c r="AO58" s="161"/>
      <c r="AP58" s="161"/>
      <c r="AQ58" s="192" t="s">
        <v>310</v>
      </c>
      <c r="AR58" s="161"/>
      <c r="AS58" s="38"/>
      <c r="AT58" s="161"/>
      <c r="AU58" s="258"/>
      <c r="AV58" s="258"/>
      <c r="AW58" s="163" t="str">
        <f t="array" ref="AW58">TEXTJOIN(" | ", 1, A59:AT59)</f>
        <v>321 | 318 | ONLINE STARTS ON 05/03 STARTS AT 18:00</v>
      </c>
      <c r="AX58" s="258"/>
      <c r="AY58" s="258"/>
      <c r="AZ58" s="258"/>
      <c r="BA58" s="258"/>
      <c r="BB58" s="258"/>
      <c r="BC58" s="258"/>
      <c r="BD58" s="258"/>
      <c r="BE58" s="258"/>
      <c r="BF58" s="258"/>
      <c r="BG58" s="258"/>
      <c r="BH58" s="258"/>
      <c r="BI58" s="258"/>
      <c r="BJ58" s="258"/>
      <c r="BK58" s="258"/>
      <c r="BL58" s="258"/>
      <c r="BM58" s="258"/>
      <c r="BN58" s="258"/>
      <c r="BO58" s="258"/>
      <c r="BP58" s="258"/>
      <c r="BQ58" s="258"/>
      <c r="BR58" s="258"/>
      <c r="BS58" s="258"/>
      <c r="BT58" s="258"/>
      <c r="BU58" s="258"/>
      <c r="BV58" s="258"/>
      <c r="BW58" s="258"/>
      <c r="BX58" s="258"/>
      <c r="BY58" s="258"/>
      <c r="BZ58" s="258"/>
      <c r="CA58" s="258"/>
      <c r="CB58" s="258"/>
      <c r="CC58" s="258"/>
      <c r="CD58" s="258"/>
      <c r="CE58" s="258"/>
      <c r="CF58" s="258"/>
      <c r="CG58" s="258"/>
      <c r="CH58" s="258"/>
    </row>
    <row r="59">
      <c r="A59" s="44"/>
      <c r="B59" s="243"/>
      <c r="C59" s="243"/>
      <c r="D59" s="243"/>
      <c r="E59" s="243"/>
      <c r="F59" s="243"/>
      <c r="G59" s="243"/>
      <c r="H59" s="172"/>
      <c r="I59" s="76"/>
      <c r="J59" s="172"/>
      <c r="K59" s="174"/>
      <c r="L59" s="76"/>
      <c r="M59" s="172"/>
      <c r="N59" s="47"/>
      <c r="O59" s="172"/>
      <c r="P59" s="172"/>
      <c r="Q59" s="172"/>
      <c r="R59" s="172"/>
      <c r="S59" s="172"/>
      <c r="T59" s="172"/>
      <c r="U59" s="172"/>
      <c r="V59" s="172"/>
      <c r="W59" s="387">
        <v>321.0</v>
      </c>
      <c r="X59" s="172"/>
      <c r="Y59" s="172"/>
      <c r="Z59" s="47"/>
      <c r="AA59" s="172"/>
      <c r="AB59" s="172"/>
      <c r="AC59" s="172"/>
      <c r="AD59" s="389">
        <v>318.0</v>
      </c>
      <c r="AE59" s="172"/>
      <c r="AF59" s="172"/>
      <c r="AG59" s="172"/>
      <c r="AH59" s="172"/>
      <c r="AI59" s="172"/>
      <c r="AJ59" s="172"/>
      <c r="AK59" s="172"/>
      <c r="AL59" s="44"/>
      <c r="AM59" s="177"/>
      <c r="AN59" s="177"/>
      <c r="AO59" s="177"/>
      <c r="AP59" s="177"/>
      <c r="AQ59" s="395" t="s">
        <v>312</v>
      </c>
      <c r="AR59" s="177"/>
      <c r="AS59" s="44"/>
      <c r="AT59" s="161"/>
      <c r="AU59" s="164"/>
      <c r="AV59" s="164" t="str">
        <f>IFERROR(__xludf.DUMMYFUNCTION("TEXTJOIN("" / "", TRUE, FILTER(TO_TEXT(SPLIT($AZ$4, "" / "")), NOT(REGEXMATCH(TO_TEXT(SPLIT($AZ$4, "" / "")), ""\b"" &amp; TEXTJOIN(""|"", TRUE, SPLIT(AW59, "" / "")) &amp; ""\b""))))"),"101 / 102 / 103 / 104 / 105 / 106 / 107 / 108 / 111 / 209 / 300 / 301 / 303 / 304 / 305 / 306 / 307 / 308 / 312 / 313 / 314 / 316 / 317 / 320 / 421 / 460 / 461")</f>
        <v>101 / 102 / 103 / 104 / 105 / 106 / 107 / 108 / 111 / 209 / 300 / 301 / 303 / 304 / 305 / 306 / 307 / 308 / 312 / 313 / 314 / 316 / 317 / 320 / 421 / 460 / 461</v>
      </c>
      <c r="AW59" s="178" t="str">
        <f>IFERROR(__xludf.DUMMYFUNCTION("TEXTJOIN("" / "", 1, SORT(UNIQUE(TRANSPOSE(SPLIT(TRIM(REGEXREPLACE(AW58,""([0-9]{3}[a-zA-Z]?)|."",""$1 "")), "" "")))))"),"318 / 321")</f>
        <v>318 / 321</v>
      </c>
      <c r="AX59" s="258"/>
      <c r="AY59" s="258"/>
      <c r="AZ59" s="258"/>
      <c r="BA59" s="258"/>
      <c r="BB59" s="258"/>
      <c r="BC59" s="258"/>
      <c r="BD59" s="258"/>
      <c r="BE59" s="258"/>
      <c r="BF59" s="258"/>
      <c r="BG59" s="258"/>
      <c r="BH59" s="258"/>
      <c r="BI59" s="258"/>
      <c r="BJ59" s="258"/>
      <c r="BK59" s="258"/>
      <c r="BL59" s="258"/>
      <c r="BM59" s="258"/>
      <c r="BN59" s="258"/>
      <c r="BO59" s="258"/>
      <c r="BP59" s="258"/>
      <c r="BQ59" s="258"/>
      <c r="BR59" s="258"/>
      <c r="BS59" s="258"/>
      <c r="BT59" s="258"/>
      <c r="BU59" s="258"/>
      <c r="BV59" s="258"/>
      <c r="BW59" s="258"/>
      <c r="BX59" s="258"/>
      <c r="BY59" s="258"/>
      <c r="BZ59" s="258"/>
      <c r="CA59" s="258"/>
      <c r="CB59" s="258"/>
      <c r="CC59" s="258"/>
      <c r="CD59" s="258"/>
      <c r="CE59" s="258"/>
      <c r="CF59" s="258"/>
      <c r="CG59" s="258"/>
      <c r="CH59" s="258"/>
    </row>
    <row r="60">
      <c r="A60" s="147" t="s">
        <v>86</v>
      </c>
      <c r="B60" s="148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7"/>
      <c r="N60" s="149" t="s">
        <v>86</v>
      </c>
      <c r="O60" s="148"/>
      <c r="P60" s="46"/>
      <c r="Q60" s="46"/>
      <c r="R60" s="46"/>
      <c r="S60" s="46"/>
      <c r="T60" s="46"/>
      <c r="U60" s="46"/>
      <c r="V60" s="46"/>
      <c r="W60" s="46"/>
      <c r="X60" s="46"/>
      <c r="Y60" s="47"/>
      <c r="Z60" s="149" t="s">
        <v>86</v>
      </c>
      <c r="AA60" s="148"/>
      <c r="AB60" s="46"/>
      <c r="AC60" s="46"/>
      <c r="AD60" s="46"/>
      <c r="AE60" s="46"/>
      <c r="AF60" s="46"/>
      <c r="AG60" s="46"/>
      <c r="AH60" s="46"/>
      <c r="AI60" s="46"/>
      <c r="AJ60" s="46"/>
      <c r="AK60" s="47"/>
      <c r="AL60" s="147" t="s">
        <v>86</v>
      </c>
      <c r="AM60" s="148"/>
      <c r="AN60" s="46"/>
      <c r="AO60" s="46"/>
      <c r="AP60" s="46"/>
      <c r="AQ60" s="46"/>
      <c r="AR60" s="47"/>
      <c r="AS60" s="147" t="s">
        <v>86</v>
      </c>
      <c r="AT60" s="150"/>
      <c r="AU60" s="151"/>
      <c r="AV60" s="151"/>
      <c r="AW60" s="151"/>
      <c r="AX60" s="151"/>
      <c r="AY60" s="151"/>
      <c r="AZ60" s="151"/>
      <c r="BA60" s="151"/>
      <c r="BB60" s="151"/>
      <c r="BC60" s="151"/>
      <c r="BD60" s="151"/>
      <c r="BE60" s="151"/>
      <c r="BF60" s="151"/>
      <c r="BG60" s="151"/>
      <c r="BH60" s="151"/>
      <c r="BI60" s="151"/>
      <c r="BJ60" s="151"/>
      <c r="BK60" s="151"/>
      <c r="BL60" s="151"/>
      <c r="BM60" s="151"/>
      <c r="BN60" s="151"/>
      <c r="BO60" s="151"/>
      <c r="BP60" s="151"/>
      <c r="BQ60" s="151"/>
      <c r="BR60" s="151"/>
      <c r="BS60" s="151"/>
      <c r="BT60" s="151"/>
      <c r="BU60" s="151"/>
      <c r="BV60" s="151"/>
      <c r="BW60" s="151"/>
      <c r="BX60" s="151"/>
      <c r="BY60" s="151"/>
      <c r="BZ60" s="151"/>
      <c r="CA60" s="151"/>
      <c r="CB60" s="151"/>
      <c r="CC60" s="151"/>
      <c r="CD60" s="151"/>
      <c r="CE60" s="151"/>
      <c r="CF60" s="151"/>
      <c r="CG60" s="151"/>
      <c r="CH60" s="151"/>
    </row>
    <row r="61">
      <c r="A61" s="152" t="s">
        <v>39</v>
      </c>
      <c r="B61" s="396" t="s">
        <v>85</v>
      </c>
      <c r="M61" s="23"/>
      <c r="N61" s="154" t="s">
        <v>128</v>
      </c>
      <c r="O61" s="396" t="s">
        <v>85</v>
      </c>
      <c r="Y61" s="23"/>
      <c r="Z61" s="154" t="s">
        <v>130</v>
      </c>
      <c r="AA61" s="397" t="s">
        <v>85</v>
      </c>
      <c r="AK61" s="23"/>
      <c r="AL61" s="152" t="s">
        <v>39</v>
      </c>
      <c r="AM61" s="228"/>
      <c r="AN61" s="228"/>
      <c r="AO61" s="231" t="s">
        <v>264</v>
      </c>
      <c r="AP61" s="228"/>
      <c r="AQ61" s="517" t="s">
        <v>176</v>
      </c>
      <c r="AR61" s="228"/>
      <c r="AS61" s="152" t="s">
        <v>39</v>
      </c>
      <c r="AT61" s="182" t="s">
        <v>419</v>
      </c>
      <c r="AU61" s="258"/>
      <c r="AV61" s="258"/>
      <c r="AW61" s="258"/>
      <c r="AX61" s="258"/>
      <c r="AY61" s="258"/>
      <c r="AZ61" s="258"/>
      <c r="BA61" s="258"/>
      <c r="BB61" s="258"/>
      <c r="BC61" s="258"/>
      <c r="BD61" s="258"/>
      <c r="BE61" s="258"/>
      <c r="BF61" s="258"/>
      <c r="BG61" s="258"/>
      <c r="BH61" s="258"/>
      <c r="BI61" s="258"/>
      <c r="BJ61" s="258"/>
      <c r="BK61" s="258"/>
      <c r="BL61" s="258"/>
      <c r="BM61" s="258"/>
      <c r="BN61" s="258"/>
      <c r="BO61" s="258"/>
      <c r="BP61" s="258"/>
      <c r="BQ61" s="258"/>
      <c r="BR61" s="258"/>
      <c r="BS61" s="258"/>
      <c r="BT61" s="258"/>
      <c r="BU61" s="258"/>
      <c r="BV61" s="258"/>
      <c r="BW61" s="258"/>
      <c r="BX61" s="258"/>
      <c r="BY61" s="258"/>
      <c r="BZ61" s="258"/>
      <c r="CA61" s="258"/>
      <c r="CB61" s="258"/>
      <c r="CC61" s="258"/>
      <c r="CD61" s="258"/>
      <c r="CE61" s="258"/>
      <c r="CF61" s="258"/>
      <c r="CG61" s="258"/>
      <c r="CH61" s="258"/>
    </row>
    <row r="62">
      <c r="A62" s="38"/>
      <c r="M62" s="23"/>
      <c r="N62" s="23"/>
      <c r="Y62" s="23"/>
      <c r="Z62" s="23"/>
      <c r="AK62" s="23"/>
      <c r="AL62" s="38"/>
      <c r="AM62" s="161"/>
      <c r="AN62" s="161"/>
      <c r="AO62" s="451" t="s">
        <v>349</v>
      </c>
      <c r="AP62" s="161"/>
      <c r="AQ62" s="238" t="s">
        <v>397</v>
      </c>
      <c r="AR62" s="161"/>
      <c r="AS62" s="38"/>
      <c r="AT62" s="190" t="s">
        <v>273</v>
      </c>
      <c r="AU62" s="258"/>
      <c r="AV62" s="258"/>
      <c r="AW62" s="163" t="str">
        <f t="array" ref="AW62">TEXTJOIN(" | ", 1, A63:AT63)</f>
        <v>ONLINE | ONLINE ON 03/04, 17/04, STARTS AT 10:00 | 304 STARTS ON 20/02</v>
      </c>
      <c r="AX62" s="258"/>
      <c r="AY62" s="258"/>
      <c r="AZ62" s="258"/>
      <c r="BA62" s="258"/>
      <c r="BB62" s="258"/>
      <c r="BC62" s="258"/>
      <c r="BD62" s="258"/>
      <c r="BE62" s="258"/>
      <c r="BF62" s="258"/>
      <c r="BG62" s="258"/>
      <c r="BH62" s="258"/>
      <c r="BI62" s="258"/>
      <c r="BJ62" s="258"/>
      <c r="BK62" s="258"/>
      <c r="BL62" s="258"/>
      <c r="BM62" s="258"/>
      <c r="BN62" s="258"/>
      <c r="BO62" s="258"/>
      <c r="BP62" s="258"/>
      <c r="BQ62" s="258"/>
      <c r="BR62" s="258"/>
      <c r="BS62" s="258"/>
      <c r="BT62" s="258"/>
      <c r="BU62" s="258"/>
      <c r="BV62" s="258"/>
      <c r="BW62" s="258"/>
      <c r="BX62" s="258"/>
      <c r="BY62" s="258"/>
      <c r="BZ62" s="258"/>
      <c r="CA62" s="258"/>
      <c r="CB62" s="258"/>
      <c r="CC62" s="258"/>
      <c r="CD62" s="258"/>
      <c r="CE62" s="258"/>
      <c r="CF62" s="258"/>
      <c r="CG62" s="258"/>
      <c r="CH62" s="258"/>
    </row>
    <row r="63">
      <c r="A63" s="44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7"/>
      <c r="N63" s="47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7"/>
      <c r="Z63" s="47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7"/>
      <c r="AL63" s="44"/>
      <c r="AM63" s="177"/>
      <c r="AN63" s="177"/>
      <c r="AO63" s="452" t="s">
        <v>137</v>
      </c>
      <c r="AP63" s="177"/>
      <c r="AQ63" s="411" t="s">
        <v>420</v>
      </c>
      <c r="AR63" s="177"/>
      <c r="AS63" s="44"/>
      <c r="AT63" s="204" t="s">
        <v>421</v>
      </c>
      <c r="AU63" s="164"/>
      <c r="AV63" s="164" t="str">
        <f>IFERROR(__xludf.DUMMYFUNCTION("TEXTJOIN("" / "", TRUE, FILTER(TO_TEXT(SPLIT($AZ$4, "" / "")), NOT(REGEXMATCH(TO_TEXT(SPLIT($AZ$4, "" / "")), ""\b"" &amp; TEXTJOIN(""|"", TRUE, SPLIT(AW63, "" / "")) &amp; ""\b""))))"),"101 / 102 / 103 / 104 / 105 / 106 / 107 / 108 / 111 / 209 / 300 / 301 / 303 / 305 / 306 / 307 / 308 / 312 / 313 / 314 / 316 / 317 / 318 / 320 / 321 / 421 / 460 / 461")</f>
        <v>101 / 102 / 103 / 104 / 105 / 106 / 107 / 108 / 111 / 209 / 300 / 301 / 303 / 305 / 306 / 307 / 308 / 312 / 313 / 314 / 316 / 317 / 318 / 320 / 321 / 421 / 460 / 461</v>
      </c>
      <c r="AW63" s="178" t="str">
        <f>IFERROR(__xludf.DUMMYFUNCTION("TEXTJOIN("" / "", 1, SORT(UNIQUE(TRANSPOSE(SPLIT(TRIM(REGEXREPLACE(AW62,""([0-9]{3}[a-zA-Z]?)|."",""$1 "")), "" "")))))"),"304")</f>
        <v>304</v>
      </c>
      <c r="AX63" s="163"/>
      <c r="AY63" s="163"/>
      <c r="AZ63" s="163"/>
      <c r="BA63" s="163"/>
      <c r="BB63" s="163"/>
      <c r="BC63" s="163"/>
      <c r="BD63" s="163"/>
      <c r="BE63" s="163"/>
      <c r="BF63" s="163"/>
      <c r="BG63" s="163"/>
      <c r="BH63" s="163"/>
      <c r="BI63" s="163"/>
      <c r="BJ63" s="163"/>
      <c r="BK63" s="163"/>
      <c r="BL63" s="163"/>
      <c r="BM63" s="163"/>
      <c r="BN63" s="163"/>
      <c r="BO63" s="163"/>
      <c r="BP63" s="163"/>
      <c r="BQ63" s="163"/>
      <c r="BR63" s="163"/>
      <c r="BS63" s="163"/>
      <c r="BT63" s="163"/>
      <c r="BU63" s="163"/>
      <c r="BV63" s="163"/>
      <c r="BW63" s="163"/>
      <c r="BX63" s="163"/>
      <c r="BY63" s="163"/>
      <c r="BZ63" s="163"/>
      <c r="CA63" s="163"/>
      <c r="CB63" s="163"/>
      <c r="CC63" s="163"/>
      <c r="CD63" s="163"/>
      <c r="CE63" s="163"/>
      <c r="CF63" s="163"/>
      <c r="CG63" s="163"/>
      <c r="CH63" s="163"/>
    </row>
    <row r="64">
      <c r="A64" s="152" t="s">
        <v>49</v>
      </c>
      <c r="B64" s="179" t="s">
        <v>315</v>
      </c>
      <c r="M64" s="23"/>
      <c r="N64" s="154" t="s">
        <v>139</v>
      </c>
      <c r="O64" s="156"/>
      <c r="P64" s="156"/>
      <c r="Q64" s="156"/>
      <c r="R64" s="379" t="s">
        <v>302</v>
      </c>
      <c r="S64" s="156"/>
      <c r="T64" s="156"/>
      <c r="U64" s="156"/>
      <c r="V64" s="156"/>
      <c r="W64" s="156"/>
      <c r="X64" s="156"/>
      <c r="Y64" s="156"/>
      <c r="Z64" s="154" t="s">
        <v>145</v>
      </c>
      <c r="AA64" s="156"/>
      <c r="AB64" s="156"/>
      <c r="AC64" s="156"/>
      <c r="AD64" s="156"/>
      <c r="AE64" s="156"/>
      <c r="AF64" s="400" t="s">
        <v>316</v>
      </c>
      <c r="AG64" s="23"/>
      <c r="AH64" s="401" t="s">
        <v>317</v>
      </c>
      <c r="AI64" s="23"/>
      <c r="AJ64" s="402" t="s">
        <v>318</v>
      </c>
      <c r="AK64" s="403" t="s">
        <v>319</v>
      </c>
      <c r="AL64" s="152" t="s">
        <v>49</v>
      </c>
      <c r="AM64" s="230"/>
      <c r="AN64" s="156"/>
      <c r="AO64" s="453" t="s">
        <v>281</v>
      </c>
      <c r="AP64" s="232"/>
      <c r="AQ64" s="517" t="s">
        <v>176</v>
      </c>
      <c r="AR64" s="525" t="s">
        <v>405</v>
      </c>
      <c r="AS64" s="152" t="s">
        <v>49</v>
      </c>
      <c r="AT64" s="185" t="s">
        <v>422</v>
      </c>
      <c r="AU64" s="163"/>
      <c r="AV64" s="163"/>
      <c r="AW64" s="163"/>
      <c r="AX64" s="163"/>
      <c r="AY64" s="163"/>
      <c r="AZ64" s="163"/>
      <c r="BA64" s="163"/>
      <c r="BB64" s="163"/>
      <c r="BC64" s="163"/>
      <c r="BD64" s="163"/>
      <c r="BE64" s="163"/>
      <c r="BF64" s="163"/>
      <c r="BG64" s="163"/>
      <c r="BH64" s="163"/>
      <c r="BI64" s="163"/>
      <c r="BJ64" s="163"/>
      <c r="BK64" s="163"/>
      <c r="BL64" s="163"/>
      <c r="BM64" s="163"/>
      <c r="BN64" s="163"/>
      <c r="BO64" s="163"/>
      <c r="BP64" s="163"/>
      <c r="BQ64" s="163"/>
      <c r="BR64" s="163"/>
      <c r="BS64" s="163"/>
      <c r="BT64" s="163"/>
      <c r="BU64" s="163"/>
      <c r="BV64" s="163"/>
      <c r="BW64" s="163"/>
      <c r="BX64" s="163"/>
      <c r="BY64" s="163"/>
      <c r="BZ64" s="163"/>
      <c r="CA64" s="163"/>
      <c r="CB64" s="163"/>
      <c r="CC64" s="163"/>
      <c r="CD64" s="163"/>
      <c r="CE64" s="163"/>
      <c r="CF64" s="163"/>
      <c r="CG64" s="163"/>
      <c r="CH64" s="163"/>
    </row>
    <row r="65">
      <c r="A65" s="38"/>
      <c r="B65" s="187" t="s">
        <v>285</v>
      </c>
      <c r="M65" s="23"/>
      <c r="N65" s="23"/>
      <c r="O65" s="156"/>
      <c r="P65" s="156"/>
      <c r="Q65" s="156"/>
      <c r="R65" s="404" t="s">
        <v>215</v>
      </c>
      <c r="S65" s="156"/>
      <c r="T65" s="156"/>
      <c r="U65" s="156"/>
      <c r="V65" s="156"/>
      <c r="W65" s="156"/>
      <c r="X65" s="156"/>
      <c r="Y65" s="156"/>
      <c r="Z65" s="23"/>
      <c r="AA65" s="156"/>
      <c r="AB65" s="156"/>
      <c r="AC65" s="156"/>
      <c r="AD65" s="156"/>
      <c r="AE65" s="156"/>
      <c r="AF65" s="406" t="s">
        <v>45</v>
      </c>
      <c r="AG65" s="23"/>
      <c r="AH65" s="407" t="s">
        <v>320</v>
      </c>
      <c r="AI65" s="23"/>
      <c r="AJ65" s="263" t="s">
        <v>218</v>
      </c>
      <c r="AK65" s="408" t="s">
        <v>321</v>
      </c>
      <c r="AL65" s="38"/>
      <c r="AM65" s="230"/>
      <c r="AN65" s="156"/>
      <c r="AO65" s="454" t="s">
        <v>168</v>
      </c>
      <c r="AP65" s="237"/>
      <c r="AQ65" s="238" t="s">
        <v>397</v>
      </c>
      <c r="AR65" s="529" t="s">
        <v>408</v>
      </c>
      <c r="AS65" s="38"/>
      <c r="AT65" s="190" t="s">
        <v>273</v>
      </c>
      <c r="AU65" s="163"/>
      <c r="AV65" s="163"/>
      <c r="AW65" s="163" t="str">
        <f t="array" ref="AW65">TEXTJOIN(" | ", 1, A66:AT66)</f>
        <v>108 | 308 | 107 | ONLINE | 103 | 461 | 317 | ONLINE ON 03/04, 17/04, STARTS AT 11:30 | Online EXCEPT 06/03 | 304 STARTS ON 20/02</v>
      </c>
      <c r="AX65" s="163"/>
      <c r="AY65" s="163"/>
      <c r="AZ65" s="163"/>
      <c r="BA65" s="163"/>
      <c r="BB65" s="163"/>
      <c r="BC65" s="163"/>
      <c r="BD65" s="163"/>
      <c r="BE65" s="163"/>
      <c r="BF65" s="163"/>
      <c r="BG65" s="163"/>
      <c r="BH65" s="163"/>
      <c r="BI65" s="163"/>
      <c r="BJ65" s="163"/>
      <c r="BK65" s="163"/>
      <c r="BL65" s="163"/>
      <c r="BM65" s="163"/>
      <c r="BN65" s="163"/>
      <c r="BO65" s="163"/>
      <c r="BP65" s="163"/>
      <c r="BQ65" s="163"/>
      <c r="BR65" s="163"/>
      <c r="BS65" s="163"/>
      <c r="BT65" s="163"/>
      <c r="BU65" s="163"/>
      <c r="BV65" s="163"/>
      <c r="BW65" s="163"/>
      <c r="BX65" s="163"/>
      <c r="BY65" s="163"/>
      <c r="BZ65" s="163"/>
      <c r="CA65" s="163"/>
      <c r="CB65" s="163"/>
      <c r="CC65" s="163"/>
      <c r="CD65" s="163"/>
      <c r="CE65" s="163"/>
      <c r="CF65" s="163"/>
      <c r="CG65" s="163"/>
      <c r="CH65" s="163"/>
    </row>
    <row r="66">
      <c r="A66" s="44"/>
      <c r="B66" s="196">
        <v>108.0</v>
      </c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7"/>
      <c r="N66" s="47"/>
      <c r="O66" s="172"/>
      <c r="P66" s="172"/>
      <c r="Q66" s="172"/>
      <c r="R66" s="399">
        <v>308.0</v>
      </c>
      <c r="S66" s="172"/>
      <c r="T66" s="172"/>
      <c r="U66" s="172"/>
      <c r="V66" s="172"/>
      <c r="W66" s="172"/>
      <c r="X66" s="172"/>
      <c r="Y66" s="172"/>
      <c r="Z66" s="47"/>
      <c r="AA66" s="172"/>
      <c r="AB66" s="172"/>
      <c r="AC66" s="172"/>
      <c r="AD66" s="172"/>
      <c r="AE66" s="172"/>
      <c r="AF66" s="409">
        <v>107.0</v>
      </c>
      <c r="AG66" s="47"/>
      <c r="AH66" s="530" t="s">
        <v>137</v>
      </c>
      <c r="AI66" s="47"/>
      <c r="AJ66" s="200">
        <v>103.0</v>
      </c>
      <c r="AK66" s="411">
        <v>461.0</v>
      </c>
      <c r="AL66" s="44"/>
      <c r="AM66" s="243"/>
      <c r="AN66" s="172"/>
      <c r="AO66" s="458">
        <v>317.0</v>
      </c>
      <c r="AP66" s="245"/>
      <c r="AQ66" s="411" t="s">
        <v>423</v>
      </c>
      <c r="AR66" s="265" t="s">
        <v>424</v>
      </c>
      <c r="AS66" s="44"/>
      <c r="AT66" s="204" t="s">
        <v>421</v>
      </c>
      <c r="AU66" s="164"/>
      <c r="AV66" s="164" t="str">
        <f>IFERROR(__xludf.DUMMYFUNCTION("TEXTJOIN("" / "", TRUE, FILTER(TO_TEXT(SPLIT($AZ$4, "" / "")), NOT(REGEXMATCH(TO_TEXT(SPLIT($AZ$4, "" / "")), ""\b"" &amp; TEXTJOIN(""|"", TRUE, SPLIT(AW66, "" / "")) &amp; ""\b""))))"),"101 / 102 / 104 / 105 / 106 / 111 / 209 / 300 / 301 / 303 / 305 / 306 / 307 / 312 / 313 / 314 / 316 / 318 / 320 / 321 / 421 / 460")</f>
        <v>101 / 102 / 104 / 105 / 106 / 111 / 209 / 300 / 301 / 303 / 305 / 306 / 307 / 312 / 313 / 314 / 316 / 318 / 320 / 321 / 421 / 460</v>
      </c>
      <c r="AW66" s="178" t="str">
        <f>IFERROR(__xludf.DUMMYFUNCTION("TEXTJOIN("" / "", 1, SORT(UNIQUE(TRANSPOSE(SPLIT(TRIM(REGEXREPLACE(AW65,""([0-9]{3}[a-zA-Z]?)|."",""$1 "")), "" "")))))"),"103 / 107 / 108 / 304 / 308 / 317 / 461")</f>
        <v>103 / 107 / 108 / 304 / 308 / 317 / 461</v>
      </c>
      <c r="AX66" s="163"/>
      <c r="AY66" s="163"/>
      <c r="AZ66" s="163"/>
      <c r="BA66" s="163"/>
      <c r="BB66" s="163"/>
      <c r="BC66" s="163"/>
      <c r="BD66" s="163"/>
      <c r="BE66" s="163"/>
      <c r="BF66" s="163"/>
      <c r="BG66" s="163"/>
      <c r="BH66" s="163"/>
      <c r="BI66" s="163"/>
      <c r="BJ66" s="163"/>
      <c r="BK66" s="163"/>
      <c r="BL66" s="163"/>
      <c r="BM66" s="163"/>
      <c r="BN66" s="163"/>
      <c r="BO66" s="163"/>
      <c r="BP66" s="163"/>
      <c r="BQ66" s="163"/>
      <c r="BR66" s="163"/>
      <c r="BS66" s="163"/>
      <c r="BT66" s="163"/>
      <c r="BU66" s="163"/>
      <c r="BV66" s="163"/>
      <c r="BW66" s="163"/>
      <c r="BX66" s="163"/>
      <c r="BY66" s="163"/>
      <c r="BZ66" s="163"/>
      <c r="CA66" s="163"/>
      <c r="CB66" s="163"/>
      <c r="CC66" s="163"/>
      <c r="CD66" s="163"/>
      <c r="CE66" s="163"/>
      <c r="CF66" s="163"/>
      <c r="CG66" s="163"/>
      <c r="CH66" s="163"/>
    </row>
    <row r="67">
      <c r="A67" s="152" t="s">
        <v>51</v>
      </c>
      <c r="B67" s="179" t="s">
        <v>323</v>
      </c>
      <c r="M67" s="23"/>
      <c r="N67" s="154" t="s">
        <v>158</v>
      </c>
      <c r="O67" s="156"/>
      <c r="P67" s="156"/>
      <c r="Q67" s="156"/>
      <c r="R67" s="156"/>
      <c r="S67" s="379" t="s">
        <v>302</v>
      </c>
      <c r="T67" s="379" t="s">
        <v>302</v>
      </c>
      <c r="U67" s="156"/>
      <c r="V67" s="156"/>
      <c r="W67" s="156"/>
      <c r="X67" s="379" t="s">
        <v>302</v>
      </c>
      <c r="Y67" s="156"/>
      <c r="Z67" s="154" t="s">
        <v>162</v>
      </c>
      <c r="AA67" s="414" t="s">
        <v>324</v>
      </c>
      <c r="AE67" s="23"/>
      <c r="AF67" s="63"/>
      <c r="AG67" s="415" t="s">
        <v>325</v>
      </c>
      <c r="AH67" s="63"/>
      <c r="AI67" s="416" t="s">
        <v>326</v>
      </c>
      <c r="AJ67" s="417" t="s">
        <v>327</v>
      </c>
      <c r="AK67" s="403" t="s">
        <v>319</v>
      </c>
      <c r="AL67" s="152" t="s">
        <v>51</v>
      </c>
      <c r="AM67" s="230"/>
      <c r="AN67" s="156"/>
      <c r="AO67" s="418" t="s">
        <v>328</v>
      </c>
      <c r="AP67" s="232"/>
      <c r="AQ67" s="419"/>
      <c r="AR67" s="525" t="s">
        <v>405</v>
      </c>
      <c r="AS67" s="152" t="s">
        <v>51</v>
      </c>
      <c r="AT67" s="254"/>
      <c r="AU67" s="163"/>
      <c r="AV67" s="163"/>
      <c r="AW67" s="163"/>
      <c r="AX67" s="163"/>
      <c r="AY67" s="163"/>
      <c r="AZ67" s="163"/>
      <c r="BA67" s="163"/>
      <c r="BB67" s="163"/>
      <c r="BC67" s="163"/>
      <c r="BD67" s="163"/>
      <c r="BE67" s="163"/>
      <c r="BF67" s="163"/>
      <c r="BG67" s="163"/>
      <c r="BH67" s="163"/>
      <c r="BI67" s="163"/>
      <c r="BJ67" s="163"/>
      <c r="BK67" s="163"/>
      <c r="BL67" s="163"/>
      <c r="BM67" s="163"/>
      <c r="BN67" s="163"/>
      <c r="BO67" s="163"/>
      <c r="BP67" s="163"/>
      <c r="BQ67" s="163"/>
      <c r="BR67" s="163"/>
      <c r="BS67" s="163"/>
      <c r="BT67" s="163"/>
      <c r="BU67" s="163"/>
      <c r="BV67" s="163"/>
      <c r="BW67" s="163"/>
      <c r="BX67" s="163"/>
      <c r="BY67" s="163"/>
      <c r="BZ67" s="163"/>
      <c r="CA67" s="163"/>
      <c r="CB67" s="163"/>
      <c r="CC67" s="163"/>
      <c r="CD67" s="163"/>
      <c r="CE67" s="163"/>
      <c r="CF67" s="163"/>
      <c r="CG67" s="163"/>
      <c r="CH67" s="163"/>
    </row>
    <row r="68">
      <c r="A68" s="38"/>
      <c r="B68" s="420" t="s">
        <v>283</v>
      </c>
      <c r="M68" s="23"/>
      <c r="N68" s="23"/>
      <c r="O68" s="156"/>
      <c r="P68" s="156"/>
      <c r="Q68" s="156"/>
      <c r="R68" s="156"/>
      <c r="S68" s="404" t="s">
        <v>215</v>
      </c>
      <c r="T68" s="405" t="s">
        <v>53</v>
      </c>
      <c r="U68" s="156"/>
      <c r="V68" s="156"/>
      <c r="W68" s="156"/>
      <c r="X68" s="398" t="s">
        <v>152</v>
      </c>
      <c r="Y68" s="156"/>
      <c r="Z68" s="23"/>
      <c r="AA68" s="422" t="s">
        <v>329</v>
      </c>
      <c r="AE68" s="23"/>
      <c r="AF68" s="69"/>
      <c r="AG68" s="423" t="s">
        <v>200</v>
      </c>
      <c r="AH68" s="69"/>
      <c r="AI68" s="424" t="s">
        <v>166</v>
      </c>
      <c r="AJ68" s="425" t="s">
        <v>329</v>
      </c>
      <c r="AK68" s="426" t="s">
        <v>330</v>
      </c>
      <c r="AL68" s="38"/>
      <c r="AM68" s="230"/>
      <c r="AN68" s="156"/>
      <c r="AO68" s="427" t="s">
        <v>320</v>
      </c>
      <c r="AP68" s="237"/>
      <c r="AQ68" s="237"/>
      <c r="AR68" s="262" t="s">
        <v>409</v>
      </c>
      <c r="AS68" s="38"/>
      <c r="AT68" s="254"/>
      <c r="AU68" s="163"/>
      <c r="AV68" s="163"/>
      <c r="AW68" s="163" t="str">
        <f t="array" ref="AW68">TEXTJOIN(" | ", 1, A69:AT69)</f>
        <v>108 | 308 | 314 | 460 | 105 | 317 | 312 | 105 | 461 | ONLINE (307 ON 13/03) | 503</v>
      </c>
      <c r="AX68" s="163"/>
      <c r="AY68" s="163"/>
      <c r="AZ68" s="163"/>
      <c r="BA68" s="163"/>
      <c r="BB68" s="163"/>
      <c r="BC68" s="163"/>
      <c r="BD68" s="163"/>
      <c r="BE68" s="163"/>
      <c r="BF68" s="163"/>
      <c r="BG68" s="163"/>
      <c r="BH68" s="163"/>
      <c r="BI68" s="163"/>
      <c r="BJ68" s="163"/>
      <c r="BK68" s="163"/>
      <c r="BL68" s="163"/>
      <c r="BM68" s="163"/>
      <c r="BN68" s="163"/>
      <c r="BO68" s="163"/>
      <c r="BP68" s="163"/>
      <c r="BQ68" s="163"/>
      <c r="BR68" s="163"/>
      <c r="BS68" s="163"/>
      <c r="BT68" s="163"/>
      <c r="BU68" s="163"/>
      <c r="BV68" s="163"/>
      <c r="BW68" s="163"/>
      <c r="BX68" s="163"/>
      <c r="BY68" s="163"/>
      <c r="BZ68" s="163"/>
      <c r="CA68" s="163"/>
      <c r="CB68" s="163"/>
      <c r="CC68" s="163"/>
      <c r="CD68" s="163"/>
      <c r="CE68" s="163"/>
      <c r="CF68" s="163"/>
      <c r="CG68" s="163"/>
      <c r="CH68" s="163"/>
    </row>
    <row r="69">
      <c r="A69" s="44"/>
      <c r="B69" s="225">
        <v>108.0</v>
      </c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7"/>
      <c r="N69" s="47"/>
      <c r="O69" s="172"/>
      <c r="P69" s="172"/>
      <c r="Q69" s="172"/>
      <c r="R69" s="172"/>
      <c r="S69" s="399">
        <v>308.0</v>
      </c>
      <c r="T69" s="387">
        <v>314.0</v>
      </c>
      <c r="U69" s="172"/>
      <c r="V69" s="172"/>
      <c r="W69" s="172"/>
      <c r="X69" s="399">
        <v>460.0</v>
      </c>
      <c r="Y69" s="172"/>
      <c r="Z69" s="47"/>
      <c r="AA69" s="429">
        <v>105.0</v>
      </c>
      <c r="AB69" s="46"/>
      <c r="AC69" s="46"/>
      <c r="AD69" s="46"/>
      <c r="AE69" s="47"/>
      <c r="AF69" s="76"/>
      <c r="AG69" s="430">
        <v>317.0</v>
      </c>
      <c r="AH69" s="76"/>
      <c r="AI69" s="431">
        <v>312.0</v>
      </c>
      <c r="AJ69" s="432">
        <v>105.0</v>
      </c>
      <c r="AK69" s="411">
        <v>461.0</v>
      </c>
      <c r="AL69" s="44"/>
      <c r="AM69" s="243"/>
      <c r="AN69" s="172"/>
      <c r="AO69" s="433" t="s">
        <v>425</v>
      </c>
      <c r="AP69" s="245"/>
      <c r="AQ69" s="412"/>
      <c r="AR69" s="265">
        <v>503.0</v>
      </c>
      <c r="AS69" s="44"/>
      <c r="AT69" s="254"/>
      <c r="AU69" s="164"/>
      <c r="AV69" s="164" t="str">
        <f>IFERROR(__xludf.DUMMYFUNCTION("TEXTJOIN("" / "", TRUE, FILTER(TO_TEXT(SPLIT($AZ$4, "" / "")), NOT(REGEXMATCH(TO_TEXT(SPLIT($AZ$4, "" / "")), ""\b"" &amp; TEXTJOIN(""|"", TRUE, SPLIT(AW69, "" / "")) &amp; ""\b""))))"),"101 / 102 / 103 / 104 / 106 / 107 / 111 / 209 / 300 / 301 / 303 / 304 / 305 / 306 / 313 / 316 / 318 / 320 / 321 / 421")</f>
        <v>101 / 102 / 103 / 104 / 106 / 107 / 111 / 209 / 300 / 301 / 303 / 304 / 305 / 306 / 313 / 316 / 318 / 320 / 321 / 421</v>
      </c>
      <c r="AW69" s="178" t="str">
        <f>IFERROR(__xludf.DUMMYFUNCTION("TEXTJOIN("" / "", 1, SORT(UNIQUE(TRANSPOSE(SPLIT(TRIM(REGEXREPLACE(AW68,""([0-9]{3}[a-zA-Z]?)|."",""$1 "")), "" "")))))"),"105 / 108 / 307 / 308 / 312 / 314 / 317 / 460 / 461 / 503")</f>
        <v>105 / 108 / 307 / 308 / 312 / 314 / 317 / 460 / 461 / 503</v>
      </c>
      <c r="AX69" s="163"/>
      <c r="AY69" s="163"/>
      <c r="AZ69" s="163"/>
      <c r="BA69" s="163"/>
      <c r="BB69" s="163"/>
      <c r="BC69" s="163"/>
      <c r="BD69" s="163"/>
      <c r="BE69" s="163"/>
      <c r="BF69" s="163"/>
      <c r="BG69" s="163"/>
      <c r="BH69" s="163"/>
      <c r="BI69" s="163"/>
      <c r="BJ69" s="163"/>
      <c r="BK69" s="163"/>
      <c r="BL69" s="163"/>
      <c r="BM69" s="163"/>
      <c r="BN69" s="163"/>
      <c r="BO69" s="163"/>
      <c r="BP69" s="163"/>
      <c r="BQ69" s="163"/>
      <c r="BR69" s="163"/>
      <c r="BS69" s="163"/>
      <c r="BT69" s="163"/>
      <c r="BU69" s="163"/>
      <c r="BV69" s="163"/>
      <c r="BW69" s="163"/>
      <c r="BX69" s="163"/>
      <c r="BY69" s="163"/>
      <c r="BZ69" s="163"/>
      <c r="CA69" s="163"/>
      <c r="CB69" s="163"/>
      <c r="CC69" s="163"/>
      <c r="CD69" s="163"/>
      <c r="CE69" s="163"/>
      <c r="CF69" s="163"/>
      <c r="CG69" s="163"/>
      <c r="CH69" s="163"/>
    </row>
    <row r="70">
      <c r="A70" s="152" t="s">
        <v>59</v>
      </c>
      <c r="B70" s="231" t="s">
        <v>331</v>
      </c>
      <c r="C70" s="208" t="s">
        <v>157</v>
      </c>
      <c r="D70" s="208" t="s">
        <v>157</v>
      </c>
      <c r="E70" s="231" t="s">
        <v>331</v>
      </c>
      <c r="F70" s="208" t="s">
        <v>157</v>
      </c>
      <c r="G70" s="208" t="s">
        <v>157</v>
      </c>
      <c r="H70" s="231" t="s">
        <v>331</v>
      </c>
      <c r="I70" s="208" t="s">
        <v>157</v>
      </c>
      <c r="J70" s="231" t="s">
        <v>331</v>
      </c>
      <c r="K70" s="208" t="s">
        <v>157</v>
      </c>
      <c r="L70" s="231" t="s">
        <v>331</v>
      </c>
      <c r="M70" s="208" t="s">
        <v>157</v>
      </c>
      <c r="N70" s="154" t="s">
        <v>172</v>
      </c>
      <c r="O70" s="63"/>
      <c r="P70" s="379" t="s">
        <v>302</v>
      </c>
      <c r="Q70" s="156"/>
      <c r="R70" s="156"/>
      <c r="S70" s="156"/>
      <c r="T70" s="156"/>
      <c r="U70" s="379" t="s">
        <v>302</v>
      </c>
      <c r="V70" s="156"/>
      <c r="W70" s="156"/>
      <c r="X70" s="434" t="s">
        <v>332</v>
      </c>
      <c r="Y70" s="156"/>
      <c r="Z70" s="154" t="s">
        <v>174</v>
      </c>
      <c r="AA70" s="358" t="s">
        <v>333</v>
      </c>
      <c r="AE70" s="23"/>
      <c r="AF70" s="415" t="s">
        <v>325</v>
      </c>
      <c r="AG70" s="63"/>
      <c r="AH70" s="416" t="s">
        <v>326</v>
      </c>
      <c r="AI70" s="63"/>
      <c r="AJ70" s="402" t="s">
        <v>334</v>
      </c>
      <c r="AK70" s="435" t="s">
        <v>335</v>
      </c>
      <c r="AL70" s="152" t="s">
        <v>59</v>
      </c>
      <c r="AM70" s="230"/>
      <c r="AN70" s="156"/>
      <c r="AO70" s="436" t="s">
        <v>336</v>
      </c>
      <c r="AP70" s="232"/>
      <c r="AQ70" s="419"/>
      <c r="AR70" s="228"/>
      <c r="AS70" s="152" t="s">
        <v>59</v>
      </c>
      <c r="AT70" s="63"/>
      <c r="AU70" s="163"/>
      <c r="AV70" s="163"/>
      <c r="AW70" s="163"/>
      <c r="AX70" s="163"/>
      <c r="AY70" s="163"/>
      <c r="AZ70" s="163"/>
      <c r="BA70" s="163"/>
      <c r="BB70" s="163"/>
      <c r="BC70" s="163"/>
      <c r="BD70" s="163"/>
      <c r="BE70" s="163"/>
      <c r="BF70" s="163"/>
      <c r="BG70" s="163"/>
      <c r="BH70" s="163"/>
      <c r="BI70" s="163"/>
      <c r="BJ70" s="163"/>
      <c r="BK70" s="163"/>
      <c r="BL70" s="163"/>
      <c r="BM70" s="163"/>
      <c r="BN70" s="163"/>
      <c r="BO70" s="163"/>
      <c r="BP70" s="163"/>
      <c r="BQ70" s="163"/>
      <c r="BR70" s="163"/>
      <c r="BS70" s="163"/>
      <c r="BT70" s="163"/>
      <c r="BU70" s="163"/>
      <c r="BV70" s="163"/>
      <c r="BW70" s="163"/>
      <c r="BX70" s="163"/>
      <c r="BY70" s="163"/>
      <c r="BZ70" s="163"/>
      <c r="CA70" s="163"/>
      <c r="CB70" s="163"/>
      <c r="CC70" s="163"/>
      <c r="CD70" s="163"/>
      <c r="CE70" s="163"/>
      <c r="CF70" s="163"/>
      <c r="CG70" s="163"/>
      <c r="CH70" s="163"/>
    </row>
    <row r="71">
      <c r="A71" s="38"/>
      <c r="B71" s="235" t="s">
        <v>283</v>
      </c>
      <c r="C71" s="213" t="s">
        <v>165</v>
      </c>
      <c r="D71" s="213" t="s">
        <v>165</v>
      </c>
      <c r="E71" s="236" t="s">
        <v>229</v>
      </c>
      <c r="F71" s="213" t="s">
        <v>165</v>
      </c>
      <c r="G71" s="213" t="s">
        <v>165</v>
      </c>
      <c r="H71" s="236" t="s">
        <v>54</v>
      </c>
      <c r="I71" s="213" t="s">
        <v>165</v>
      </c>
      <c r="J71" s="279" t="s">
        <v>338</v>
      </c>
      <c r="K71" s="213" t="s">
        <v>165</v>
      </c>
      <c r="L71" s="236" t="s">
        <v>232</v>
      </c>
      <c r="M71" s="213" t="s">
        <v>165</v>
      </c>
      <c r="N71" s="23"/>
      <c r="O71" s="69"/>
      <c r="P71" s="398" t="s">
        <v>152</v>
      </c>
      <c r="Q71" s="156"/>
      <c r="R71" s="156"/>
      <c r="S71" s="156"/>
      <c r="T71" s="156"/>
      <c r="U71" s="405" t="s">
        <v>53</v>
      </c>
      <c r="V71" s="156"/>
      <c r="W71" s="156"/>
      <c r="X71" s="438" t="s">
        <v>339</v>
      </c>
      <c r="Y71" s="156"/>
      <c r="Z71" s="23"/>
      <c r="AA71" s="439" t="s">
        <v>340</v>
      </c>
      <c r="AE71" s="23"/>
      <c r="AF71" s="423" t="s">
        <v>200</v>
      </c>
      <c r="AG71" s="69"/>
      <c r="AH71" s="424" t="s">
        <v>166</v>
      </c>
      <c r="AI71" s="69"/>
      <c r="AJ71" s="285" t="s">
        <v>215</v>
      </c>
      <c r="AK71" s="320" t="s">
        <v>341</v>
      </c>
      <c r="AL71" s="38"/>
      <c r="AM71" s="230"/>
      <c r="AN71" s="156"/>
      <c r="AO71" s="440" t="s">
        <v>219</v>
      </c>
      <c r="AP71" s="237"/>
      <c r="AQ71" s="237"/>
      <c r="AR71" s="161"/>
      <c r="AS71" s="38"/>
      <c r="AT71" s="69"/>
      <c r="AU71" s="163"/>
      <c r="AV71" s="163"/>
      <c r="AW71" s="163" t="str">
        <f t="array" ref="AW71">TEXTJOIN(" | ", 1, A72:AT72)</f>
        <v>303 | 103/104/301/304/306/421/460 | 103/104/301/304/306/421/460 | 320 | 103/104/301/304/306/421/460 | 103/104/301/304/306/421/460 | 101 | 103/104/301/304/306/421/460 | 318 | 103/104/301/304/306/421/460 | 300 | 103/104/301/304/306/421/460 | 308 | 314 | 102 ON 06/02, 27/02, 20/03 | 108 | 317 | 312 | 209 | 461 | 321 (307 ON 13/03)</v>
      </c>
      <c r="AX71" s="163"/>
      <c r="AY71" s="163"/>
      <c r="AZ71" s="163"/>
      <c r="BA71" s="163"/>
      <c r="BB71" s="163"/>
      <c r="BC71" s="163"/>
      <c r="BD71" s="163"/>
      <c r="BE71" s="163"/>
      <c r="BF71" s="163"/>
      <c r="BG71" s="163"/>
      <c r="BH71" s="163"/>
      <c r="BI71" s="163"/>
      <c r="BJ71" s="163"/>
      <c r="BK71" s="163"/>
      <c r="BL71" s="163"/>
      <c r="BM71" s="163"/>
      <c r="BN71" s="163"/>
      <c r="BO71" s="163"/>
      <c r="BP71" s="163"/>
      <c r="BQ71" s="163"/>
      <c r="BR71" s="163"/>
      <c r="BS71" s="163"/>
      <c r="BT71" s="163"/>
      <c r="BU71" s="163"/>
      <c r="BV71" s="163"/>
      <c r="BW71" s="163"/>
      <c r="BX71" s="163"/>
      <c r="BY71" s="163"/>
      <c r="BZ71" s="163"/>
      <c r="CA71" s="163"/>
      <c r="CB71" s="163"/>
      <c r="CC71" s="163"/>
      <c r="CD71" s="163"/>
      <c r="CE71" s="163"/>
      <c r="CF71" s="163"/>
      <c r="CG71" s="163"/>
      <c r="CH71" s="163"/>
    </row>
    <row r="72">
      <c r="A72" s="44"/>
      <c r="B72" s="244">
        <v>303.0</v>
      </c>
      <c r="C72" s="221" t="s">
        <v>343</v>
      </c>
      <c r="D72" s="221" t="s">
        <v>343</v>
      </c>
      <c r="E72" s="244">
        <v>320.0</v>
      </c>
      <c r="F72" s="221" t="s">
        <v>343</v>
      </c>
      <c r="G72" s="221" t="s">
        <v>343</v>
      </c>
      <c r="H72" s="442">
        <v>101.0</v>
      </c>
      <c r="I72" s="221" t="s">
        <v>343</v>
      </c>
      <c r="J72" s="244">
        <v>318.0</v>
      </c>
      <c r="K72" s="221" t="s">
        <v>343</v>
      </c>
      <c r="L72" s="244">
        <v>300.0</v>
      </c>
      <c r="M72" s="221" t="s">
        <v>343</v>
      </c>
      <c r="N72" s="47"/>
      <c r="O72" s="76"/>
      <c r="P72" s="399">
        <v>308.0</v>
      </c>
      <c r="Q72" s="241"/>
      <c r="R72" s="241"/>
      <c r="S72" s="241"/>
      <c r="T72" s="172"/>
      <c r="U72" s="387">
        <v>314.0</v>
      </c>
      <c r="V72" s="172"/>
      <c r="W72" s="172"/>
      <c r="X72" s="443" t="s">
        <v>426</v>
      </c>
      <c r="Y72" s="172"/>
      <c r="Z72" s="47"/>
      <c r="AA72" s="444">
        <v>108.0</v>
      </c>
      <c r="AB72" s="46"/>
      <c r="AC72" s="46"/>
      <c r="AD72" s="46"/>
      <c r="AE72" s="47"/>
      <c r="AF72" s="430">
        <v>317.0</v>
      </c>
      <c r="AG72" s="76"/>
      <c r="AH72" s="431">
        <v>312.0</v>
      </c>
      <c r="AI72" s="76"/>
      <c r="AJ72" s="200">
        <v>209.0</v>
      </c>
      <c r="AK72" s="445">
        <v>461.0</v>
      </c>
      <c r="AL72" s="44"/>
      <c r="AM72" s="243"/>
      <c r="AN72" s="172"/>
      <c r="AO72" s="446" t="s">
        <v>427</v>
      </c>
      <c r="AP72" s="245"/>
      <c r="AQ72" s="412"/>
      <c r="AR72" s="177"/>
      <c r="AS72" s="44"/>
      <c r="AT72" s="76"/>
      <c r="AU72" s="164"/>
      <c r="AV72" s="164" t="str">
        <f>IFERROR(__xludf.DUMMYFUNCTION("TEXTJOIN("" / "", TRUE, FILTER(TO_TEXT(SPLIT($AZ$4, "" / "")), NOT(REGEXMATCH(TO_TEXT(SPLIT($AZ$4, "" / "")), ""\b"" &amp; TEXTJOIN(""|"", TRUE, SPLIT(AW72, "" / "")) &amp; ""\b""))))"),"105 / 106 / 107 / 111 / 305 / 313 / 316")</f>
        <v>105 / 106 / 107 / 111 / 305 / 313 / 316</v>
      </c>
      <c r="AW72" s="178" t="str">
        <f>IFERROR(__xludf.DUMMYFUNCTION("TEXTJOIN("" / "", 1, SORT(UNIQUE(TRANSPOSE(SPLIT(TRIM(REGEXREPLACE(AW71,""([0-9]{3}[a-zA-Z]?)|."",""$1 "")), "" "")))))"),"101 / 102 / 103 / 104 / 108 / 209 / 300 / 301 / 303 / 304 / 306 / 307 / 308 / 312 / 314 / 317 / 318 / 320 / 321 / 421 / 460 / 461")</f>
        <v>101 / 102 / 103 / 104 / 108 / 209 / 300 / 301 / 303 / 304 / 306 / 307 / 308 / 312 / 314 / 317 / 318 / 320 / 321 / 421 / 460 / 461</v>
      </c>
      <c r="AX72" s="163"/>
      <c r="AY72" s="163"/>
      <c r="AZ72" s="163"/>
      <c r="BA72" s="163"/>
      <c r="BB72" s="163"/>
      <c r="BC72" s="163"/>
      <c r="BD72" s="163"/>
      <c r="BE72" s="163"/>
      <c r="BF72" s="163"/>
      <c r="BG72" s="163"/>
      <c r="BH72" s="163"/>
      <c r="BI72" s="163"/>
      <c r="BJ72" s="163"/>
      <c r="BK72" s="163"/>
      <c r="BL72" s="163"/>
      <c r="BM72" s="163"/>
      <c r="BN72" s="163"/>
      <c r="BO72" s="163"/>
      <c r="BP72" s="163"/>
      <c r="BQ72" s="163"/>
      <c r="BR72" s="163"/>
      <c r="BS72" s="163"/>
      <c r="BT72" s="163"/>
      <c r="BU72" s="163"/>
      <c r="BV72" s="163"/>
      <c r="BW72" s="163"/>
      <c r="BX72" s="163"/>
      <c r="BY72" s="163"/>
      <c r="BZ72" s="163"/>
      <c r="CA72" s="163"/>
      <c r="CB72" s="163"/>
      <c r="CC72" s="163"/>
      <c r="CD72" s="163"/>
      <c r="CE72" s="163"/>
      <c r="CF72" s="163"/>
      <c r="CG72" s="163"/>
      <c r="CH72" s="163"/>
    </row>
    <row r="73">
      <c r="A73" s="152" t="s">
        <v>64</v>
      </c>
      <c r="B73" s="208" t="s">
        <v>157</v>
      </c>
      <c r="C73" s="231" t="s">
        <v>331</v>
      </c>
      <c r="D73" s="208" t="s">
        <v>157</v>
      </c>
      <c r="E73" s="208" t="s">
        <v>157</v>
      </c>
      <c r="F73" s="231" t="s">
        <v>331</v>
      </c>
      <c r="G73" s="208" t="s">
        <v>157</v>
      </c>
      <c r="H73" s="208" t="s">
        <v>157</v>
      </c>
      <c r="I73" s="231" t="s">
        <v>331</v>
      </c>
      <c r="J73" s="208" t="s">
        <v>157</v>
      </c>
      <c r="K73" s="231" t="s">
        <v>331</v>
      </c>
      <c r="L73" s="208" t="s">
        <v>157</v>
      </c>
      <c r="M73" s="231" t="s">
        <v>331</v>
      </c>
      <c r="N73" s="154" t="s">
        <v>184</v>
      </c>
      <c r="O73" s="379" t="s">
        <v>302</v>
      </c>
      <c r="P73" s="156"/>
      <c r="Q73" s="156"/>
      <c r="R73" s="156"/>
      <c r="S73" s="156"/>
      <c r="T73" s="156"/>
      <c r="U73" s="158"/>
      <c r="V73" s="379" t="s">
        <v>302</v>
      </c>
      <c r="W73" s="156"/>
      <c r="X73" s="434" t="s">
        <v>332</v>
      </c>
      <c r="Y73" s="156"/>
      <c r="Z73" s="154" t="s">
        <v>185</v>
      </c>
      <c r="AA73" s="358" t="s">
        <v>346</v>
      </c>
      <c r="AE73" s="23"/>
      <c r="AF73" s="159"/>
      <c r="AG73" s="448"/>
      <c r="AH73" s="305"/>
      <c r="AI73" s="305"/>
      <c r="AJ73" s="63"/>
      <c r="AK73" s="435" t="s">
        <v>347</v>
      </c>
      <c r="AL73" s="152" t="s">
        <v>64</v>
      </c>
      <c r="AM73" s="228"/>
      <c r="AN73" s="228"/>
      <c r="AO73" s="228"/>
      <c r="AP73" s="232"/>
      <c r="AQ73" s="228"/>
      <c r="AR73" s="525" t="s">
        <v>405</v>
      </c>
      <c r="AS73" s="152" t="s">
        <v>64</v>
      </c>
      <c r="AT73" s="319"/>
      <c r="AU73" s="258"/>
      <c r="AV73" s="258"/>
      <c r="AW73" s="258"/>
      <c r="AX73" s="258"/>
      <c r="AY73" s="258"/>
      <c r="AZ73" s="258"/>
      <c r="BA73" s="258"/>
      <c r="BB73" s="258"/>
      <c r="BC73" s="258"/>
      <c r="BD73" s="258"/>
      <c r="BE73" s="258"/>
      <c r="BF73" s="258"/>
      <c r="BG73" s="258"/>
      <c r="BH73" s="258"/>
      <c r="BI73" s="258"/>
      <c r="BJ73" s="258"/>
      <c r="BK73" s="258"/>
      <c r="BL73" s="258"/>
      <c r="BM73" s="258"/>
      <c r="BN73" s="258"/>
      <c r="BO73" s="258"/>
      <c r="BP73" s="258"/>
      <c r="BQ73" s="258"/>
      <c r="BR73" s="258"/>
      <c r="BS73" s="258"/>
      <c r="BT73" s="258"/>
      <c r="BU73" s="258"/>
      <c r="BV73" s="258"/>
      <c r="BW73" s="258"/>
      <c r="BX73" s="258"/>
      <c r="BY73" s="258"/>
      <c r="BZ73" s="258"/>
      <c r="CA73" s="258"/>
      <c r="CB73" s="258"/>
      <c r="CC73" s="258"/>
      <c r="CD73" s="258"/>
      <c r="CE73" s="258"/>
      <c r="CF73" s="258"/>
      <c r="CG73" s="258"/>
      <c r="CH73" s="258"/>
    </row>
    <row r="74">
      <c r="A74" s="38"/>
      <c r="B74" s="213" t="s">
        <v>165</v>
      </c>
      <c r="C74" s="235" t="s">
        <v>283</v>
      </c>
      <c r="D74" s="213" t="s">
        <v>165</v>
      </c>
      <c r="E74" s="213" t="s">
        <v>165</v>
      </c>
      <c r="F74" s="235" t="s">
        <v>179</v>
      </c>
      <c r="G74" s="213" t="s">
        <v>165</v>
      </c>
      <c r="H74" s="213" t="s">
        <v>165</v>
      </c>
      <c r="I74" s="236" t="s">
        <v>338</v>
      </c>
      <c r="J74" s="213" t="s">
        <v>165</v>
      </c>
      <c r="K74" s="279" t="s">
        <v>54</v>
      </c>
      <c r="L74" s="213" t="s">
        <v>165</v>
      </c>
      <c r="M74" s="236" t="s">
        <v>232</v>
      </c>
      <c r="N74" s="23"/>
      <c r="O74" s="398" t="s">
        <v>152</v>
      </c>
      <c r="P74" s="156"/>
      <c r="Q74" s="156"/>
      <c r="R74" s="156"/>
      <c r="S74" s="156"/>
      <c r="T74" s="156"/>
      <c r="U74" s="237"/>
      <c r="V74" s="405" t="s">
        <v>53</v>
      </c>
      <c r="W74" s="156"/>
      <c r="X74" s="438" t="s">
        <v>339</v>
      </c>
      <c r="Y74" s="156"/>
      <c r="Z74" s="23"/>
      <c r="AA74" s="439" t="s">
        <v>340</v>
      </c>
      <c r="AE74" s="23"/>
      <c r="AF74" s="159"/>
      <c r="AG74" s="168"/>
      <c r="AH74" s="156"/>
      <c r="AI74" s="156"/>
      <c r="AJ74" s="69"/>
      <c r="AK74" s="450" t="s">
        <v>348</v>
      </c>
      <c r="AL74" s="38"/>
      <c r="AM74" s="161"/>
      <c r="AN74" s="161"/>
      <c r="AO74" s="161"/>
      <c r="AP74" s="237"/>
      <c r="AQ74" s="161"/>
      <c r="AR74" s="529" t="s">
        <v>408</v>
      </c>
      <c r="AS74" s="38"/>
      <c r="AT74" s="152"/>
      <c r="AU74" s="258"/>
      <c r="AV74" s="258"/>
      <c r="AW74" s="163" t="str">
        <f t="array" ref="AW74">TEXTJOIN(" | ", 1, A75:AT75)</f>
        <v>103/104/301/304/306/421/460 | 303 | 103/104/301/304/306/421/460 | 103/104/301/304/306/421/460 | 321 | 103/104/301/304/306/421/460 | 103/104/301/304/306/421/460 | 318 | 103/104/301/304/306/421/460 | 101 | 103/104/301/304/306/421/460 | 300 | 308 | 314 | 102 ON 06/02, 27/02, 20/03 | 108 | 461 | 305 ON 06/03</v>
      </c>
      <c r="AX74" s="258"/>
      <c r="AY74" s="258"/>
      <c r="AZ74" s="258"/>
      <c r="BA74" s="258"/>
      <c r="BB74" s="258"/>
      <c r="BC74" s="258"/>
      <c r="BD74" s="258"/>
      <c r="BE74" s="258"/>
      <c r="BF74" s="258"/>
      <c r="BG74" s="258"/>
      <c r="BH74" s="258"/>
      <c r="BI74" s="258"/>
      <c r="BJ74" s="258"/>
      <c r="BK74" s="258"/>
      <c r="BL74" s="258"/>
      <c r="BM74" s="258"/>
      <c r="BN74" s="258"/>
      <c r="BO74" s="258"/>
      <c r="BP74" s="258"/>
      <c r="BQ74" s="258"/>
      <c r="BR74" s="258"/>
      <c r="BS74" s="258"/>
      <c r="BT74" s="258"/>
      <c r="BU74" s="258"/>
      <c r="BV74" s="258"/>
      <c r="BW74" s="258"/>
      <c r="BX74" s="258"/>
      <c r="BY74" s="258"/>
      <c r="BZ74" s="258"/>
      <c r="CA74" s="258"/>
      <c r="CB74" s="258"/>
      <c r="CC74" s="258"/>
      <c r="CD74" s="258"/>
      <c r="CE74" s="258"/>
      <c r="CF74" s="258"/>
      <c r="CG74" s="258"/>
      <c r="CH74" s="258"/>
    </row>
    <row r="75">
      <c r="A75" s="44"/>
      <c r="B75" s="221" t="s">
        <v>343</v>
      </c>
      <c r="C75" s="244">
        <v>303.0</v>
      </c>
      <c r="D75" s="221" t="s">
        <v>343</v>
      </c>
      <c r="E75" s="221" t="s">
        <v>343</v>
      </c>
      <c r="F75" s="442">
        <v>321.0</v>
      </c>
      <c r="G75" s="221" t="s">
        <v>343</v>
      </c>
      <c r="H75" s="221" t="s">
        <v>343</v>
      </c>
      <c r="I75" s="244">
        <v>318.0</v>
      </c>
      <c r="J75" s="221" t="s">
        <v>343</v>
      </c>
      <c r="K75" s="442">
        <v>101.0</v>
      </c>
      <c r="L75" s="221" t="s">
        <v>343</v>
      </c>
      <c r="M75" s="244">
        <v>300.0</v>
      </c>
      <c r="N75" s="47"/>
      <c r="O75" s="399">
        <v>308.0</v>
      </c>
      <c r="P75" s="172"/>
      <c r="Q75" s="172"/>
      <c r="R75" s="172"/>
      <c r="S75" s="172"/>
      <c r="T75" s="172"/>
      <c r="U75" s="202"/>
      <c r="V75" s="387">
        <v>314.0</v>
      </c>
      <c r="W75" s="172"/>
      <c r="X75" s="443" t="s">
        <v>426</v>
      </c>
      <c r="Y75" s="172"/>
      <c r="Z75" s="47"/>
      <c r="AA75" s="444">
        <v>108.0</v>
      </c>
      <c r="AB75" s="46"/>
      <c r="AC75" s="46"/>
      <c r="AD75" s="46"/>
      <c r="AE75" s="47"/>
      <c r="AF75" s="175"/>
      <c r="AG75" s="174"/>
      <c r="AH75" s="172"/>
      <c r="AI75" s="172"/>
      <c r="AJ75" s="76"/>
      <c r="AK75" s="445">
        <v>461.0</v>
      </c>
      <c r="AL75" s="44"/>
      <c r="AM75" s="177"/>
      <c r="AN75" s="177"/>
      <c r="AO75" s="177"/>
      <c r="AP75" s="245"/>
      <c r="AQ75" s="177"/>
      <c r="AR75" s="265" t="s">
        <v>428</v>
      </c>
      <c r="AS75" s="44"/>
      <c r="AT75" s="323"/>
      <c r="AU75" s="164"/>
      <c r="AV75" s="164" t="str">
        <f>IFERROR(__xludf.DUMMYFUNCTION("TEXTJOIN("" / "", TRUE, FILTER(TO_TEXT(SPLIT($AZ$4, "" / "")), NOT(REGEXMATCH(TO_TEXT(SPLIT($AZ$4, "" / "")), ""\b"" &amp; TEXTJOIN(""|"", TRUE, SPLIT(AW75, "" / "")) &amp; ""\b""))))"),"105 / 106 / 107 / 111 / 209 / 307 / 312 / 313 / 316 / 317 / 320")</f>
        <v>105 / 106 / 107 / 111 / 209 / 307 / 312 / 313 / 316 / 317 / 320</v>
      </c>
      <c r="AW75" s="178" t="str">
        <f>IFERROR(__xludf.DUMMYFUNCTION("TEXTJOIN("" / "", 1, SORT(UNIQUE(TRANSPOSE(SPLIT(TRIM(REGEXREPLACE(AW74,""([0-9]{3}[a-zA-Z]?)|."",""$1 "")), "" "")))))"),"101 / 102 / 103 / 104 / 108 / 300 / 301 / 303 / 304 / 305 / 306 / 308 / 314 / 318 / 321 / 421 / 460 / 461")</f>
        <v>101 / 102 / 103 / 104 / 108 / 300 / 301 / 303 / 304 / 305 / 306 / 308 / 314 / 318 / 321 / 421 / 460 / 461</v>
      </c>
      <c r="AX75" s="163"/>
      <c r="AY75" s="163"/>
      <c r="AZ75" s="163"/>
      <c r="BA75" s="163"/>
      <c r="BB75" s="163"/>
      <c r="BC75" s="163"/>
      <c r="BD75" s="163"/>
      <c r="BE75" s="163"/>
      <c r="BF75" s="163"/>
      <c r="BG75" s="163"/>
      <c r="BH75" s="163"/>
      <c r="BI75" s="163"/>
      <c r="BJ75" s="163"/>
      <c r="BK75" s="163"/>
      <c r="BL75" s="163"/>
      <c r="BM75" s="163"/>
      <c r="BN75" s="163"/>
      <c r="BO75" s="163"/>
      <c r="BP75" s="163"/>
      <c r="BQ75" s="163"/>
      <c r="BR75" s="163"/>
      <c r="BS75" s="163"/>
      <c r="BT75" s="163"/>
      <c r="BU75" s="163"/>
      <c r="BV75" s="163"/>
      <c r="BW75" s="163"/>
      <c r="BX75" s="163"/>
      <c r="BY75" s="163"/>
      <c r="BZ75" s="163"/>
      <c r="CA75" s="163"/>
      <c r="CB75" s="163"/>
      <c r="CC75" s="163"/>
      <c r="CD75" s="163"/>
      <c r="CE75" s="163"/>
      <c r="CF75" s="163"/>
      <c r="CG75" s="163"/>
      <c r="CH75" s="163"/>
    </row>
    <row r="76">
      <c r="A76" s="152" t="s">
        <v>66</v>
      </c>
      <c r="B76" s="156"/>
      <c r="C76" s="156"/>
      <c r="D76" s="231" t="s">
        <v>331</v>
      </c>
      <c r="F76" s="156"/>
      <c r="G76" s="231" t="s">
        <v>331</v>
      </c>
      <c r="H76" s="156"/>
      <c r="I76" s="63"/>
      <c r="J76" s="63"/>
      <c r="K76" s="156"/>
      <c r="L76" s="156"/>
      <c r="M76" s="156"/>
      <c r="N76" s="154" t="s">
        <v>191</v>
      </c>
      <c r="O76" s="156"/>
      <c r="P76" s="156"/>
      <c r="Q76" s="156"/>
      <c r="R76" s="156"/>
      <c r="S76" s="156"/>
      <c r="T76" s="156"/>
      <c r="U76" s="156"/>
      <c r="V76" s="156"/>
      <c r="W76" s="156"/>
      <c r="X76" s="434" t="s">
        <v>332</v>
      </c>
      <c r="Y76" s="156"/>
      <c r="Z76" s="154" t="s">
        <v>192</v>
      </c>
      <c r="AA76" s="156"/>
      <c r="AB76" s="156"/>
      <c r="AC76" s="156"/>
      <c r="AD76" s="156"/>
      <c r="AE76" s="156"/>
      <c r="AF76" s="159"/>
      <c r="AG76" s="158"/>
      <c r="AH76" s="156"/>
      <c r="AI76" s="156"/>
      <c r="AJ76" s="156"/>
      <c r="AK76" s="156"/>
      <c r="AL76" s="152" t="s">
        <v>66</v>
      </c>
      <c r="AM76" s="156"/>
      <c r="AN76" s="156"/>
      <c r="AO76" s="158"/>
      <c r="AP76" s="232"/>
      <c r="AQ76" s="228"/>
      <c r="AR76" s="161"/>
      <c r="AS76" s="152" t="s">
        <v>66</v>
      </c>
      <c r="AT76" s="254"/>
      <c r="AU76" s="258"/>
      <c r="AV76" s="258"/>
      <c r="AW76" s="258"/>
      <c r="AX76" s="258"/>
      <c r="AY76" s="258"/>
      <c r="AZ76" s="258"/>
      <c r="BA76" s="258"/>
      <c r="BB76" s="258"/>
      <c r="BC76" s="258"/>
      <c r="BD76" s="258"/>
      <c r="BE76" s="258"/>
      <c r="BF76" s="258"/>
      <c r="BG76" s="258"/>
      <c r="BH76" s="258"/>
      <c r="BI76" s="258"/>
      <c r="BJ76" s="258"/>
      <c r="BK76" s="258"/>
      <c r="BL76" s="258"/>
      <c r="BM76" s="258"/>
      <c r="BN76" s="258"/>
      <c r="BO76" s="258"/>
      <c r="BP76" s="258"/>
      <c r="BQ76" s="258"/>
      <c r="BR76" s="258"/>
      <c r="BS76" s="258"/>
      <c r="BT76" s="258"/>
      <c r="BU76" s="258"/>
      <c r="BV76" s="258"/>
      <c r="BW76" s="258"/>
      <c r="BX76" s="258"/>
      <c r="BY76" s="258"/>
      <c r="BZ76" s="258"/>
      <c r="CA76" s="258"/>
      <c r="CB76" s="258"/>
      <c r="CC76" s="258"/>
      <c r="CD76" s="258"/>
      <c r="CE76" s="258"/>
      <c r="CF76" s="258"/>
      <c r="CG76" s="258"/>
      <c r="CH76" s="258"/>
    </row>
    <row r="77">
      <c r="A77" s="38"/>
      <c r="B77" s="156"/>
      <c r="C77" s="156"/>
      <c r="D77" s="236" t="s">
        <v>54</v>
      </c>
      <c r="F77" s="156"/>
      <c r="G77" s="235" t="s">
        <v>179</v>
      </c>
      <c r="H77" s="156"/>
      <c r="I77" s="69"/>
      <c r="J77" s="69"/>
      <c r="K77" s="156"/>
      <c r="L77" s="156"/>
      <c r="M77" s="156"/>
      <c r="N77" s="23"/>
      <c r="O77" s="156"/>
      <c r="P77" s="156"/>
      <c r="Q77" s="156"/>
      <c r="R77" s="156"/>
      <c r="S77" s="156"/>
      <c r="T77" s="156"/>
      <c r="U77" s="156"/>
      <c r="V77" s="156"/>
      <c r="W77" s="156"/>
      <c r="X77" s="438" t="s">
        <v>339</v>
      </c>
      <c r="Y77" s="156"/>
      <c r="Z77" s="23"/>
      <c r="AA77" s="156"/>
      <c r="AB77" s="156"/>
      <c r="AC77" s="156"/>
      <c r="AD77" s="156"/>
      <c r="AE77" s="156"/>
      <c r="AF77" s="159"/>
      <c r="AG77" s="168"/>
      <c r="AH77" s="156"/>
      <c r="AI77" s="156"/>
      <c r="AJ77" s="156"/>
      <c r="AK77" s="156"/>
      <c r="AL77" s="38"/>
      <c r="AM77" s="156"/>
      <c r="AN77" s="156"/>
      <c r="AO77" s="531"/>
      <c r="AP77" s="237"/>
      <c r="AQ77" s="161"/>
      <c r="AR77" s="161"/>
      <c r="AS77" s="38"/>
      <c r="AT77" s="254"/>
      <c r="AU77" s="258"/>
      <c r="AV77" s="258"/>
      <c r="AW77" s="163" t="str">
        <f t="array" ref="AW77">TEXTJOIN(" | ", 1, A78:AT78)</f>
        <v>101 | 321 | 102 ON 06/02, 27/02, 20/03</v>
      </c>
      <c r="AX77" s="258"/>
      <c r="AY77" s="258"/>
      <c r="AZ77" s="258"/>
      <c r="BA77" s="258"/>
      <c r="BB77" s="258"/>
      <c r="BC77" s="258"/>
      <c r="BD77" s="258"/>
      <c r="BE77" s="258"/>
      <c r="BF77" s="258"/>
      <c r="BG77" s="258"/>
      <c r="BH77" s="258"/>
      <c r="BI77" s="258"/>
      <c r="BJ77" s="258"/>
      <c r="BK77" s="258"/>
      <c r="BL77" s="258"/>
      <c r="BM77" s="258"/>
      <c r="BN77" s="258"/>
      <c r="BO77" s="258"/>
      <c r="BP77" s="258"/>
      <c r="BQ77" s="258"/>
      <c r="BR77" s="258"/>
      <c r="BS77" s="258"/>
      <c r="BT77" s="258"/>
      <c r="BU77" s="258"/>
      <c r="BV77" s="258"/>
      <c r="BW77" s="258"/>
      <c r="BX77" s="258"/>
      <c r="BY77" s="258"/>
      <c r="BZ77" s="258"/>
      <c r="CA77" s="258"/>
      <c r="CB77" s="258"/>
      <c r="CC77" s="258"/>
      <c r="CD77" s="258"/>
      <c r="CE77" s="258"/>
      <c r="CF77" s="258"/>
      <c r="CG77" s="258"/>
      <c r="CH77" s="258"/>
    </row>
    <row r="78">
      <c r="A78" s="44"/>
      <c r="B78" s="172"/>
      <c r="C78" s="172"/>
      <c r="D78" s="456">
        <v>101.0</v>
      </c>
      <c r="F78" s="172"/>
      <c r="G78" s="244">
        <v>321.0</v>
      </c>
      <c r="H78" s="172"/>
      <c r="I78" s="76"/>
      <c r="J78" s="76"/>
      <c r="K78" s="172"/>
      <c r="L78" s="172"/>
      <c r="M78" s="172"/>
      <c r="N78" s="47"/>
      <c r="O78" s="241"/>
      <c r="P78" s="241"/>
      <c r="Q78" s="241"/>
      <c r="R78" s="241"/>
      <c r="S78" s="241"/>
      <c r="T78" s="241"/>
      <c r="U78" s="241"/>
      <c r="V78" s="241"/>
      <c r="W78" s="241"/>
      <c r="X78" s="443" t="s">
        <v>426</v>
      </c>
      <c r="Y78" s="241"/>
      <c r="Z78" s="47"/>
      <c r="AA78" s="172"/>
      <c r="AB78" s="172"/>
      <c r="AC78" s="172"/>
      <c r="AD78" s="172"/>
      <c r="AE78" s="172"/>
      <c r="AF78" s="175"/>
      <c r="AG78" s="174"/>
      <c r="AH78" s="172"/>
      <c r="AI78" s="172"/>
      <c r="AJ78" s="172"/>
      <c r="AK78" s="172"/>
      <c r="AL78" s="44"/>
      <c r="AM78" s="172"/>
      <c r="AN78" s="172"/>
      <c r="AO78" s="205"/>
      <c r="AP78" s="245"/>
      <c r="AQ78" s="177"/>
      <c r="AR78" s="177"/>
      <c r="AS78" s="44"/>
      <c r="AT78" s="254"/>
      <c r="AU78" s="164"/>
      <c r="AV78" s="164" t="str">
        <f>IFERROR(__xludf.DUMMYFUNCTION("TEXTJOIN("" / "", TRUE, FILTER(TO_TEXT(SPLIT($AZ$4, "" / "")), NOT(REGEXMATCH(TO_TEXT(SPLIT($AZ$4, "" / "")), ""\b"" &amp; TEXTJOIN(""|"", TRUE, SPLIT(AW78, "" / "")) &amp; ""\b""))))"),"103 / 104 / 105 / 106 / 107 / 108 / 111 / 209 / 300 / 301 / 303 / 304 / 305 / 306 / 307 / 308 / 312 / 313 / 314 / 316 / 317 / 318 / 320 / 421 / 460 / 461")</f>
        <v>103 / 104 / 105 / 106 / 107 / 108 / 111 / 209 / 300 / 301 / 303 / 304 / 305 / 306 / 307 / 308 / 312 / 313 / 314 / 316 / 317 / 318 / 320 / 421 / 460 / 461</v>
      </c>
      <c r="AW78" s="178" t="str">
        <f>IFERROR(__xludf.DUMMYFUNCTION("TEXTJOIN("" / "", 1, SORT(UNIQUE(TRANSPOSE(SPLIT(TRIM(REGEXREPLACE(AW77,""([0-9]{3}[a-zA-Z]?)|."",""$1 "")), "" "")))))"),"101 / 102 / 321")</f>
        <v>101 / 102 / 321</v>
      </c>
      <c r="AX78" s="164"/>
      <c r="AY78" s="163"/>
      <c r="AZ78" s="163"/>
      <c r="BA78" s="163"/>
      <c r="BB78" s="163"/>
      <c r="BC78" s="163"/>
      <c r="BD78" s="163"/>
      <c r="BE78" s="163"/>
      <c r="BF78" s="163"/>
      <c r="BG78" s="163"/>
      <c r="BH78" s="163"/>
      <c r="BI78" s="163"/>
      <c r="BJ78" s="163"/>
      <c r="BK78" s="163"/>
      <c r="BL78" s="163"/>
      <c r="BM78" s="163"/>
      <c r="BN78" s="163"/>
      <c r="BO78" s="163"/>
      <c r="BP78" s="163"/>
      <c r="BQ78" s="163"/>
      <c r="BR78" s="163"/>
      <c r="BS78" s="163"/>
      <c r="BT78" s="163"/>
      <c r="BU78" s="163"/>
      <c r="BV78" s="163"/>
      <c r="BW78" s="163"/>
      <c r="BX78" s="163"/>
      <c r="BY78" s="163"/>
      <c r="BZ78" s="163"/>
      <c r="CA78" s="163"/>
      <c r="CB78" s="163"/>
      <c r="CC78" s="163"/>
      <c r="CD78" s="163"/>
      <c r="CE78" s="163"/>
      <c r="CF78" s="163"/>
      <c r="CG78" s="163"/>
      <c r="CH78" s="163"/>
    </row>
    <row r="79">
      <c r="A79" s="147" t="s">
        <v>92</v>
      </c>
      <c r="B79" s="148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7"/>
      <c r="N79" s="149" t="s">
        <v>92</v>
      </c>
      <c r="O79" s="148"/>
      <c r="P79" s="46"/>
      <c r="Q79" s="46"/>
      <c r="R79" s="46"/>
      <c r="S79" s="46"/>
      <c r="T79" s="46"/>
      <c r="U79" s="46"/>
      <c r="V79" s="46"/>
      <c r="W79" s="46"/>
      <c r="X79" s="46"/>
      <c r="Y79" s="47"/>
      <c r="Z79" s="149" t="s">
        <v>92</v>
      </c>
      <c r="AA79" s="148"/>
      <c r="AB79" s="46"/>
      <c r="AC79" s="46"/>
      <c r="AD79" s="46"/>
      <c r="AE79" s="46"/>
      <c r="AF79" s="46"/>
      <c r="AG79" s="46"/>
      <c r="AH79" s="46"/>
      <c r="AI79" s="46"/>
      <c r="AJ79" s="46"/>
      <c r="AK79" s="47"/>
      <c r="AL79" s="147" t="s">
        <v>92</v>
      </c>
      <c r="AM79" s="459"/>
      <c r="AN79" s="3"/>
      <c r="AO79" s="3"/>
      <c r="AP79" s="3"/>
      <c r="AQ79" s="3"/>
      <c r="AR79" s="4"/>
      <c r="AS79" s="147" t="s">
        <v>92</v>
      </c>
      <c r="AT79" s="150"/>
      <c r="AU79" s="151"/>
      <c r="AV79" s="151"/>
      <c r="AW79" s="151"/>
      <c r="AX79" s="151"/>
      <c r="AY79" s="151"/>
      <c r="AZ79" s="151"/>
      <c r="BA79" s="151"/>
      <c r="BB79" s="151"/>
      <c r="BC79" s="151"/>
      <c r="BD79" s="151"/>
      <c r="BE79" s="151"/>
      <c r="BF79" s="151"/>
      <c r="BG79" s="151"/>
      <c r="BH79" s="151"/>
      <c r="BI79" s="151"/>
      <c r="BJ79" s="151"/>
      <c r="BK79" s="151"/>
      <c r="BL79" s="151"/>
      <c r="BM79" s="151"/>
      <c r="BN79" s="151"/>
      <c r="BO79" s="151"/>
      <c r="BP79" s="151"/>
      <c r="BQ79" s="151"/>
      <c r="BR79" s="151"/>
      <c r="BS79" s="151"/>
      <c r="BT79" s="151"/>
      <c r="BU79" s="151"/>
      <c r="BV79" s="151"/>
      <c r="BW79" s="151"/>
      <c r="BX79" s="151"/>
      <c r="BY79" s="151"/>
      <c r="BZ79" s="151"/>
      <c r="CA79" s="151"/>
      <c r="CB79" s="151"/>
      <c r="CC79" s="151"/>
      <c r="CD79" s="151"/>
      <c r="CE79" s="151"/>
      <c r="CF79" s="151"/>
      <c r="CG79" s="151"/>
      <c r="CH79" s="151"/>
    </row>
    <row r="80">
      <c r="A80" s="152" t="s">
        <v>39</v>
      </c>
      <c r="B80" s="460" t="s">
        <v>352</v>
      </c>
      <c r="M80" s="23"/>
      <c r="N80" s="154" t="s">
        <v>128</v>
      </c>
      <c r="O80" s="156"/>
      <c r="P80" s="156"/>
      <c r="Q80" s="156"/>
      <c r="R80" s="156"/>
      <c r="S80" s="156"/>
      <c r="T80" s="358" t="s">
        <v>353</v>
      </c>
      <c r="U80" s="23"/>
      <c r="V80" s="156"/>
      <c r="W80" s="156"/>
      <c r="X80" s="461" t="s">
        <v>353</v>
      </c>
      <c r="Y80" s="318" t="s">
        <v>251</v>
      </c>
      <c r="Z80" s="154" t="s">
        <v>130</v>
      </c>
      <c r="AA80" s="159"/>
      <c r="AB80" s="159"/>
      <c r="AC80" s="159"/>
      <c r="AD80" s="230"/>
      <c r="AE80" s="230"/>
      <c r="AF80" s="159"/>
      <c r="AG80" s="159"/>
      <c r="AH80" s="230"/>
      <c r="AI80" s="230"/>
      <c r="AJ80" s="230"/>
      <c r="AK80" s="230"/>
      <c r="AL80" s="152" t="s">
        <v>39</v>
      </c>
      <c r="AM80" s="156"/>
      <c r="AN80" s="156"/>
      <c r="AO80" s="156"/>
      <c r="AP80" s="156"/>
      <c r="AQ80" s="228"/>
      <c r="AR80" s="228"/>
      <c r="AS80" s="152" t="s">
        <v>39</v>
      </c>
      <c r="AT80" s="63"/>
      <c r="AU80" s="258"/>
      <c r="AV80" s="258"/>
      <c r="AW80" s="258"/>
      <c r="AX80" s="258"/>
      <c r="AY80" s="258"/>
      <c r="AZ80" s="258"/>
      <c r="BA80" s="258"/>
      <c r="BB80" s="258"/>
      <c r="BC80" s="258"/>
      <c r="BD80" s="258"/>
      <c r="BE80" s="258"/>
      <c r="BF80" s="258"/>
      <c r="BG80" s="258"/>
      <c r="BH80" s="258"/>
      <c r="BI80" s="258"/>
      <c r="BJ80" s="258"/>
      <c r="BK80" s="258"/>
      <c r="BL80" s="258"/>
      <c r="BM80" s="258"/>
      <c r="BN80" s="258"/>
      <c r="BO80" s="258"/>
      <c r="BP80" s="258"/>
      <c r="BQ80" s="258"/>
      <c r="BR80" s="258"/>
      <c r="BS80" s="258"/>
      <c r="BT80" s="258"/>
      <c r="BU80" s="258"/>
      <c r="BV80" s="258"/>
      <c r="BW80" s="258"/>
      <c r="BX80" s="258"/>
      <c r="BY80" s="258"/>
      <c r="BZ80" s="258"/>
      <c r="CA80" s="258"/>
      <c r="CB80" s="258"/>
      <c r="CC80" s="258"/>
      <c r="CD80" s="258"/>
      <c r="CE80" s="258"/>
      <c r="CF80" s="258"/>
      <c r="CG80" s="258"/>
      <c r="CH80" s="258"/>
    </row>
    <row r="81">
      <c r="A81" s="38"/>
      <c r="B81" s="463" t="s">
        <v>354</v>
      </c>
      <c r="M81" s="23"/>
      <c r="N81" s="23"/>
      <c r="O81" s="156"/>
      <c r="P81" s="156"/>
      <c r="Q81" s="156"/>
      <c r="R81" s="156"/>
      <c r="S81" s="156"/>
      <c r="T81" s="167" t="s">
        <v>136</v>
      </c>
      <c r="U81" s="23"/>
      <c r="V81" s="156"/>
      <c r="W81" s="156"/>
      <c r="X81" s="464" t="s">
        <v>136</v>
      </c>
      <c r="Y81" s="320" t="s">
        <v>253</v>
      </c>
      <c r="Z81" s="23"/>
      <c r="AA81" s="159"/>
      <c r="AB81" s="159"/>
      <c r="AC81" s="159"/>
      <c r="AD81" s="230"/>
      <c r="AE81" s="230"/>
      <c r="AF81" s="159"/>
      <c r="AG81" s="159"/>
      <c r="AH81" s="230"/>
      <c r="AI81" s="230"/>
      <c r="AJ81" s="230"/>
      <c r="AK81" s="230"/>
      <c r="AL81" s="38"/>
      <c r="AM81" s="156"/>
      <c r="AN81" s="156"/>
      <c r="AO81" s="156"/>
      <c r="AP81" s="156"/>
      <c r="AQ81" s="161"/>
      <c r="AR81" s="161"/>
      <c r="AS81" s="38"/>
      <c r="AT81" s="69"/>
      <c r="AU81" s="258"/>
      <c r="AV81" s="258"/>
      <c r="AW81" s="163" t="str">
        <f t="array" ref="AW81">TEXTJOIN(" | ", 1, A82:AT82)</f>
        <v>108 | ONLINE | ONLINE | ONLINE</v>
      </c>
      <c r="AX81" s="258"/>
      <c r="AY81" s="258"/>
      <c r="AZ81" s="258"/>
      <c r="BA81" s="258"/>
      <c r="BB81" s="258"/>
      <c r="BC81" s="258"/>
      <c r="BD81" s="258"/>
      <c r="BE81" s="258"/>
      <c r="BF81" s="258"/>
      <c r="BG81" s="258"/>
      <c r="BH81" s="258"/>
      <c r="BI81" s="258"/>
      <c r="BJ81" s="258"/>
      <c r="BK81" s="258"/>
      <c r="BL81" s="258"/>
      <c r="BM81" s="258"/>
      <c r="BN81" s="258"/>
      <c r="BO81" s="258"/>
      <c r="BP81" s="258"/>
      <c r="BQ81" s="258"/>
      <c r="BR81" s="258"/>
      <c r="BS81" s="258"/>
      <c r="BT81" s="258"/>
      <c r="BU81" s="258"/>
      <c r="BV81" s="258"/>
      <c r="BW81" s="258"/>
      <c r="BX81" s="258"/>
      <c r="BY81" s="258"/>
      <c r="BZ81" s="258"/>
      <c r="CA81" s="258"/>
      <c r="CB81" s="258"/>
      <c r="CC81" s="258"/>
      <c r="CD81" s="258"/>
      <c r="CE81" s="258"/>
      <c r="CF81" s="258"/>
      <c r="CG81" s="258"/>
      <c r="CH81" s="258"/>
    </row>
    <row r="82">
      <c r="A82" s="44"/>
      <c r="B82" s="466">
        <v>108.0</v>
      </c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7"/>
      <c r="N82" s="47"/>
      <c r="O82" s="172"/>
      <c r="P82" s="172"/>
      <c r="Q82" s="172"/>
      <c r="R82" s="172"/>
      <c r="S82" s="172"/>
      <c r="T82" s="173" t="s">
        <v>137</v>
      </c>
      <c r="U82" s="47"/>
      <c r="V82" s="172"/>
      <c r="W82" s="172"/>
      <c r="X82" s="467" t="s">
        <v>137</v>
      </c>
      <c r="Y82" s="322" t="s">
        <v>137</v>
      </c>
      <c r="Z82" s="47"/>
      <c r="AA82" s="175"/>
      <c r="AB82" s="175"/>
      <c r="AC82" s="175"/>
      <c r="AD82" s="243"/>
      <c r="AE82" s="243"/>
      <c r="AF82" s="175"/>
      <c r="AG82" s="175"/>
      <c r="AH82" s="243"/>
      <c r="AI82" s="243"/>
      <c r="AJ82" s="243"/>
      <c r="AK82" s="243"/>
      <c r="AL82" s="44"/>
      <c r="AM82" s="172"/>
      <c r="AN82" s="172"/>
      <c r="AO82" s="172"/>
      <c r="AP82" s="172"/>
      <c r="AQ82" s="177"/>
      <c r="AR82" s="177"/>
      <c r="AS82" s="44"/>
      <c r="AT82" s="76"/>
      <c r="AU82" s="164"/>
      <c r="AV82" s="164" t="str">
        <f>IFERROR(__xludf.DUMMYFUNCTION("TEXTJOIN("" / "", TRUE, FILTER(TO_TEXT(SPLIT($AZ$4, "" / "")), NOT(REGEXMATCH(TO_TEXT(SPLIT($AZ$4, "" / "")), ""\b"" &amp; TEXTJOIN(""|"", TRUE, SPLIT(AW82, "" / "")) &amp; ""\b""))))"),"101 / 102 / 103 / 104 / 105 / 106 / 107 / 111 / 209 / 300 / 301 / 303 / 304 / 305 / 306 / 307 / 308 / 312 / 313 / 314 / 316 / 317 / 318 / 320 / 321 / 421 / 460 / 461")</f>
        <v>101 / 102 / 103 / 104 / 105 / 106 / 107 / 111 / 209 / 300 / 301 / 303 / 304 / 305 / 306 / 307 / 308 / 312 / 313 / 314 / 316 / 317 / 318 / 320 / 321 / 421 / 460 / 461</v>
      </c>
      <c r="AW82" s="178" t="str">
        <f>IFERROR(__xludf.DUMMYFUNCTION("TEXTJOIN("" / "", 1, SORT(UNIQUE(TRANSPOSE(SPLIT(TRIM(REGEXREPLACE(AW81,""([0-9]{3}[a-zA-Z]?)|."",""$1 "")), "" "")))))"),"108")</f>
        <v>108</v>
      </c>
      <c r="AX82" s="163"/>
      <c r="AY82" s="163"/>
      <c r="AZ82" s="163"/>
      <c r="BA82" s="163"/>
      <c r="BB82" s="163"/>
      <c r="BC82" s="163"/>
      <c r="BD82" s="163"/>
      <c r="BE82" s="163"/>
      <c r="BF82" s="163"/>
      <c r="BG82" s="163"/>
      <c r="BH82" s="163"/>
      <c r="BI82" s="163"/>
      <c r="BJ82" s="163"/>
      <c r="BK82" s="163"/>
      <c r="BL82" s="163"/>
      <c r="BM82" s="163"/>
      <c r="BN82" s="163"/>
      <c r="BO82" s="163"/>
      <c r="BP82" s="163"/>
      <c r="BQ82" s="163"/>
      <c r="BR82" s="163"/>
      <c r="BS82" s="163"/>
      <c r="BT82" s="163"/>
      <c r="BU82" s="163"/>
      <c r="BV82" s="163"/>
      <c r="BW82" s="163"/>
      <c r="BX82" s="163"/>
      <c r="BY82" s="163"/>
      <c r="BZ82" s="163"/>
      <c r="CA82" s="163"/>
      <c r="CB82" s="163"/>
      <c r="CC82" s="163"/>
      <c r="CD82" s="163"/>
      <c r="CE82" s="163"/>
      <c r="CF82" s="163"/>
      <c r="CG82" s="163"/>
      <c r="CH82" s="163"/>
    </row>
    <row r="83">
      <c r="A83" s="152" t="s">
        <v>49</v>
      </c>
      <c r="B83" s="469" t="s">
        <v>356</v>
      </c>
      <c r="M83" s="23"/>
      <c r="N83" s="154" t="s">
        <v>139</v>
      </c>
      <c r="O83" s="156"/>
      <c r="P83" s="156"/>
      <c r="Q83" s="156"/>
      <c r="R83" s="156"/>
      <c r="S83" s="156"/>
      <c r="T83" s="156"/>
      <c r="U83" s="156"/>
      <c r="V83" s="156"/>
      <c r="W83" s="156"/>
      <c r="X83" s="470" t="s">
        <v>357</v>
      </c>
      <c r="Y83" s="318" t="s">
        <v>358</v>
      </c>
      <c r="Z83" s="154" t="s">
        <v>145</v>
      </c>
      <c r="AA83" s="159"/>
      <c r="AB83" s="159"/>
      <c r="AC83" s="159"/>
      <c r="AD83" s="230"/>
      <c r="AE83" s="230"/>
      <c r="AF83" s="159"/>
      <c r="AG83" s="159"/>
      <c r="AH83" s="230"/>
      <c r="AI83" s="230"/>
      <c r="AJ83" s="158"/>
      <c r="AK83" s="158"/>
      <c r="AL83" s="152" t="s">
        <v>49</v>
      </c>
      <c r="AM83" s="347" t="s">
        <v>359</v>
      </c>
      <c r="AN83" s="23"/>
      <c r="AO83" s="471" t="s">
        <v>360</v>
      </c>
      <c r="AP83" s="228"/>
      <c r="AQ83" s="247" t="s">
        <v>265</v>
      </c>
      <c r="AR83" s="254"/>
      <c r="AS83" s="152" t="s">
        <v>49</v>
      </c>
      <c r="AT83" s="63"/>
      <c r="AU83" s="258"/>
      <c r="AV83" s="258"/>
      <c r="AW83" s="258"/>
      <c r="AX83" s="258"/>
      <c r="AY83" s="258"/>
      <c r="AZ83" s="258"/>
      <c r="BA83" s="258"/>
      <c r="BB83" s="258"/>
      <c r="BC83" s="258"/>
      <c r="BD83" s="258"/>
      <c r="BE83" s="258"/>
      <c r="BF83" s="258"/>
      <c r="BG83" s="258"/>
      <c r="BH83" s="258"/>
      <c r="BI83" s="258"/>
      <c r="BJ83" s="258"/>
      <c r="BK83" s="258"/>
      <c r="BL83" s="258"/>
      <c r="BM83" s="258"/>
      <c r="BN83" s="258"/>
      <c r="BO83" s="258"/>
      <c r="BP83" s="258"/>
      <c r="BQ83" s="258"/>
      <c r="BR83" s="258"/>
      <c r="BS83" s="258"/>
      <c r="BT83" s="258"/>
      <c r="BU83" s="258"/>
      <c r="BV83" s="258"/>
      <c r="BW83" s="258"/>
      <c r="BX83" s="258"/>
      <c r="BY83" s="258"/>
      <c r="BZ83" s="258"/>
      <c r="CA83" s="258"/>
      <c r="CB83" s="258"/>
      <c r="CC83" s="258"/>
      <c r="CD83" s="258"/>
      <c r="CE83" s="258"/>
      <c r="CF83" s="258"/>
      <c r="CG83" s="258"/>
      <c r="CH83" s="258"/>
    </row>
    <row r="84">
      <c r="A84" s="38"/>
      <c r="B84" s="472" t="s">
        <v>354</v>
      </c>
      <c r="M84" s="23"/>
      <c r="N84" s="23"/>
      <c r="O84" s="156"/>
      <c r="P84" s="156"/>
      <c r="Q84" s="156"/>
      <c r="R84" s="156"/>
      <c r="S84" s="156"/>
      <c r="T84" s="156"/>
      <c r="U84" s="156"/>
      <c r="V84" s="156"/>
      <c r="W84" s="156"/>
      <c r="X84" s="473" t="s">
        <v>78</v>
      </c>
      <c r="Y84" s="320" t="s">
        <v>361</v>
      </c>
      <c r="Z84" s="23"/>
      <c r="AA84" s="159"/>
      <c r="AB84" s="159"/>
      <c r="AC84" s="159"/>
      <c r="AD84" s="230"/>
      <c r="AE84" s="230"/>
      <c r="AF84" s="159"/>
      <c r="AG84" s="159"/>
      <c r="AH84" s="230"/>
      <c r="AI84" s="230"/>
      <c r="AJ84" s="154"/>
      <c r="AK84" s="154"/>
      <c r="AL84" s="38"/>
      <c r="AM84" s="352" t="s">
        <v>218</v>
      </c>
      <c r="AN84" s="23"/>
      <c r="AO84" s="474" t="s">
        <v>321</v>
      </c>
      <c r="AP84" s="161"/>
      <c r="AQ84" s="337" t="s">
        <v>272</v>
      </c>
      <c r="AR84" s="254"/>
      <c r="AS84" s="38"/>
      <c r="AT84" s="69"/>
      <c r="AU84" s="258"/>
      <c r="AV84" s="258"/>
      <c r="AW84" s="163" t="str">
        <f t="array" ref="AW84">TEXTJOIN(" | ", 1, A85:AT85)</f>
        <v>108 | 104 | 103 (316 ON 25/04) | 321 | 300 | ONLINE ON 07/03 STARTS AT 11:00 TILL 12:30</v>
      </c>
      <c r="AX84" s="258"/>
      <c r="AY84" s="258"/>
      <c r="AZ84" s="258"/>
      <c r="BA84" s="258"/>
      <c r="BB84" s="258"/>
      <c r="BC84" s="258"/>
      <c r="BD84" s="258"/>
      <c r="BE84" s="258"/>
      <c r="BF84" s="258"/>
      <c r="BG84" s="258"/>
      <c r="BH84" s="258"/>
      <c r="BI84" s="258"/>
      <c r="BJ84" s="258"/>
      <c r="BK84" s="258"/>
      <c r="BL84" s="258"/>
      <c r="BM84" s="258"/>
      <c r="BN84" s="258"/>
      <c r="BO84" s="258"/>
      <c r="BP84" s="258"/>
      <c r="BQ84" s="258"/>
      <c r="BR84" s="258"/>
      <c r="BS84" s="258"/>
      <c r="BT84" s="258"/>
      <c r="BU84" s="258"/>
      <c r="BV84" s="258"/>
      <c r="BW84" s="258"/>
      <c r="BX84" s="258"/>
      <c r="BY84" s="258"/>
      <c r="BZ84" s="258"/>
      <c r="CA84" s="258"/>
      <c r="CB84" s="258"/>
      <c r="CC84" s="258"/>
      <c r="CD84" s="258"/>
      <c r="CE84" s="258"/>
      <c r="CF84" s="258"/>
      <c r="CG84" s="258"/>
      <c r="CH84" s="258"/>
    </row>
    <row r="85">
      <c r="A85" s="44"/>
      <c r="B85" s="466">
        <v>108.0</v>
      </c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7"/>
      <c r="N85" s="47"/>
      <c r="O85" s="172"/>
      <c r="P85" s="172"/>
      <c r="Q85" s="172"/>
      <c r="R85" s="172"/>
      <c r="S85" s="172"/>
      <c r="T85" s="172"/>
      <c r="U85" s="172"/>
      <c r="V85" s="172"/>
      <c r="W85" s="172"/>
      <c r="X85" s="201">
        <v>104.0</v>
      </c>
      <c r="Y85" s="445" t="s">
        <v>362</v>
      </c>
      <c r="Z85" s="47"/>
      <c r="AA85" s="175"/>
      <c r="AB85" s="175"/>
      <c r="AC85" s="175"/>
      <c r="AD85" s="243"/>
      <c r="AE85" s="243"/>
      <c r="AF85" s="175"/>
      <c r="AG85" s="175"/>
      <c r="AH85" s="243"/>
      <c r="AI85" s="243"/>
      <c r="AJ85" s="174"/>
      <c r="AK85" s="174"/>
      <c r="AL85" s="44"/>
      <c r="AM85" s="532">
        <v>321.0</v>
      </c>
      <c r="AN85" s="47"/>
      <c r="AO85" s="533">
        <v>300.0</v>
      </c>
      <c r="AP85" s="177"/>
      <c r="AQ85" s="344" t="s">
        <v>429</v>
      </c>
      <c r="AR85" s="372"/>
      <c r="AS85" s="44"/>
      <c r="AT85" s="76"/>
      <c r="AU85" s="164"/>
      <c r="AV85" s="164" t="str">
        <f>IFERROR(__xludf.DUMMYFUNCTION("TEXTJOIN("" / "", TRUE, FILTER(TO_TEXT(SPLIT($AZ$4, "" / "")), NOT(REGEXMATCH(TO_TEXT(SPLIT($AZ$4, "" / "")), ""\b"" &amp; TEXTJOIN(""|"", TRUE, SPLIT(AW85, "" / "")) &amp; ""\b""))))"),"101 / 102 / 105 / 106 / 107 / 111 / 209 / 301 / 303 / 304 / 305 / 306 / 307 / 308 / 312 / 313 / 314 / 317 / 318 / 320 / 421 / 460 / 461")</f>
        <v>101 / 102 / 105 / 106 / 107 / 111 / 209 / 301 / 303 / 304 / 305 / 306 / 307 / 308 / 312 / 313 / 314 / 317 / 318 / 320 / 421 / 460 / 461</v>
      </c>
      <c r="AW85" s="178" t="str">
        <f>IFERROR(__xludf.DUMMYFUNCTION("TEXTJOIN("" / "", 1, SORT(UNIQUE(TRANSPOSE(SPLIT(TRIM(REGEXREPLACE(AW84,""([0-9]{3}[a-zA-Z]?)|."",""$1 "")), "" "")))))"),"103 / 104 / 108 / 300 / 316 / 321")</f>
        <v>103 / 104 / 108 / 300 / 316 / 321</v>
      </c>
      <c r="AX85" s="164"/>
      <c r="AY85" s="163"/>
      <c r="AZ85" s="163"/>
      <c r="BA85" s="163"/>
      <c r="BB85" s="163"/>
      <c r="BC85" s="163"/>
      <c r="BD85" s="163"/>
      <c r="BE85" s="163"/>
      <c r="BF85" s="163"/>
      <c r="BG85" s="163"/>
      <c r="BH85" s="163"/>
      <c r="BI85" s="163"/>
      <c r="BJ85" s="163"/>
      <c r="BK85" s="163"/>
      <c r="BL85" s="163"/>
      <c r="BM85" s="163"/>
      <c r="BN85" s="163"/>
      <c r="BO85" s="163"/>
      <c r="BP85" s="163"/>
      <c r="BQ85" s="163"/>
      <c r="BR85" s="163"/>
      <c r="BS85" s="163"/>
      <c r="BT85" s="163"/>
      <c r="BU85" s="163"/>
      <c r="BV85" s="163"/>
      <c r="BW85" s="163"/>
      <c r="BX85" s="163"/>
      <c r="BY85" s="163"/>
      <c r="BZ85" s="163"/>
      <c r="CA85" s="163"/>
      <c r="CB85" s="163"/>
      <c r="CC85" s="163"/>
      <c r="CD85" s="163"/>
      <c r="CE85" s="163"/>
      <c r="CF85" s="163"/>
      <c r="CG85" s="163"/>
      <c r="CH85" s="163"/>
    </row>
    <row r="86">
      <c r="A86" s="152" t="s">
        <v>51</v>
      </c>
      <c r="B86" s="418" t="s">
        <v>366</v>
      </c>
      <c r="C86" s="418" t="s">
        <v>366</v>
      </c>
      <c r="D86" s="156"/>
      <c r="E86" s="156"/>
      <c r="F86" s="418" t="s">
        <v>366</v>
      </c>
      <c r="G86" s="143"/>
      <c r="H86" s="293"/>
      <c r="I86" s="418" t="s">
        <v>366</v>
      </c>
      <c r="J86" s="156"/>
      <c r="K86" s="158"/>
      <c r="L86" s="418" t="s">
        <v>366</v>
      </c>
      <c r="M86" s="158"/>
      <c r="N86" s="154" t="s">
        <v>158</v>
      </c>
      <c r="O86" s="476" t="s">
        <v>367</v>
      </c>
      <c r="W86" s="23"/>
      <c r="X86" s="230"/>
      <c r="Y86" s="534" t="s">
        <v>401</v>
      </c>
      <c r="Z86" s="154" t="s">
        <v>162</v>
      </c>
      <c r="AA86" s="230"/>
      <c r="AB86" s="230"/>
      <c r="AC86" s="230"/>
      <c r="AD86" s="156"/>
      <c r="AE86" s="156"/>
      <c r="AF86" s="230"/>
      <c r="AG86" s="230"/>
      <c r="AH86" s="156"/>
      <c r="AI86" s="156"/>
      <c r="AJ86" s="158"/>
      <c r="AK86" s="158"/>
      <c r="AL86" s="152" t="s">
        <v>51</v>
      </c>
      <c r="AM86" s="347" t="s">
        <v>368</v>
      </c>
      <c r="AN86" s="23"/>
      <c r="AO86" s="471" t="s">
        <v>369</v>
      </c>
      <c r="AP86" s="63"/>
      <c r="AQ86" s="247" t="s">
        <v>265</v>
      </c>
      <c r="AR86" s="437" t="s">
        <v>337</v>
      </c>
      <c r="AS86" s="152" t="s">
        <v>51</v>
      </c>
      <c r="AT86" s="254"/>
      <c r="AU86" s="258"/>
      <c r="AV86" s="258"/>
      <c r="AW86" s="258"/>
      <c r="AX86" s="258"/>
      <c r="AY86" s="258"/>
      <c r="AZ86" s="258"/>
      <c r="BA86" s="258"/>
      <c r="BB86" s="258"/>
      <c r="BC86" s="258"/>
      <c r="BD86" s="258"/>
      <c r="BE86" s="258"/>
      <c r="BF86" s="258"/>
      <c r="BG86" s="258"/>
      <c r="BH86" s="258"/>
      <c r="BI86" s="258"/>
      <c r="BJ86" s="258"/>
      <c r="BK86" s="258"/>
      <c r="BL86" s="258"/>
      <c r="BM86" s="258"/>
      <c r="BN86" s="258"/>
      <c r="BO86" s="258"/>
      <c r="BP86" s="258"/>
      <c r="BQ86" s="258"/>
      <c r="BR86" s="258"/>
      <c r="BS86" s="258"/>
      <c r="BT86" s="258"/>
      <c r="BU86" s="258"/>
      <c r="BV86" s="258"/>
      <c r="BW86" s="258"/>
      <c r="BX86" s="258"/>
      <c r="BY86" s="258"/>
      <c r="BZ86" s="258"/>
      <c r="CA86" s="258"/>
      <c r="CB86" s="258"/>
      <c r="CC86" s="258"/>
      <c r="CD86" s="258"/>
      <c r="CE86" s="258"/>
      <c r="CF86" s="258"/>
      <c r="CG86" s="258"/>
      <c r="CH86" s="258"/>
    </row>
    <row r="87">
      <c r="A87" s="38"/>
      <c r="B87" s="477" t="s">
        <v>354</v>
      </c>
      <c r="C87" s="477" t="s">
        <v>167</v>
      </c>
      <c r="D87" s="156"/>
      <c r="E87" s="156"/>
      <c r="F87" s="477" t="s">
        <v>370</v>
      </c>
      <c r="G87" s="143"/>
      <c r="H87" s="478"/>
      <c r="I87" s="477" t="s">
        <v>338</v>
      </c>
      <c r="J87" s="156"/>
      <c r="K87" s="393"/>
      <c r="L87" s="477" t="s">
        <v>179</v>
      </c>
      <c r="M87" s="393"/>
      <c r="N87" s="23"/>
      <c r="O87" s="479" t="s">
        <v>371</v>
      </c>
      <c r="W87" s="23"/>
      <c r="X87" s="230"/>
      <c r="Y87" s="281" t="s">
        <v>99</v>
      </c>
      <c r="Z87" s="23"/>
      <c r="AA87" s="230"/>
      <c r="AB87" s="230"/>
      <c r="AC87" s="230"/>
      <c r="AD87" s="156"/>
      <c r="AE87" s="156"/>
      <c r="AF87" s="230"/>
      <c r="AG87" s="230"/>
      <c r="AH87" s="156"/>
      <c r="AI87" s="156"/>
      <c r="AJ87" s="154"/>
      <c r="AK87" s="154"/>
      <c r="AL87" s="38"/>
      <c r="AM87" s="480" t="s">
        <v>372</v>
      </c>
      <c r="AN87" s="23"/>
      <c r="AO87" s="481" t="s">
        <v>233</v>
      </c>
      <c r="AP87" s="69"/>
      <c r="AQ87" s="337" t="s">
        <v>272</v>
      </c>
      <c r="AR87" s="441" t="s">
        <v>342</v>
      </c>
      <c r="AS87" s="38"/>
      <c r="AT87" s="254"/>
      <c r="AU87" s="258"/>
      <c r="AV87" s="258"/>
      <c r="AW87" s="163" t="str">
        <f t="array" ref="AW87">TEXTJOIN(" | ", 1, A88:AT88)</f>
        <v>300 | 303 | 320 | 461 | 318 | 108 | 103 (316 ON 25/04) | 321 | 304 | ONLINE ON 07/03 STARTS AT 12:30 TILL 14:00 | ONLINE</v>
      </c>
      <c r="AX87" s="258"/>
      <c r="AY87" s="258"/>
      <c r="AZ87" s="258"/>
      <c r="BA87" s="258"/>
      <c r="BB87" s="258"/>
      <c r="BC87" s="258"/>
      <c r="BD87" s="258"/>
      <c r="BE87" s="258"/>
      <c r="BF87" s="258"/>
      <c r="BG87" s="258"/>
      <c r="BH87" s="258"/>
      <c r="BI87" s="258"/>
      <c r="BJ87" s="258"/>
      <c r="BK87" s="258"/>
      <c r="BL87" s="258"/>
      <c r="BM87" s="258"/>
      <c r="BN87" s="258"/>
      <c r="BO87" s="258"/>
      <c r="BP87" s="258"/>
      <c r="BQ87" s="258"/>
      <c r="BR87" s="258"/>
      <c r="BS87" s="258"/>
      <c r="BT87" s="258"/>
      <c r="BU87" s="258"/>
      <c r="BV87" s="258"/>
      <c r="BW87" s="258"/>
      <c r="BX87" s="258"/>
      <c r="BY87" s="258"/>
      <c r="BZ87" s="258"/>
      <c r="CA87" s="258"/>
      <c r="CB87" s="258"/>
      <c r="CC87" s="258"/>
      <c r="CD87" s="258"/>
      <c r="CE87" s="258"/>
      <c r="CF87" s="258"/>
      <c r="CG87" s="258"/>
      <c r="CH87" s="258"/>
    </row>
    <row r="88">
      <c r="A88" s="44"/>
      <c r="B88" s="483">
        <v>300.0</v>
      </c>
      <c r="C88" s="484">
        <v>303.0</v>
      </c>
      <c r="D88" s="172"/>
      <c r="E88" s="172"/>
      <c r="F88" s="483">
        <v>320.0</v>
      </c>
      <c r="G88" s="143"/>
      <c r="H88" s="485"/>
      <c r="I88" s="483">
        <v>461.0</v>
      </c>
      <c r="J88" s="172"/>
      <c r="K88" s="174"/>
      <c r="L88" s="483">
        <v>318.0</v>
      </c>
      <c r="M88" s="174"/>
      <c r="N88" s="47"/>
      <c r="O88" s="486">
        <v>108.0</v>
      </c>
      <c r="P88" s="46"/>
      <c r="Q88" s="46"/>
      <c r="R88" s="46"/>
      <c r="S88" s="46"/>
      <c r="T88" s="46"/>
      <c r="U88" s="46"/>
      <c r="V88" s="46"/>
      <c r="W88" s="47"/>
      <c r="X88" s="243"/>
      <c r="Y88" s="290" t="s">
        <v>362</v>
      </c>
      <c r="Z88" s="47"/>
      <c r="AA88" s="243"/>
      <c r="AB88" s="243"/>
      <c r="AC88" s="243"/>
      <c r="AD88" s="172"/>
      <c r="AE88" s="172"/>
      <c r="AF88" s="243"/>
      <c r="AG88" s="243"/>
      <c r="AH88" s="172"/>
      <c r="AI88" s="172"/>
      <c r="AJ88" s="174"/>
      <c r="AK88" s="174"/>
      <c r="AL88" s="44"/>
      <c r="AM88" s="532">
        <v>321.0</v>
      </c>
      <c r="AN88" s="47"/>
      <c r="AO88" s="200">
        <v>304.0</v>
      </c>
      <c r="AP88" s="76"/>
      <c r="AQ88" s="344" t="s">
        <v>430</v>
      </c>
      <c r="AR88" s="535" t="s">
        <v>137</v>
      </c>
      <c r="AS88" s="44"/>
      <c r="AT88" s="254"/>
      <c r="AU88" s="164"/>
      <c r="AV88" s="164" t="str">
        <f>IFERROR(__xludf.DUMMYFUNCTION("TEXTJOIN("" / "", TRUE, FILTER(TO_TEXT(SPLIT($AZ$4, "" / "")), NOT(REGEXMATCH(TO_TEXT(SPLIT($AZ$4, "" / "")), ""\b"" &amp; TEXTJOIN(""|"", TRUE, SPLIT(AW88, "" / "")) &amp; ""\b""))))"),"101 / 102 / 104 / 105 / 106 / 107 / 111 / 209 / 301 / 305 / 306 / 307 / 308 / 312 / 313 / 314 / 317 / 421 / 460")</f>
        <v>101 / 102 / 104 / 105 / 106 / 107 / 111 / 209 / 301 / 305 / 306 / 307 / 308 / 312 / 313 / 314 / 317 / 421 / 460</v>
      </c>
      <c r="AW88" s="178" t="str">
        <f>IFERROR(__xludf.DUMMYFUNCTION("TEXTJOIN("" / "", 1, SORT(UNIQUE(TRANSPOSE(SPLIT(TRIM(REGEXREPLACE(AW87,""([0-9]{3}[a-zA-Z]?)|."",""$1 "")), "" "")))))"),"103 / 108 / 300 / 303 / 304 / 316 / 318 / 320 / 321 / 461")</f>
        <v>103 / 108 / 300 / 303 / 304 / 316 / 318 / 320 / 321 / 461</v>
      </c>
      <c r="AX88" s="164"/>
      <c r="AY88" s="163"/>
      <c r="AZ88" s="163"/>
      <c r="BA88" s="163"/>
      <c r="BB88" s="163"/>
      <c r="BC88" s="163"/>
      <c r="BD88" s="163"/>
      <c r="BE88" s="163"/>
      <c r="BF88" s="163"/>
      <c r="BG88" s="163"/>
      <c r="BH88" s="163"/>
      <c r="BI88" s="163"/>
      <c r="BJ88" s="163"/>
      <c r="BK88" s="163"/>
      <c r="BL88" s="163"/>
      <c r="BM88" s="163"/>
      <c r="BN88" s="163"/>
      <c r="BO88" s="163"/>
      <c r="BP88" s="163"/>
      <c r="BQ88" s="163"/>
      <c r="BR88" s="163"/>
      <c r="BS88" s="163"/>
      <c r="BT88" s="163"/>
      <c r="BU88" s="163"/>
      <c r="BV88" s="163"/>
      <c r="BW88" s="163"/>
      <c r="BX88" s="163"/>
      <c r="BY88" s="163"/>
      <c r="BZ88" s="163"/>
      <c r="CA88" s="163"/>
      <c r="CB88" s="163"/>
      <c r="CC88" s="163"/>
      <c r="CD88" s="163"/>
      <c r="CE88" s="163"/>
      <c r="CF88" s="163"/>
      <c r="CG88" s="163"/>
      <c r="CH88" s="163"/>
    </row>
    <row r="89">
      <c r="A89" s="152" t="s">
        <v>59</v>
      </c>
      <c r="B89" s="356" t="s">
        <v>287</v>
      </c>
      <c r="C89" s="156"/>
      <c r="D89" s="156"/>
      <c r="E89" s="418" t="s">
        <v>366</v>
      </c>
      <c r="F89" s="156"/>
      <c r="G89" s="487" t="s">
        <v>366</v>
      </c>
      <c r="H89" s="159"/>
      <c r="I89" s="158"/>
      <c r="J89" s="418" t="s">
        <v>366</v>
      </c>
      <c r="K89" s="230"/>
      <c r="L89" s="158"/>
      <c r="M89" s="418" t="s">
        <v>366</v>
      </c>
      <c r="N89" s="154" t="s">
        <v>172</v>
      </c>
      <c r="O89" s="476" t="s">
        <v>375</v>
      </c>
      <c r="W89" s="23"/>
      <c r="X89" s="158"/>
      <c r="Y89" s="534" t="s">
        <v>403</v>
      </c>
      <c r="Z89" s="154" t="s">
        <v>174</v>
      </c>
      <c r="AA89" s="230"/>
      <c r="AB89" s="230"/>
      <c r="AC89" s="230"/>
      <c r="AD89" s="156"/>
      <c r="AE89" s="156"/>
      <c r="AF89" s="230"/>
      <c r="AG89" s="230"/>
      <c r="AH89" s="156"/>
      <c r="AI89" s="156"/>
      <c r="AJ89" s="230"/>
      <c r="AK89" s="230"/>
      <c r="AL89" s="152" t="s">
        <v>59</v>
      </c>
      <c r="AM89" s="159"/>
      <c r="AN89" s="228"/>
      <c r="AO89" s="228"/>
      <c r="AP89" s="63"/>
      <c r="AQ89" s="207" t="s">
        <v>257</v>
      </c>
      <c r="AR89" s="437" t="s">
        <v>337</v>
      </c>
      <c r="AS89" s="152" t="s">
        <v>59</v>
      </c>
      <c r="AT89" s="382" t="s">
        <v>376</v>
      </c>
      <c r="AU89" s="258"/>
      <c r="AV89" s="258"/>
      <c r="AW89" s="258"/>
      <c r="AX89" s="258"/>
      <c r="AY89" s="258"/>
      <c r="AZ89" s="258"/>
      <c r="BA89" s="258"/>
      <c r="BB89" s="258"/>
      <c r="BC89" s="258"/>
      <c r="BD89" s="258"/>
      <c r="BE89" s="258"/>
      <c r="BF89" s="258"/>
      <c r="BG89" s="258"/>
      <c r="BH89" s="258"/>
      <c r="BI89" s="258"/>
      <c r="BJ89" s="258"/>
      <c r="BK89" s="258"/>
      <c r="BL89" s="258"/>
      <c r="BM89" s="258"/>
      <c r="BN89" s="258"/>
      <c r="BO89" s="258"/>
      <c r="BP89" s="258"/>
      <c r="BQ89" s="258"/>
      <c r="BR89" s="258"/>
      <c r="BS89" s="258"/>
      <c r="BT89" s="258"/>
      <c r="BU89" s="258"/>
      <c r="BV89" s="258"/>
      <c r="BW89" s="258"/>
      <c r="BX89" s="258"/>
      <c r="BY89" s="258"/>
      <c r="BZ89" s="258"/>
      <c r="CA89" s="258"/>
      <c r="CB89" s="258"/>
      <c r="CC89" s="258"/>
      <c r="CD89" s="258"/>
      <c r="CE89" s="258"/>
      <c r="CF89" s="258"/>
      <c r="CG89" s="258"/>
      <c r="CH89" s="258"/>
    </row>
    <row r="90">
      <c r="A90" s="38"/>
      <c r="B90" s="361" t="s">
        <v>215</v>
      </c>
      <c r="C90" s="156"/>
      <c r="D90" s="156"/>
      <c r="E90" s="477" t="s">
        <v>370</v>
      </c>
      <c r="F90" s="156"/>
      <c r="G90" s="489" t="s">
        <v>167</v>
      </c>
      <c r="H90" s="159"/>
      <c r="I90" s="393"/>
      <c r="J90" s="477" t="s">
        <v>338</v>
      </c>
      <c r="K90" s="230"/>
      <c r="L90" s="393"/>
      <c r="M90" s="477" t="s">
        <v>179</v>
      </c>
      <c r="N90" s="23"/>
      <c r="O90" s="479" t="s">
        <v>371</v>
      </c>
      <c r="W90" s="23"/>
      <c r="X90" s="490"/>
      <c r="Y90" s="297" t="s">
        <v>406</v>
      </c>
      <c r="Z90" s="23"/>
      <c r="AA90" s="230"/>
      <c r="AB90" s="230"/>
      <c r="AC90" s="230"/>
      <c r="AD90" s="156"/>
      <c r="AE90" s="156"/>
      <c r="AF90" s="230"/>
      <c r="AG90" s="230"/>
      <c r="AH90" s="156"/>
      <c r="AI90" s="156"/>
      <c r="AJ90" s="230"/>
      <c r="AK90" s="230"/>
      <c r="AL90" s="38"/>
      <c r="AM90" s="159"/>
      <c r="AN90" s="161"/>
      <c r="AO90" s="161"/>
      <c r="AP90" s="69"/>
      <c r="AQ90" s="214" t="s">
        <v>258</v>
      </c>
      <c r="AR90" s="441" t="s">
        <v>342</v>
      </c>
      <c r="AS90" s="38"/>
      <c r="AT90" s="386" t="s">
        <v>377</v>
      </c>
      <c r="AU90" s="258"/>
      <c r="AV90" s="258"/>
      <c r="AW90" s="163" t="str">
        <f t="array" ref="AW90">TEXTJOIN(" | ", 1, A91:AT91)</f>
        <v>101 ON 07/03 | 320 | 303 | 461 | 318 | 108 | 103 (316 ON 25/04) | ONLINE STARTS AT 15:00 | ONLINE | ONLINE</v>
      </c>
      <c r="AX90" s="258"/>
      <c r="AY90" s="258"/>
      <c r="AZ90" s="258"/>
      <c r="BA90" s="258"/>
      <c r="BB90" s="258"/>
      <c r="BC90" s="258"/>
      <c r="BD90" s="258"/>
      <c r="BE90" s="258"/>
      <c r="BF90" s="258"/>
      <c r="BG90" s="258"/>
      <c r="BH90" s="258"/>
      <c r="BI90" s="258"/>
      <c r="BJ90" s="258"/>
      <c r="BK90" s="258"/>
      <c r="BL90" s="258"/>
      <c r="BM90" s="258"/>
      <c r="BN90" s="258"/>
      <c r="BO90" s="258"/>
      <c r="BP90" s="258"/>
      <c r="BQ90" s="258"/>
      <c r="BR90" s="258"/>
      <c r="BS90" s="258"/>
      <c r="BT90" s="258"/>
      <c r="BU90" s="258"/>
      <c r="BV90" s="258"/>
      <c r="BW90" s="258"/>
      <c r="BX90" s="258"/>
      <c r="BY90" s="258"/>
      <c r="BZ90" s="258"/>
      <c r="CA90" s="258"/>
      <c r="CB90" s="258"/>
      <c r="CC90" s="258"/>
      <c r="CD90" s="258"/>
      <c r="CE90" s="258"/>
      <c r="CF90" s="258"/>
      <c r="CG90" s="258"/>
      <c r="CH90" s="258"/>
    </row>
    <row r="91">
      <c r="A91" s="44"/>
      <c r="B91" s="368" t="s">
        <v>431</v>
      </c>
      <c r="C91" s="172"/>
      <c r="D91" s="172"/>
      <c r="E91" s="483">
        <v>320.0</v>
      </c>
      <c r="F91" s="172"/>
      <c r="G91" s="446">
        <v>303.0</v>
      </c>
      <c r="H91" s="175"/>
      <c r="I91" s="174"/>
      <c r="J91" s="483">
        <v>461.0</v>
      </c>
      <c r="K91" s="243"/>
      <c r="L91" s="174"/>
      <c r="M91" s="483">
        <v>318.0</v>
      </c>
      <c r="N91" s="47"/>
      <c r="O91" s="486">
        <v>108.0</v>
      </c>
      <c r="P91" s="46"/>
      <c r="Q91" s="46"/>
      <c r="R91" s="46"/>
      <c r="S91" s="46"/>
      <c r="T91" s="46"/>
      <c r="U91" s="46"/>
      <c r="V91" s="46"/>
      <c r="W91" s="47"/>
      <c r="X91" s="457"/>
      <c r="Y91" s="290" t="s">
        <v>362</v>
      </c>
      <c r="Z91" s="47"/>
      <c r="AA91" s="243"/>
      <c r="AB91" s="243"/>
      <c r="AC91" s="243"/>
      <c r="AD91" s="172"/>
      <c r="AE91" s="172"/>
      <c r="AF91" s="243"/>
      <c r="AG91" s="243"/>
      <c r="AH91" s="172"/>
      <c r="AI91" s="172"/>
      <c r="AJ91" s="243"/>
      <c r="AK91" s="243"/>
      <c r="AL91" s="44"/>
      <c r="AM91" s="175"/>
      <c r="AN91" s="177"/>
      <c r="AO91" s="177"/>
      <c r="AP91" s="76"/>
      <c r="AQ91" s="491" t="s">
        <v>378</v>
      </c>
      <c r="AR91" s="535" t="s">
        <v>137</v>
      </c>
      <c r="AS91" s="44"/>
      <c r="AT91" s="390" t="s">
        <v>137</v>
      </c>
      <c r="AU91" s="164"/>
      <c r="AV91" s="164" t="str">
        <f>IFERROR(__xludf.DUMMYFUNCTION("TEXTJOIN("" / "", TRUE, FILTER(TO_TEXT(SPLIT($AZ$4, "" / "")), NOT(REGEXMATCH(TO_TEXT(SPLIT($AZ$4, "" / "")), ""\b"" &amp; TEXTJOIN(""|"", TRUE, SPLIT(AW91, "" / "")) &amp; ""\b""))))"),"102 / 104 / 105 / 106 / 107 / 111 / 209 / 300 / 301 / 304 / 305 / 306 / 307 / 308 / 312 / 313 / 314 / 317 / 321 / 421 / 460")</f>
        <v>102 / 104 / 105 / 106 / 107 / 111 / 209 / 300 / 301 / 304 / 305 / 306 / 307 / 308 / 312 / 313 / 314 / 317 / 321 / 421 / 460</v>
      </c>
      <c r="AW91" s="178" t="str">
        <f>IFERROR(__xludf.DUMMYFUNCTION("TEXTJOIN("" / "", 1, SORT(UNIQUE(TRANSPOSE(SPLIT(TRIM(REGEXREPLACE(AW90,""([0-9]{3}[a-zA-Z]?)|."",""$1 "")), "" "")))))"),"101 / 103 / 108 / 303 / 316 / 318 / 320 / 461")</f>
        <v>101 / 103 / 108 / 303 / 316 / 318 / 320 / 461</v>
      </c>
      <c r="AX91" s="164"/>
      <c r="AY91" s="163"/>
      <c r="AZ91" s="163"/>
      <c r="BA91" s="163"/>
      <c r="BB91" s="163"/>
      <c r="BC91" s="163"/>
      <c r="BD91" s="163"/>
      <c r="BE91" s="163"/>
      <c r="BF91" s="163"/>
      <c r="BG91" s="163"/>
      <c r="BH91" s="163"/>
      <c r="BI91" s="163"/>
      <c r="BJ91" s="163"/>
      <c r="BK91" s="163"/>
      <c r="BL91" s="163"/>
      <c r="BM91" s="163"/>
      <c r="BN91" s="163"/>
      <c r="BO91" s="163"/>
      <c r="BP91" s="163"/>
      <c r="BQ91" s="163"/>
      <c r="BR91" s="163"/>
      <c r="BS91" s="163"/>
      <c r="BT91" s="163"/>
      <c r="BU91" s="163"/>
      <c r="BV91" s="163"/>
      <c r="BW91" s="163"/>
      <c r="BX91" s="163"/>
      <c r="BY91" s="163"/>
      <c r="BZ91" s="163"/>
      <c r="CA91" s="163"/>
      <c r="CB91" s="163"/>
      <c r="CC91" s="163"/>
      <c r="CD91" s="163"/>
      <c r="CE91" s="163"/>
      <c r="CF91" s="163"/>
      <c r="CG91" s="163"/>
      <c r="CH91" s="163"/>
    </row>
    <row r="92">
      <c r="A92" s="152" t="s">
        <v>64</v>
      </c>
      <c r="B92" s="158"/>
      <c r="C92" s="158"/>
      <c r="D92" s="418" t="s">
        <v>366</v>
      </c>
      <c r="E92" s="158"/>
      <c r="F92" s="156"/>
      <c r="G92" s="158"/>
      <c r="H92" s="418" t="s">
        <v>366</v>
      </c>
      <c r="I92" s="158"/>
      <c r="J92" s="158"/>
      <c r="K92" s="418" t="s">
        <v>366</v>
      </c>
      <c r="L92" s="158"/>
      <c r="M92" s="158"/>
      <c r="N92" s="154" t="s">
        <v>184</v>
      </c>
      <c r="O92" s="492" t="s">
        <v>379</v>
      </c>
      <c r="P92" s="156"/>
      <c r="Q92" s="492" t="s">
        <v>379</v>
      </c>
      <c r="R92" s="156"/>
      <c r="S92" s="492" t="s">
        <v>379</v>
      </c>
      <c r="T92" s="461" t="s">
        <v>357</v>
      </c>
      <c r="U92" s="492" t="s">
        <v>379</v>
      </c>
      <c r="V92" s="492" t="s">
        <v>379</v>
      </c>
      <c r="W92" s="156"/>
      <c r="X92" s="158"/>
      <c r="Y92" s="230"/>
      <c r="Z92" s="154" t="s">
        <v>185</v>
      </c>
      <c r="AA92" s="230"/>
      <c r="AB92" s="230"/>
      <c r="AC92" s="230"/>
      <c r="AD92" s="230"/>
      <c r="AE92" s="230"/>
      <c r="AF92" s="230"/>
      <c r="AG92" s="230"/>
      <c r="AH92" s="230"/>
      <c r="AI92" s="230"/>
      <c r="AJ92" s="230"/>
      <c r="AK92" s="230"/>
      <c r="AL92" s="152" t="s">
        <v>64</v>
      </c>
      <c r="AM92" s="159"/>
      <c r="AN92" s="228"/>
      <c r="AO92" s="156"/>
      <c r="AP92" s="415" t="s">
        <v>380</v>
      </c>
      <c r="AQ92" s="156"/>
      <c r="AR92" s="437" t="s">
        <v>337</v>
      </c>
      <c r="AS92" s="152" t="s">
        <v>64</v>
      </c>
      <c r="AT92" s="493" t="s">
        <v>376</v>
      </c>
      <c r="AU92" s="258"/>
      <c r="AV92" s="258"/>
      <c r="AW92" s="258"/>
      <c r="AX92" s="258"/>
      <c r="AY92" s="258"/>
      <c r="AZ92" s="258"/>
      <c r="BA92" s="258"/>
      <c r="BB92" s="258"/>
      <c r="BC92" s="258"/>
      <c r="BD92" s="258"/>
      <c r="BE92" s="258"/>
      <c r="BF92" s="258"/>
      <c r="BG92" s="258"/>
      <c r="BH92" s="258"/>
      <c r="BI92" s="258"/>
      <c r="BJ92" s="258"/>
      <c r="BK92" s="258"/>
      <c r="BL92" s="258"/>
      <c r="BM92" s="258"/>
      <c r="BN92" s="258"/>
      <c r="BO92" s="258"/>
      <c r="BP92" s="258"/>
      <c r="BQ92" s="258"/>
      <c r="BR92" s="258"/>
      <c r="BS92" s="258"/>
      <c r="BT92" s="258"/>
      <c r="BU92" s="258"/>
      <c r="BV92" s="258"/>
      <c r="BW92" s="258"/>
      <c r="BX92" s="258"/>
      <c r="BY92" s="258"/>
      <c r="BZ92" s="258"/>
      <c r="CA92" s="258"/>
      <c r="CB92" s="258"/>
      <c r="CC92" s="258"/>
      <c r="CD92" s="258"/>
      <c r="CE92" s="258"/>
      <c r="CF92" s="258"/>
      <c r="CG92" s="258"/>
      <c r="CH92" s="258"/>
    </row>
    <row r="93">
      <c r="A93" s="38"/>
      <c r="B93" s="393"/>
      <c r="C93" s="393"/>
      <c r="D93" s="477" t="s">
        <v>370</v>
      </c>
      <c r="E93" s="393"/>
      <c r="F93" s="156"/>
      <c r="G93" s="393"/>
      <c r="H93" s="477" t="s">
        <v>167</v>
      </c>
      <c r="I93" s="393"/>
      <c r="J93" s="393"/>
      <c r="K93" s="477" t="s">
        <v>179</v>
      </c>
      <c r="L93" s="393"/>
      <c r="M93" s="393"/>
      <c r="N93" s="23"/>
      <c r="O93" s="385" t="s">
        <v>233</v>
      </c>
      <c r="P93" s="156"/>
      <c r="Q93" s="385" t="s">
        <v>56</v>
      </c>
      <c r="R93" s="156"/>
      <c r="S93" s="502" t="s">
        <v>381</v>
      </c>
      <c r="T93" s="495" t="s">
        <v>217</v>
      </c>
      <c r="U93" s="385" t="s">
        <v>382</v>
      </c>
      <c r="V93" s="385" t="s">
        <v>383</v>
      </c>
      <c r="W93" s="156"/>
      <c r="X93" s="154"/>
      <c r="Y93" s="230"/>
      <c r="Z93" s="23"/>
      <c r="AA93" s="230"/>
      <c r="AB93" s="230"/>
      <c r="AC93" s="230"/>
      <c r="AD93" s="230"/>
      <c r="AE93" s="230"/>
      <c r="AF93" s="230"/>
      <c r="AG93" s="230"/>
      <c r="AH93" s="230"/>
      <c r="AI93" s="230"/>
      <c r="AJ93" s="230"/>
      <c r="AK93" s="230"/>
      <c r="AL93" s="38"/>
      <c r="AM93" s="159"/>
      <c r="AN93" s="161"/>
      <c r="AO93" s="156"/>
      <c r="AP93" s="423" t="s">
        <v>384</v>
      </c>
      <c r="AQ93" s="156"/>
      <c r="AR93" s="536" t="s">
        <v>432</v>
      </c>
      <c r="AS93" s="38"/>
      <c r="AT93" s="386" t="s">
        <v>377</v>
      </c>
      <c r="AU93" s="258"/>
      <c r="AV93" s="258"/>
      <c r="AW93" s="300" t="str">
        <f t="array" ref="AW93">TEXTJOIN(" | ", 1, A94:AT94)</f>
        <v>320 | 303 | 318 | 101 | 421 | 308 | 316 | 312 | 460 | ONLINE | ONLINE | ONLINE</v>
      </c>
      <c r="AX93" s="258"/>
      <c r="AY93" s="258"/>
      <c r="AZ93" s="258"/>
      <c r="BA93" s="258"/>
      <c r="BB93" s="258"/>
      <c r="BC93" s="258"/>
      <c r="BD93" s="258"/>
      <c r="BE93" s="258"/>
      <c r="BF93" s="258"/>
      <c r="BG93" s="258"/>
      <c r="BH93" s="258"/>
      <c r="BI93" s="258"/>
      <c r="BJ93" s="258"/>
      <c r="BK93" s="258"/>
      <c r="BL93" s="258"/>
      <c r="BM93" s="258"/>
      <c r="BN93" s="258"/>
      <c r="BO93" s="258"/>
      <c r="BP93" s="258"/>
      <c r="BQ93" s="258"/>
      <c r="BR93" s="258"/>
      <c r="BS93" s="258"/>
      <c r="BT93" s="258"/>
      <c r="BU93" s="258"/>
      <c r="BV93" s="258"/>
      <c r="BW93" s="258"/>
      <c r="BX93" s="258"/>
      <c r="BY93" s="258"/>
      <c r="BZ93" s="258"/>
      <c r="CA93" s="258"/>
      <c r="CB93" s="258"/>
      <c r="CC93" s="258"/>
      <c r="CD93" s="258"/>
      <c r="CE93" s="258"/>
      <c r="CF93" s="258"/>
      <c r="CG93" s="258"/>
      <c r="CH93" s="258"/>
    </row>
    <row r="94">
      <c r="A94" s="44"/>
      <c r="B94" s="174"/>
      <c r="C94" s="174"/>
      <c r="D94" s="483">
        <v>320.0</v>
      </c>
      <c r="E94" s="174"/>
      <c r="F94" s="172"/>
      <c r="G94" s="174"/>
      <c r="H94" s="483">
        <v>303.0</v>
      </c>
      <c r="I94" s="174"/>
      <c r="J94" s="174"/>
      <c r="K94" s="483">
        <v>318.0</v>
      </c>
      <c r="L94" s="174"/>
      <c r="M94" s="174"/>
      <c r="N94" s="47"/>
      <c r="O94" s="496">
        <v>101.0</v>
      </c>
      <c r="P94" s="172"/>
      <c r="Q94" s="496">
        <v>421.0</v>
      </c>
      <c r="R94" s="172"/>
      <c r="S94" s="496">
        <v>308.0</v>
      </c>
      <c r="T94" s="497">
        <v>316.0</v>
      </c>
      <c r="U94" s="496">
        <v>312.0</v>
      </c>
      <c r="V94" s="496">
        <v>460.0</v>
      </c>
      <c r="W94" s="172"/>
      <c r="X94" s="457"/>
      <c r="Y94" s="243"/>
      <c r="Z94" s="47"/>
      <c r="AA94" s="243"/>
      <c r="AB94" s="243"/>
      <c r="AC94" s="243"/>
      <c r="AD94" s="243"/>
      <c r="AE94" s="243"/>
      <c r="AF94" s="243"/>
      <c r="AG94" s="243"/>
      <c r="AH94" s="243"/>
      <c r="AI94" s="243"/>
      <c r="AJ94" s="243"/>
      <c r="AK94" s="243"/>
      <c r="AL94" s="44"/>
      <c r="AM94" s="175"/>
      <c r="AN94" s="177"/>
      <c r="AO94" s="172"/>
      <c r="AP94" s="430" t="s">
        <v>137</v>
      </c>
      <c r="AQ94" s="172"/>
      <c r="AR94" s="535" t="s">
        <v>137</v>
      </c>
      <c r="AS94" s="44"/>
      <c r="AT94" s="390" t="s">
        <v>137</v>
      </c>
      <c r="AU94" s="164"/>
      <c r="AV94" s="164" t="str">
        <f>IFERROR(__xludf.DUMMYFUNCTION("TEXTJOIN("" / "", TRUE, FILTER(TO_TEXT(SPLIT($AZ$4, "" / "")), NOT(REGEXMATCH(TO_TEXT(SPLIT($AZ$4, "" / "")), ""\b"" &amp; TEXTJOIN(""|"", TRUE, SPLIT(AW94, "" / "")) &amp; ""\b""))))"),"102 / 103 / 104 / 105 / 106 / 107 / 108 / 111 / 209 / 300 / 301 / 304 / 305 / 306 / 307 / 313 / 314 / 317 / 321 / 461")</f>
        <v>102 / 103 / 104 / 105 / 106 / 107 / 108 / 111 / 209 / 300 / 301 / 304 / 305 / 306 / 307 / 313 / 314 / 317 / 321 / 461</v>
      </c>
      <c r="AW94" s="178" t="str">
        <f>IFERROR(__xludf.DUMMYFUNCTION("TEXTJOIN("" / "", 1, SORT(UNIQUE(TRANSPOSE(SPLIT(TRIM(REGEXREPLACE(AW93,""([0-9]{3}[a-zA-Z]?)|."",""$1 "")), "" "")))))"),"101 / 303 / 308 / 312 / 316 / 318 / 320 / 421 / 460")</f>
        <v>101 / 303 / 308 / 312 / 316 / 318 / 320 / 421 / 460</v>
      </c>
      <c r="AX94" s="164"/>
      <c r="AY94" s="163"/>
      <c r="AZ94" s="163"/>
      <c r="BA94" s="163"/>
      <c r="BB94" s="163"/>
      <c r="BC94" s="163"/>
      <c r="BD94" s="163"/>
      <c r="BE94" s="163"/>
      <c r="BF94" s="163"/>
      <c r="BG94" s="163"/>
      <c r="BH94" s="163"/>
      <c r="BI94" s="163"/>
      <c r="BJ94" s="163"/>
      <c r="BK94" s="163"/>
      <c r="BL94" s="163"/>
      <c r="BM94" s="163"/>
      <c r="BN94" s="163"/>
      <c r="BO94" s="163"/>
      <c r="BP94" s="163"/>
      <c r="BQ94" s="163"/>
      <c r="BR94" s="163"/>
      <c r="BS94" s="163"/>
      <c r="BT94" s="163"/>
      <c r="BU94" s="163"/>
      <c r="BV94" s="163"/>
      <c r="BW94" s="163"/>
      <c r="BX94" s="163"/>
      <c r="BY94" s="163"/>
      <c r="BZ94" s="163"/>
      <c r="CA94" s="163"/>
      <c r="CB94" s="163"/>
      <c r="CC94" s="163"/>
      <c r="CD94" s="163"/>
      <c r="CE94" s="163"/>
      <c r="CF94" s="163"/>
      <c r="CG94" s="163"/>
      <c r="CH94" s="163"/>
    </row>
    <row r="95">
      <c r="A95" s="152" t="s">
        <v>66</v>
      </c>
      <c r="B95" s="230"/>
      <c r="C95" s="230"/>
      <c r="D95" s="230"/>
      <c r="E95" s="230"/>
      <c r="F95" s="230"/>
      <c r="G95" s="230"/>
      <c r="H95" s="156"/>
      <c r="I95" s="158"/>
      <c r="J95" s="156"/>
      <c r="K95" s="158"/>
      <c r="L95" s="158"/>
      <c r="M95" s="227"/>
      <c r="N95" s="498" t="s">
        <v>191</v>
      </c>
      <c r="O95" s="156"/>
      <c r="P95" s="492" t="s">
        <v>379</v>
      </c>
      <c r="Q95" s="156"/>
      <c r="R95" s="492" t="s">
        <v>379</v>
      </c>
      <c r="S95" s="156"/>
      <c r="T95" s="492" t="s">
        <v>379</v>
      </c>
      <c r="U95" s="470" t="s">
        <v>357</v>
      </c>
      <c r="V95" s="227"/>
      <c r="W95" s="492" t="s">
        <v>379</v>
      </c>
      <c r="X95" s="158"/>
      <c r="Y95" s="230"/>
      <c r="Z95" s="154" t="s">
        <v>192</v>
      </c>
      <c r="AA95" s="230"/>
      <c r="AB95" s="230"/>
      <c r="AC95" s="230"/>
      <c r="AD95" s="230"/>
      <c r="AE95" s="230"/>
      <c r="AF95" s="230"/>
      <c r="AG95" s="230"/>
      <c r="AH95" s="227"/>
      <c r="AI95" s="156"/>
      <c r="AJ95" s="230"/>
      <c r="AK95" s="230"/>
      <c r="AL95" s="154" t="s">
        <v>66</v>
      </c>
      <c r="AM95" s="156"/>
      <c r="AN95" s="156"/>
      <c r="AO95" s="228"/>
      <c r="AP95" s="156"/>
      <c r="AQ95" s="228"/>
      <c r="AR95" s="437" t="s">
        <v>337</v>
      </c>
      <c r="AS95" s="152" t="s">
        <v>66</v>
      </c>
      <c r="AT95" s="330" t="s">
        <v>266</v>
      </c>
      <c r="AU95" s="258"/>
      <c r="AV95" s="258"/>
      <c r="AW95" s="258"/>
      <c r="AX95" s="258"/>
      <c r="AY95" s="258"/>
      <c r="AZ95" s="258"/>
      <c r="BA95" s="258"/>
      <c r="BB95" s="258"/>
      <c r="BC95" s="258"/>
      <c r="BD95" s="258"/>
      <c r="BE95" s="258"/>
      <c r="BF95" s="258"/>
      <c r="BG95" s="258"/>
      <c r="BH95" s="258"/>
      <c r="BI95" s="258"/>
      <c r="BJ95" s="258"/>
      <c r="BK95" s="258"/>
      <c r="BL95" s="258"/>
      <c r="BM95" s="258"/>
      <c r="BN95" s="258"/>
      <c r="BO95" s="258"/>
      <c r="BP95" s="258"/>
      <c r="BQ95" s="258"/>
      <c r="BR95" s="258"/>
      <c r="BS95" s="258"/>
      <c r="BT95" s="258"/>
      <c r="BU95" s="258"/>
      <c r="BV95" s="258"/>
      <c r="BW95" s="258"/>
      <c r="BX95" s="258"/>
      <c r="BY95" s="258"/>
      <c r="BZ95" s="258"/>
      <c r="CA95" s="258"/>
      <c r="CB95" s="258"/>
      <c r="CC95" s="258"/>
      <c r="CD95" s="258"/>
      <c r="CE95" s="258"/>
      <c r="CF95" s="258"/>
      <c r="CG95" s="258"/>
      <c r="CH95" s="258"/>
    </row>
    <row r="96">
      <c r="A96" s="38"/>
      <c r="B96" s="230"/>
      <c r="C96" s="230"/>
      <c r="D96" s="230"/>
      <c r="E96" s="230"/>
      <c r="F96" s="230"/>
      <c r="G96" s="230"/>
      <c r="H96" s="156"/>
      <c r="I96" s="393"/>
      <c r="J96" s="156"/>
      <c r="K96" s="393"/>
      <c r="L96" s="393"/>
      <c r="M96" s="234"/>
      <c r="N96" s="38"/>
      <c r="O96" s="156"/>
      <c r="P96" s="385" t="s">
        <v>233</v>
      </c>
      <c r="Q96" s="156"/>
      <c r="R96" s="385" t="s">
        <v>381</v>
      </c>
      <c r="S96" s="156"/>
      <c r="T96" s="385" t="s">
        <v>382</v>
      </c>
      <c r="U96" s="473" t="s">
        <v>78</v>
      </c>
      <c r="V96" s="234"/>
      <c r="W96" s="502" t="s">
        <v>383</v>
      </c>
      <c r="X96" s="154"/>
      <c r="Y96" s="230"/>
      <c r="Z96" s="23"/>
      <c r="AA96" s="230"/>
      <c r="AB96" s="230"/>
      <c r="AC96" s="230"/>
      <c r="AD96" s="230"/>
      <c r="AE96" s="230"/>
      <c r="AF96" s="230"/>
      <c r="AG96" s="230"/>
      <c r="AH96" s="234"/>
      <c r="AI96" s="156"/>
      <c r="AJ96" s="230"/>
      <c r="AK96" s="230"/>
      <c r="AL96" s="23"/>
      <c r="AM96" s="156"/>
      <c r="AN96" s="156"/>
      <c r="AO96" s="161"/>
      <c r="AP96" s="156"/>
      <c r="AQ96" s="161"/>
      <c r="AR96" s="536" t="s">
        <v>432</v>
      </c>
      <c r="AS96" s="38"/>
      <c r="AT96" s="321" t="s">
        <v>254</v>
      </c>
      <c r="AU96" s="258"/>
      <c r="AV96" s="258"/>
      <c r="AW96" s="163" t="str">
        <f t="array" ref="AW96">TEXTJOIN(" | ", 1, A97:AT97)</f>
        <v>101 | 308 | 312 | 316 | 460 | ONLINE | 320 ON 21/03</v>
      </c>
      <c r="AX96" s="258"/>
      <c r="AY96" s="258"/>
      <c r="AZ96" s="258"/>
      <c r="BA96" s="258"/>
      <c r="BB96" s="258"/>
      <c r="BC96" s="258"/>
      <c r="BD96" s="258"/>
      <c r="BE96" s="258"/>
      <c r="BF96" s="258"/>
      <c r="BG96" s="258"/>
      <c r="BH96" s="258"/>
      <c r="BI96" s="258"/>
      <c r="BJ96" s="258"/>
      <c r="BK96" s="258"/>
      <c r="BL96" s="258"/>
      <c r="BM96" s="258"/>
      <c r="BN96" s="258"/>
      <c r="BO96" s="258"/>
      <c r="BP96" s="258"/>
      <c r="BQ96" s="258"/>
      <c r="BR96" s="258"/>
      <c r="BS96" s="258"/>
      <c r="BT96" s="258"/>
      <c r="BU96" s="258"/>
      <c r="BV96" s="258"/>
      <c r="BW96" s="258"/>
      <c r="BX96" s="258"/>
      <c r="BY96" s="258"/>
      <c r="BZ96" s="258"/>
      <c r="CA96" s="258"/>
      <c r="CB96" s="258"/>
      <c r="CC96" s="258"/>
      <c r="CD96" s="258"/>
      <c r="CE96" s="258"/>
      <c r="CF96" s="258"/>
      <c r="CG96" s="258"/>
      <c r="CH96" s="258"/>
    </row>
    <row r="97">
      <c r="A97" s="44"/>
      <c r="B97" s="243"/>
      <c r="C97" s="243"/>
      <c r="D97" s="243"/>
      <c r="E97" s="243"/>
      <c r="F97" s="243"/>
      <c r="G97" s="243"/>
      <c r="H97" s="172"/>
      <c r="I97" s="174"/>
      <c r="J97" s="172"/>
      <c r="K97" s="174"/>
      <c r="L97" s="174"/>
      <c r="M97" s="240"/>
      <c r="N97" s="44"/>
      <c r="O97" s="172"/>
      <c r="P97" s="496">
        <v>101.0</v>
      </c>
      <c r="Q97" s="172"/>
      <c r="R97" s="496">
        <v>308.0</v>
      </c>
      <c r="S97" s="172"/>
      <c r="T97" s="496">
        <v>312.0</v>
      </c>
      <c r="U97" s="503">
        <v>316.0</v>
      </c>
      <c r="V97" s="240"/>
      <c r="W97" s="496">
        <v>460.0</v>
      </c>
      <c r="X97" s="457"/>
      <c r="Y97" s="243"/>
      <c r="Z97" s="47"/>
      <c r="AA97" s="243"/>
      <c r="AB97" s="243"/>
      <c r="AC97" s="243"/>
      <c r="AD97" s="243"/>
      <c r="AE97" s="243"/>
      <c r="AF97" s="243"/>
      <c r="AG97" s="243"/>
      <c r="AH97" s="240"/>
      <c r="AI97" s="172"/>
      <c r="AJ97" s="243"/>
      <c r="AK97" s="243"/>
      <c r="AL97" s="47"/>
      <c r="AM97" s="172"/>
      <c r="AN97" s="172"/>
      <c r="AO97" s="177"/>
      <c r="AP97" s="172"/>
      <c r="AQ97" s="177"/>
      <c r="AR97" s="535" t="s">
        <v>137</v>
      </c>
      <c r="AS97" s="44"/>
      <c r="AT97" s="266" t="s">
        <v>433</v>
      </c>
      <c r="AU97" s="164"/>
      <c r="AV97" s="164" t="str">
        <f>IFERROR(__xludf.DUMMYFUNCTION("TEXTJOIN("" / "", TRUE, FILTER(TO_TEXT(SPLIT($AZ$4, "" / "")), NOT(REGEXMATCH(TO_TEXT(SPLIT($AZ$4, "" / "")), ""\b"" &amp; TEXTJOIN(""|"", TRUE, SPLIT(AW97, "" / "")) &amp; ""\b""))))"),"102 / 103 / 104 / 105 / 106 / 107 / 108 / 111 / 209 / 300 / 301 / 303 / 304 / 305 / 306 / 307 / 313 / 314 / 317 / 318 / 321 / 421 / 461")</f>
        <v>102 / 103 / 104 / 105 / 106 / 107 / 108 / 111 / 209 / 300 / 301 / 303 / 304 / 305 / 306 / 307 / 313 / 314 / 317 / 318 / 321 / 421 / 461</v>
      </c>
      <c r="AW97" s="178" t="str">
        <f>IFERROR(__xludf.DUMMYFUNCTION("TEXTJOIN("" / "", 1, SORT(UNIQUE(TRANSPOSE(SPLIT(TRIM(REGEXREPLACE(AW96,""([0-9]{3}[a-zA-Z]?)|."",""$1 "")), "" "")))))"),"101 / 308 / 312 / 316 / 320 / 460")</f>
        <v>101 / 308 / 312 / 316 / 320 / 460</v>
      </c>
      <c r="AX97" s="163"/>
      <c r="AY97" s="163"/>
      <c r="AZ97" s="163"/>
      <c r="BA97" s="163"/>
      <c r="BB97" s="163"/>
      <c r="BC97" s="163"/>
      <c r="BD97" s="163"/>
      <c r="BE97" s="163"/>
      <c r="BF97" s="163"/>
      <c r="BG97" s="163"/>
      <c r="BH97" s="163"/>
      <c r="BI97" s="163"/>
      <c r="BJ97" s="163"/>
      <c r="BK97" s="163"/>
      <c r="BL97" s="163"/>
      <c r="BM97" s="163"/>
      <c r="BN97" s="163"/>
      <c r="BO97" s="163"/>
      <c r="BP97" s="163"/>
      <c r="BQ97" s="163"/>
      <c r="BR97" s="163"/>
      <c r="BS97" s="163"/>
      <c r="BT97" s="163"/>
      <c r="BU97" s="163"/>
      <c r="BV97" s="163"/>
      <c r="BW97" s="163"/>
      <c r="BX97" s="163"/>
      <c r="BY97" s="163"/>
      <c r="BZ97" s="163"/>
      <c r="CA97" s="163"/>
      <c r="CB97" s="163"/>
      <c r="CC97" s="163"/>
      <c r="CD97" s="163"/>
      <c r="CE97" s="163"/>
      <c r="CF97" s="163"/>
      <c r="CG97" s="163"/>
      <c r="CH97" s="163"/>
    </row>
    <row r="98">
      <c r="A98" s="147" t="s">
        <v>103</v>
      </c>
      <c r="B98" s="148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7"/>
      <c r="N98" s="149" t="s">
        <v>103</v>
      </c>
      <c r="O98" s="148"/>
      <c r="P98" s="46"/>
      <c r="Q98" s="46"/>
      <c r="R98" s="46"/>
      <c r="S98" s="46"/>
      <c r="T98" s="46"/>
      <c r="U98" s="46"/>
      <c r="V98" s="46"/>
      <c r="W98" s="46"/>
      <c r="X98" s="46"/>
      <c r="Y98" s="47"/>
      <c r="Z98" s="149" t="s">
        <v>103</v>
      </c>
      <c r="AA98" s="148"/>
      <c r="AB98" s="46"/>
      <c r="AC98" s="46"/>
      <c r="AD98" s="46"/>
      <c r="AE98" s="46"/>
      <c r="AF98" s="46"/>
      <c r="AG98" s="46"/>
      <c r="AH98" s="46"/>
      <c r="AI98" s="46"/>
      <c r="AJ98" s="46"/>
      <c r="AK98" s="47"/>
      <c r="AL98" s="149" t="s">
        <v>103</v>
      </c>
      <c r="AM98" s="148"/>
      <c r="AN98" s="46"/>
      <c r="AO98" s="46"/>
      <c r="AP98" s="46"/>
      <c r="AQ98" s="46"/>
      <c r="AR98" s="47"/>
      <c r="AS98" s="149" t="s">
        <v>103</v>
      </c>
      <c r="AT98" s="326"/>
      <c r="AU98" s="151"/>
      <c r="AV98" s="151"/>
      <c r="AW98" s="151"/>
      <c r="AX98" s="151"/>
      <c r="AY98" s="151"/>
      <c r="AZ98" s="151"/>
      <c r="BA98" s="151"/>
      <c r="BB98" s="151"/>
      <c r="BC98" s="151"/>
      <c r="BD98" s="151"/>
      <c r="BE98" s="151"/>
      <c r="BF98" s="151"/>
      <c r="BG98" s="151"/>
      <c r="BH98" s="151"/>
      <c r="BI98" s="151"/>
      <c r="BJ98" s="151"/>
      <c r="BK98" s="151"/>
      <c r="BL98" s="151"/>
      <c r="BM98" s="151"/>
      <c r="BN98" s="151"/>
      <c r="BO98" s="151"/>
      <c r="BP98" s="151"/>
      <c r="BQ98" s="151"/>
      <c r="BR98" s="151"/>
      <c r="BS98" s="151"/>
      <c r="BT98" s="151"/>
      <c r="BU98" s="151"/>
      <c r="BV98" s="151"/>
      <c r="BW98" s="151"/>
      <c r="BX98" s="151"/>
      <c r="BY98" s="151"/>
      <c r="BZ98" s="151"/>
      <c r="CA98" s="151"/>
      <c r="CB98" s="151"/>
      <c r="CC98" s="151"/>
      <c r="CD98" s="151"/>
      <c r="CE98" s="151"/>
      <c r="CF98" s="151"/>
      <c r="CG98" s="151"/>
      <c r="CH98" s="151"/>
    </row>
    <row r="99">
      <c r="A99" s="152" t="s">
        <v>39</v>
      </c>
      <c r="B99" s="396" t="s">
        <v>85</v>
      </c>
      <c r="M99" s="23"/>
      <c r="N99" s="154" t="s">
        <v>128</v>
      </c>
      <c r="O99" s="396" t="s">
        <v>85</v>
      </c>
      <c r="Y99" s="23"/>
      <c r="Z99" s="154" t="s">
        <v>130</v>
      </c>
      <c r="AA99" s="396" t="s">
        <v>85</v>
      </c>
      <c r="AK99" s="23"/>
      <c r="AL99" s="154" t="s">
        <v>39</v>
      </c>
      <c r="AM99" s="156"/>
      <c r="AN99" s="156"/>
      <c r="AO99" s="156"/>
      <c r="AP99" s="156"/>
      <c r="AQ99" s="156"/>
      <c r="AR99" s="156"/>
      <c r="AS99" s="152" t="s">
        <v>39</v>
      </c>
      <c r="AT99" s="330" t="s">
        <v>266</v>
      </c>
      <c r="AU99" s="258"/>
      <c r="AV99" s="258"/>
      <c r="AW99" s="258"/>
      <c r="AX99" s="258"/>
      <c r="AY99" s="258"/>
      <c r="AZ99" s="258"/>
      <c r="BA99" s="258"/>
      <c r="BB99" s="258"/>
      <c r="BC99" s="258"/>
      <c r="BD99" s="258"/>
      <c r="BE99" s="258"/>
      <c r="BF99" s="258"/>
      <c r="BG99" s="258"/>
      <c r="BH99" s="258"/>
      <c r="BI99" s="258"/>
      <c r="BJ99" s="258"/>
      <c r="BK99" s="258"/>
      <c r="BL99" s="258"/>
      <c r="BM99" s="258"/>
      <c r="BN99" s="258"/>
      <c r="BO99" s="258"/>
      <c r="BP99" s="258"/>
      <c r="BQ99" s="258"/>
      <c r="BR99" s="258"/>
      <c r="BS99" s="258"/>
      <c r="BT99" s="258"/>
      <c r="BU99" s="258"/>
      <c r="BV99" s="258"/>
      <c r="BW99" s="258"/>
      <c r="BX99" s="258"/>
      <c r="BY99" s="258"/>
      <c r="BZ99" s="258"/>
      <c r="CA99" s="258"/>
      <c r="CB99" s="258"/>
      <c r="CC99" s="258"/>
      <c r="CD99" s="258"/>
      <c r="CE99" s="258"/>
      <c r="CF99" s="258"/>
      <c r="CG99" s="258"/>
      <c r="CH99" s="258"/>
    </row>
    <row r="100">
      <c r="A100" s="38"/>
      <c r="M100" s="23"/>
      <c r="N100" s="23"/>
      <c r="Y100" s="23"/>
      <c r="Z100" s="23"/>
      <c r="AK100" s="23"/>
      <c r="AL100" s="23"/>
      <c r="AM100" s="156"/>
      <c r="AN100" s="156"/>
      <c r="AO100" s="156"/>
      <c r="AP100" s="156"/>
      <c r="AQ100" s="156"/>
      <c r="AR100" s="156"/>
      <c r="AS100" s="38"/>
      <c r="AT100" s="321" t="s">
        <v>254</v>
      </c>
      <c r="AU100" s="258"/>
      <c r="AV100" s="258"/>
      <c r="AW100" s="163" t="str">
        <f t="array" ref="AW100">TEXTJOIN(" | ", 1, A101:AT101)</f>
        <v>101 ON 22/03</v>
      </c>
      <c r="AX100" s="164"/>
      <c r="AY100" s="258"/>
      <c r="AZ100" s="258"/>
      <c r="BA100" s="258"/>
      <c r="BB100" s="258"/>
      <c r="BC100" s="258"/>
      <c r="BD100" s="258"/>
      <c r="BE100" s="258"/>
      <c r="BF100" s="258"/>
      <c r="BG100" s="258"/>
      <c r="BH100" s="258"/>
      <c r="BI100" s="258"/>
      <c r="BJ100" s="258"/>
      <c r="BK100" s="258"/>
      <c r="BL100" s="258"/>
      <c r="BM100" s="258"/>
      <c r="BN100" s="258"/>
      <c r="BO100" s="258"/>
      <c r="BP100" s="258"/>
      <c r="BQ100" s="258"/>
      <c r="BR100" s="258"/>
      <c r="BS100" s="258"/>
      <c r="BT100" s="258"/>
      <c r="BU100" s="258"/>
      <c r="BV100" s="258"/>
      <c r="BW100" s="258"/>
      <c r="BX100" s="258"/>
      <c r="BY100" s="258"/>
      <c r="BZ100" s="258"/>
      <c r="CA100" s="258"/>
      <c r="CB100" s="258"/>
      <c r="CC100" s="258"/>
      <c r="CD100" s="258"/>
      <c r="CE100" s="258"/>
      <c r="CF100" s="258"/>
      <c r="CG100" s="258"/>
      <c r="CH100" s="258"/>
    </row>
    <row r="101">
      <c r="A101" s="44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7"/>
      <c r="N101" s="47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7"/>
      <c r="Z101" s="47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7"/>
      <c r="AL101" s="47"/>
      <c r="AM101" s="172"/>
      <c r="AN101" s="172"/>
      <c r="AO101" s="172"/>
      <c r="AP101" s="172"/>
      <c r="AQ101" s="172"/>
      <c r="AR101" s="172"/>
      <c r="AS101" s="44"/>
      <c r="AT101" s="266" t="s">
        <v>434</v>
      </c>
      <c r="AU101" s="164"/>
      <c r="AV101" s="164" t="str">
        <f>IFERROR(__xludf.DUMMYFUNCTION("TEXTJOIN("" / "", TRUE, FILTER(TO_TEXT(SPLIT($AZ$4, "" / "")), NOT(REGEXMATCH(TO_TEXT(SPLIT($AZ$4, "" / "")), ""\b"" &amp; TEXTJOIN(""|"", TRUE, SPLIT(AW101, "" / "")) &amp; ""\b""))))"),"102 / 103 / 104 / 105 / 106 / 107 / 108 / 111 / 209 / 300 / 301 / 303 / 304 / 305 / 306 / 307 / 308 / 312 / 313 / 314 / 316 / 317 / 318 / 320 / 321 / 421 / 460 / 461")</f>
        <v>102 / 103 / 104 / 105 / 106 / 107 / 108 / 111 / 209 / 300 / 301 / 303 / 304 / 305 / 306 / 307 / 308 / 312 / 313 / 314 / 316 / 317 / 318 / 320 / 321 / 421 / 460 / 461</v>
      </c>
      <c r="AW101" s="178" t="str">
        <f>IFERROR(__xludf.DUMMYFUNCTION("TEXTJOIN("" / "", 1, SORT(UNIQUE(TRANSPOSE(SPLIT(TRIM(REGEXREPLACE(AW100,""([0-9]{3}[a-zA-Z]?)|."",""$1 "")), "" "")))))"),"101")</f>
        <v>101</v>
      </c>
      <c r="AX101" s="164"/>
      <c r="AY101" s="163"/>
      <c r="AZ101" s="163"/>
      <c r="BA101" s="163"/>
      <c r="BB101" s="163"/>
      <c r="BC101" s="163"/>
      <c r="BD101" s="163"/>
      <c r="BE101" s="163"/>
      <c r="BF101" s="163"/>
      <c r="BG101" s="163"/>
      <c r="BH101" s="163"/>
      <c r="BI101" s="163"/>
      <c r="BJ101" s="163"/>
      <c r="BK101" s="163"/>
      <c r="BL101" s="163"/>
      <c r="BM101" s="163"/>
      <c r="BN101" s="163"/>
      <c r="BO101" s="163"/>
      <c r="BP101" s="163"/>
      <c r="BQ101" s="163"/>
      <c r="BR101" s="163"/>
      <c r="BS101" s="163"/>
      <c r="BT101" s="163"/>
      <c r="BU101" s="163"/>
      <c r="BV101" s="163"/>
      <c r="BW101" s="163"/>
      <c r="BX101" s="163"/>
      <c r="BY101" s="163"/>
      <c r="BZ101" s="163"/>
      <c r="CA101" s="163"/>
      <c r="CB101" s="163"/>
      <c r="CC101" s="163"/>
      <c r="CD101" s="163"/>
      <c r="CE101" s="163"/>
      <c r="CF101" s="163"/>
      <c r="CG101" s="163"/>
      <c r="CH101" s="163"/>
    </row>
    <row r="102">
      <c r="A102" s="152" t="s">
        <v>49</v>
      </c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154" t="s">
        <v>139</v>
      </c>
      <c r="O102" s="156"/>
      <c r="P102" s="156"/>
      <c r="Q102" s="156"/>
      <c r="R102" s="156"/>
      <c r="S102" s="156"/>
      <c r="T102" s="156"/>
      <c r="U102" s="156"/>
      <c r="V102" s="156"/>
      <c r="W102" s="156"/>
      <c r="X102" s="434" t="s">
        <v>332</v>
      </c>
      <c r="Y102" s="505"/>
      <c r="Z102" s="154" t="s">
        <v>145</v>
      </c>
      <c r="AA102" s="156"/>
      <c r="AB102" s="156"/>
      <c r="AC102" s="156"/>
      <c r="AD102" s="506" t="s">
        <v>386</v>
      </c>
      <c r="AE102" s="23"/>
      <c r="AF102" s="156"/>
      <c r="AG102" s="156"/>
      <c r="AH102" s="156"/>
      <c r="AI102" s="156"/>
      <c r="AJ102" s="156"/>
      <c r="AK102" s="524" t="s">
        <v>435</v>
      </c>
      <c r="AL102" s="154" t="s">
        <v>49</v>
      </c>
      <c r="AM102" s="156"/>
      <c r="AN102" s="156"/>
      <c r="AO102" s="156"/>
      <c r="AP102" s="516" t="s">
        <v>436</v>
      </c>
      <c r="AQ102" s="392" t="s">
        <v>308</v>
      </c>
      <c r="AR102" s="507"/>
      <c r="AS102" s="152" t="s">
        <v>49</v>
      </c>
      <c r="AT102" s="330" t="s">
        <v>266</v>
      </c>
      <c r="AU102" s="508"/>
      <c r="AV102" s="508"/>
      <c r="AW102" s="258"/>
      <c r="AX102" s="258"/>
      <c r="AY102" s="258"/>
      <c r="AZ102" s="258"/>
      <c r="BA102" s="258"/>
      <c r="BB102" s="258"/>
      <c r="BC102" s="258"/>
      <c r="BD102" s="258"/>
      <c r="BE102" s="258"/>
      <c r="BF102" s="258"/>
      <c r="BG102" s="258"/>
      <c r="BH102" s="258"/>
      <c r="BI102" s="258"/>
      <c r="BJ102" s="258"/>
      <c r="BK102" s="258"/>
      <c r="BL102" s="258"/>
      <c r="BM102" s="258"/>
      <c r="BN102" s="258"/>
      <c r="BO102" s="258"/>
      <c r="BP102" s="258"/>
      <c r="BQ102" s="258"/>
      <c r="BR102" s="258"/>
      <c r="BS102" s="258"/>
      <c r="BT102" s="258"/>
      <c r="BU102" s="258"/>
      <c r="BV102" s="258"/>
      <c r="BW102" s="258"/>
      <c r="BX102" s="258"/>
      <c r="BY102" s="258"/>
      <c r="BZ102" s="258"/>
      <c r="CA102" s="258"/>
      <c r="CB102" s="258"/>
      <c r="CC102" s="258"/>
      <c r="CD102" s="258"/>
      <c r="CE102" s="258"/>
      <c r="CF102" s="258"/>
      <c r="CG102" s="258"/>
      <c r="CH102" s="258"/>
    </row>
    <row r="103">
      <c r="A103" s="38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23"/>
      <c r="O103" s="156"/>
      <c r="P103" s="156"/>
      <c r="Q103" s="156"/>
      <c r="R103" s="156"/>
      <c r="S103" s="156"/>
      <c r="T103" s="156"/>
      <c r="U103" s="156"/>
      <c r="V103" s="156"/>
      <c r="W103" s="156"/>
      <c r="X103" s="438" t="s">
        <v>339</v>
      </c>
      <c r="Y103" s="156"/>
      <c r="Z103" s="23"/>
      <c r="AA103" s="156"/>
      <c r="AB103" s="156"/>
      <c r="AC103" s="156"/>
      <c r="AD103" s="509" t="s">
        <v>387</v>
      </c>
      <c r="AE103" s="23"/>
      <c r="AF103" s="156"/>
      <c r="AG103" s="156"/>
      <c r="AH103" s="156"/>
      <c r="AI103" s="156"/>
      <c r="AJ103" s="156"/>
      <c r="AK103" s="537" t="s">
        <v>361</v>
      </c>
      <c r="AL103" s="23"/>
      <c r="AM103" s="156"/>
      <c r="AN103" s="156"/>
      <c r="AO103" s="156"/>
      <c r="AP103" s="518" t="s">
        <v>437</v>
      </c>
      <c r="AQ103" s="192" t="s">
        <v>310</v>
      </c>
      <c r="AR103" s="298"/>
      <c r="AS103" s="38"/>
      <c r="AT103" s="321" t="s">
        <v>254</v>
      </c>
      <c r="AU103" s="508"/>
      <c r="AV103" s="508"/>
      <c r="AW103" s="163" t="str">
        <f t="array" ref="AW103">TEXTJOIN(" | ", 1, A104:AT104)</f>
        <v>304 ON 08/02, 01/03, 22/03 | 105 ON 15/03, 22/03, 5/04, 12/04, 19/04 (ONLINE ON 26/04) | 301 | 303 | 316 STARTS ON 15/03 STARTS AT 11:10 | 101 ON 22/03</v>
      </c>
      <c r="AX103" s="258"/>
      <c r="AY103" s="258"/>
      <c r="AZ103" s="258"/>
      <c r="BA103" s="258"/>
      <c r="BB103" s="258"/>
      <c r="BC103" s="258"/>
      <c r="BD103" s="258"/>
      <c r="BE103" s="258"/>
      <c r="BF103" s="258"/>
      <c r="BG103" s="258"/>
      <c r="BH103" s="258"/>
      <c r="BI103" s="258"/>
      <c r="BJ103" s="258"/>
      <c r="BK103" s="258"/>
      <c r="BL103" s="258"/>
      <c r="BM103" s="258"/>
      <c r="BN103" s="258"/>
      <c r="BO103" s="258"/>
      <c r="BP103" s="258"/>
      <c r="BQ103" s="258"/>
      <c r="BR103" s="258"/>
      <c r="BS103" s="258"/>
      <c r="BT103" s="258"/>
      <c r="BU103" s="258"/>
      <c r="BV103" s="258"/>
      <c r="BW103" s="258"/>
      <c r="BX103" s="258"/>
      <c r="BY103" s="258"/>
      <c r="BZ103" s="258"/>
      <c r="CA103" s="258"/>
      <c r="CB103" s="258"/>
      <c r="CC103" s="258"/>
      <c r="CD103" s="258"/>
      <c r="CE103" s="258"/>
      <c r="CF103" s="258"/>
      <c r="CG103" s="258"/>
      <c r="CH103" s="258"/>
    </row>
    <row r="104">
      <c r="A104" s="44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47"/>
      <c r="O104" s="172"/>
      <c r="P104" s="172"/>
      <c r="Q104" s="172"/>
      <c r="R104" s="172"/>
      <c r="S104" s="172"/>
      <c r="T104" s="172"/>
      <c r="U104" s="172"/>
      <c r="V104" s="172"/>
      <c r="W104" s="172"/>
      <c r="X104" s="443" t="s">
        <v>438</v>
      </c>
      <c r="Y104" s="172"/>
      <c r="Z104" s="47"/>
      <c r="AA104" s="172"/>
      <c r="AB104" s="172"/>
      <c r="AC104" s="172"/>
      <c r="AD104" s="510" t="s">
        <v>439</v>
      </c>
      <c r="AE104" s="47"/>
      <c r="AF104" s="172"/>
      <c r="AG104" s="172"/>
      <c r="AH104" s="172"/>
      <c r="AI104" s="172"/>
      <c r="AJ104" s="172"/>
      <c r="AK104" s="304">
        <v>301.0</v>
      </c>
      <c r="AL104" s="47"/>
      <c r="AM104" s="172"/>
      <c r="AN104" s="172"/>
      <c r="AO104" s="172"/>
      <c r="AP104" s="538">
        <v>303.0</v>
      </c>
      <c r="AQ104" s="395" t="s">
        <v>440</v>
      </c>
      <c r="AR104" s="355"/>
      <c r="AS104" s="44"/>
      <c r="AT104" s="266" t="s">
        <v>434</v>
      </c>
      <c r="AU104" s="164"/>
      <c r="AV104" s="164" t="str">
        <f>IFERROR(__xludf.DUMMYFUNCTION("TEXTJOIN("" / "", TRUE, FILTER(TO_TEXT(SPLIT($AZ$4, "" / "")), NOT(REGEXMATCH(TO_TEXT(SPLIT($AZ$4, "" / "")), ""\b"" &amp; TEXTJOIN(""|"", TRUE, SPLIT(AW104, "" / "")) &amp; ""\b""))))"),"102 / 103 / 104 / 106 / 107 / 108 / 111 / 209 / 300 / 305 / 306 / 307 / 308 / 312 / 313 / 314 / 317 / 318 / 320 / 321 / 421 / 460 / 461")</f>
        <v>102 / 103 / 104 / 106 / 107 / 108 / 111 / 209 / 300 / 305 / 306 / 307 / 308 / 312 / 313 / 314 / 317 / 318 / 320 / 321 / 421 / 460 / 461</v>
      </c>
      <c r="AW104" s="178" t="str">
        <f>IFERROR(__xludf.DUMMYFUNCTION("TEXTJOIN("" / "", 1, SORT(UNIQUE(TRANSPOSE(SPLIT(TRIM(REGEXREPLACE(AW103,""([0-9]{3}[a-zA-Z]?)|."",""$1 "")), "" "")))))"),"101 / 105 / 301 / 303 / 304 / 316")</f>
        <v>101 / 105 / 301 / 303 / 304 / 316</v>
      </c>
      <c r="AX104" s="164"/>
      <c r="AY104" s="163"/>
      <c r="AZ104" s="163"/>
      <c r="BA104" s="163"/>
      <c r="BB104" s="163"/>
      <c r="BC104" s="163"/>
      <c r="BD104" s="163"/>
      <c r="BE104" s="163"/>
      <c r="BF104" s="163"/>
      <c r="BG104" s="163"/>
      <c r="BH104" s="163"/>
      <c r="BI104" s="163"/>
      <c r="BJ104" s="163"/>
      <c r="BK104" s="163"/>
      <c r="BL104" s="163"/>
      <c r="BM104" s="163"/>
      <c r="BN104" s="163"/>
      <c r="BO104" s="163"/>
      <c r="BP104" s="163"/>
      <c r="BQ104" s="163"/>
      <c r="BR104" s="163"/>
      <c r="BS104" s="163"/>
      <c r="BT104" s="163"/>
      <c r="BU104" s="163"/>
      <c r="BV104" s="163"/>
      <c r="BW104" s="163"/>
      <c r="BX104" s="163"/>
      <c r="BY104" s="163"/>
      <c r="BZ104" s="163"/>
      <c r="CA104" s="163"/>
      <c r="CB104" s="163"/>
      <c r="CC104" s="163"/>
      <c r="CD104" s="163"/>
      <c r="CE104" s="163"/>
      <c r="CF104" s="163"/>
      <c r="CG104" s="163"/>
      <c r="CH104" s="163"/>
    </row>
    <row r="105">
      <c r="A105" s="152" t="s">
        <v>51</v>
      </c>
      <c r="B105" s="230"/>
      <c r="C105" s="230"/>
      <c r="D105" s="230"/>
      <c r="E105" s="230"/>
      <c r="F105" s="230"/>
      <c r="G105" s="230"/>
      <c r="H105" s="156"/>
      <c r="I105" s="158"/>
      <c r="J105" s="156"/>
      <c r="K105" s="158"/>
      <c r="L105" s="156"/>
      <c r="M105" s="156"/>
      <c r="N105" s="154" t="s">
        <v>158</v>
      </c>
      <c r="O105" s="156"/>
      <c r="P105" s="156"/>
      <c r="Q105" s="156"/>
      <c r="R105" s="156"/>
      <c r="S105" s="156"/>
      <c r="T105" s="156"/>
      <c r="U105" s="156"/>
      <c r="V105" s="156"/>
      <c r="W105" s="156"/>
      <c r="X105" s="434" t="s">
        <v>332</v>
      </c>
      <c r="Y105" s="156"/>
      <c r="Z105" s="154" t="s">
        <v>162</v>
      </c>
      <c r="AA105" s="156"/>
      <c r="AB105" s="156"/>
      <c r="AC105" s="156"/>
      <c r="AD105" s="506" t="s">
        <v>386</v>
      </c>
      <c r="AE105" s="23"/>
      <c r="AF105" s="156"/>
      <c r="AG105" s="156"/>
      <c r="AH105" s="156"/>
      <c r="AI105" s="156"/>
      <c r="AJ105" s="156"/>
      <c r="AK105" s="524" t="s">
        <v>435</v>
      </c>
      <c r="AL105" s="154" t="s">
        <v>51</v>
      </c>
      <c r="AM105" s="156"/>
      <c r="AN105" s="156"/>
      <c r="AO105" s="156"/>
      <c r="AP105" s="516" t="s">
        <v>436</v>
      </c>
      <c r="AQ105" s="156"/>
      <c r="AR105" s="237"/>
      <c r="AS105" s="152" t="s">
        <v>51</v>
      </c>
      <c r="AT105" s="161"/>
      <c r="AU105" s="258"/>
      <c r="AV105" s="258"/>
      <c r="AW105" s="258"/>
      <c r="AX105" s="258"/>
      <c r="AY105" s="258"/>
      <c r="AZ105" s="258"/>
      <c r="BA105" s="258"/>
      <c r="BB105" s="258"/>
      <c r="BC105" s="258"/>
      <c r="BD105" s="258"/>
      <c r="BE105" s="258"/>
      <c r="BF105" s="258"/>
      <c r="BG105" s="258"/>
      <c r="BH105" s="258"/>
      <c r="BI105" s="258"/>
      <c r="BJ105" s="258"/>
      <c r="BK105" s="258"/>
      <c r="BL105" s="258"/>
      <c r="BM105" s="258"/>
      <c r="BN105" s="258"/>
      <c r="BO105" s="258"/>
      <c r="BP105" s="258"/>
      <c r="BQ105" s="258"/>
      <c r="BR105" s="258"/>
      <c r="BS105" s="258"/>
      <c r="BT105" s="258"/>
      <c r="BU105" s="258"/>
      <c r="BV105" s="258"/>
      <c r="BW105" s="258"/>
      <c r="BX105" s="258"/>
      <c r="BY105" s="258"/>
      <c r="BZ105" s="258"/>
      <c r="CA105" s="258"/>
      <c r="CB105" s="258"/>
      <c r="CC105" s="258"/>
      <c r="CD105" s="258"/>
      <c r="CE105" s="258"/>
      <c r="CF105" s="258"/>
      <c r="CG105" s="258"/>
      <c r="CH105" s="258"/>
    </row>
    <row r="106">
      <c r="A106" s="38"/>
      <c r="B106" s="230"/>
      <c r="C106" s="230"/>
      <c r="D106" s="230"/>
      <c r="E106" s="230"/>
      <c r="F106" s="230"/>
      <c r="G106" s="230"/>
      <c r="H106" s="156"/>
      <c r="I106" s="393"/>
      <c r="J106" s="156"/>
      <c r="K106" s="393"/>
      <c r="L106" s="156"/>
      <c r="M106" s="156"/>
      <c r="N106" s="23"/>
      <c r="O106" s="156"/>
      <c r="P106" s="156"/>
      <c r="Q106" s="156"/>
      <c r="R106" s="156"/>
      <c r="S106" s="156"/>
      <c r="T106" s="156"/>
      <c r="U106" s="156"/>
      <c r="V106" s="156"/>
      <c r="W106" s="156"/>
      <c r="X106" s="438" t="s">
        <v>339</v>
      </c>
      <c r="Y106" s="156"/>
      <c r="Z106" s="23"/>
      <c r="AA106" s="156"/>
      <c r="AB106" s="156"/>
      <c r="AC106" s="156"/>
      <c r="AD106" s="509" t="s">
        <v>387</v>
      </c>
      <c r="AE106" s="23"/>
      <c r="AF106" s="156"/>
      <c r="AG106" s="156"/>
      <c r="AH106" s="156"/>
      <c r="AI106" s="156"/>
      <c r="AJ106" s="156"/>
      <c r="AK106" s="539" t="s">
        <v>361</v>
      </c>
      <c r="AL106" s="23"/>
      <c r="AM106" s="156"/>
      <c r="AN106" s="156"/>
      <c r="AO106" s="156"/>
      <c r="AP106" s="518" t="s">
        <v>437</v>
      </c>
      <c r="AQ106" s="156"/>
      <c r="AR106" s="237"/>
      <c r="AS106" s="38"/>
      <c r="AT106" s="161"/>
      <c r="AU106" s="258"/>
      <c r="AV106" s="258"/>
      <c r="AW106" s="163" t="str">
        <f t="array" ref="AW106">TEXTJOIN(" | ", 1, A107:AT107)</f>
        <v>304 ON 08/02, 01/03, 22/03 | 105 ON 15/03, 22/03, 5/04, 12/04, 19/04 (ONLINE ON 26/04) | 301 | 303</v>
      </c>
      <c r="AX106" s="258"/>
      <c r="AY106" s="258"/>
      <c r="AZ106" s="258"/>
      <c r="BA106" s="258"/>
      <c r="BB106" s="258"/>
      <c r="BC106" s="258"/>
      <c r="BD106" s="258"/>
      <c r="BE106" s="258"/>
      <c r="BF106" s="258"/>
      <c r="BG106" s="258"/>
      <c r="BH106" s="258"/>
      <c r="BI106" s="258"/>
      <c r="BJ106" s="258"/>
      <c r="BK106" s="258"/>
      <c r="BL106" s="258"/>
      <c r="BM106" s="258"/>
      <c r="BN106" s="258"/>
      <c r="BO106" s="258"/>
      <c r="BP106" s="258"/>
      <c r="BQ106" s="258"/>
      <c r="BR106" s="258"/>
      <c r="BS106" s="258"/>
      <c r="BT106" s="258"/>
      <c r="BU106" s="258"/>
      <c r="BV106" s="258"/>
      <c r="BW106" s="258"/>
      <c r="BX106" s="258"/>
      <c r="BY106" s="258"/>
      <c r="BZ106" s="258"/>
      <c r="CA106" s="258"/>
      <c r="CB106" s="258"/>
      <c r="CC106" s="258"/>
      <c r="CD106" s="258"/>
      <c r="CE106" s="258"/>
      <c r="CF106" s="258"/>
      <c r="CG106" s="258"/>
      <c r="CH106" s="258"/>
    </row>
    <row r="107">
      <c r="A107" s="44"/>
      <c r="B107" s="243"/>
      <c r="C107" s="243"/>
      <c r="D107" s="243"/>
      <c r="E107" s="243"/>
      <c r="F107" s="243"/>
      <c r="G107" s="243"/>
      <c r="H107" s="172"/>
      <c r="I107" s="174"/>
      <c r="J107" s="172"/>
      <c r="K107" s="174"/>
      <c r="L107" s="172"/>
      <c r="M107" s="172"/>
      <c r="N107" s="47"/>
      <c r="O107" s="172"/>
      <c r="P107" s="172"/>
      <c r="Q107" s="172"/>
      <c r="R107" s="172"/>
      <c r="S107" s="172"/>
      <c r="T107" s="172"/>
      <c r="U107" s="172"/>
      <c r="V107" s="172"/>
      <c r="W107" s="172"/>
      <c r="X107" s="443" t="s">
        <v>438</v>
      </c>
      <c r="Y107" s="172"/>
      <c r="Z107" s="47"/>
      <c r="AA107" s="172"/>
      <c r="AB107" s="172"/>
      <c r="AC107" s="172"/>
      <c r="AD107" s="510" t="s">
        <v>439</v>
      </c>
      <c r="AE107" s="47"/>
      <c r="AF107" s="172"/>
      <c r="AG107" s="172"/>
      <c r="AH107" s="172"/>
      <c r="AI107" s="172"/>
      <c r="AJ107" s="172"/>
      <c r="AK107" s="304">
        <v>301.0</v>
      </c>
      <c r="AL107" s="47"/>
      <c r="AM107" s="172"/>
      <c r="AN107" s="172"/>
      <c r="AO107" s="172"/>
      <c r="AP107" s="538">
        <v>303.0</v>
      </c>
      <c r="AQ107" s="172"/>
      <c r="AR107" s="412"/>
      <c r="AS107" s="44"/>
      <c r="AT107" s="177"/>
      <c r="AU107" s="164"/>
      <c r="AV107" s="164" t="str">
        <f>IFERROR(__xludf.DUMMYFUNCTION("TEXTJOIN("" / "", TRUE, FILTER(TO_TEXT(SPLIT($AZ$4, "" / "")), NOT(REGEXMATCH(TO_TEXT(SPLIT($AZ$4, "" / "")), ""\b"" &amp; TEXTJOIN(""|"", TRUE, SPLIT(AW107, "" / "")) &amp; ""\b""))))"),"101 / 102 / 103 / 104 / 106 / 107 / 108 / 111 / 209 / 300 / 305 / 306 / 307 / 308 / 312 / 313 / 314 / 316 / 317 / 318 / 320 / 321 / 421 / 460 / 461")</f>
        <v>101 / 102 / 103 / 104 / 106 / 107 / 108 / 111 / 209 / 300 / 305 / 306 / 307 / 308 / 312 / 313 / 314 / 316 / 317 / 318 / 320 / 321 / 421 / 460 / 461</v>
      </c>
      <c r="AW107" s="178" t="str">
        <f>IFERROR(__xludf.DUMMYFUNCTION("TEXTJOIN("" / "", 1, SORT(UNIQUE(TRANSPOSE(SPLIT(TRIM(REGEXREPLACE(AW106,""([0-9]{3}[a-zA-Z]?)|."",""$1 "")), "" "")))))"),"105 / 301 / 303 / 304")</f>
        <v>105 / 301 / 303 / 304</v>
      </c>
      <c r="AX107" s="164"/>
      <c r="AY107" s="163"/>
      <c r="AZ107" s="163"/>
      <c r="BA107" s="163"/>
      <c r="BB107" s="163"/>
      <c r="BC107" s="163"/>
      <c r="BD107" s="163"/>
      <c r="BE107" s="163"/>
      <c r="BF107" s="163"/>
      <c r="BG107" s="163"/>
      <c r="BH107" s="163"/>
      <c r="BI107" s="163"/>
      <c r="BJ107" s="163"/>
      <c r="BK107" s="163"/>
      <c r="BL107" s="163"/>
      <c r="BM107" s="163"/>
      <c r="BN107" s="163"/>
      <c r="BO107" s="163"/>
      <c r="BP107" s="163"/>
      <c r="BQ107" s="163"/>
      <c r="BR107" s="163"/>
      <c r="BS107" s="163"/>
      <c r="BT107" s="163"/>
      <c r="BU107" s="163"/>
      <c r="BV107" s="163"/>
      <c r="BW107" s="163"/>
      <c r="BX107" s="163"/>
      <c r="BY107" s="163"/>
      <c r="BZ107" s="163"/>
      <c r="CA107" s="163"/>
      <c r="CB107" s="163"/>
      <c r="CC107" s="163"/>
      <c r="CD107" s="163"/>
      <c r="CE107" s="163"/>
      <c r="CF107" s="163"/>
      <c r="CG107" s="163"/>
      <c r="CH107" s="163"/>
    </row>
    <row r="108">
      <c r="A108" s="152" t="s">
        <v>59</v>
      </c>
      <c r="B108" s="230"/>
      <c r="C108" s="230"/>
      <c r="D108" s="230"/>
      <c r="E108" s="230"/>
      <c r="F108" s="230"/>
      <c r="G108" s="230"/>
      <c r="H108" s="156"/>
      <c r="I108" s="158"/>
      <c r="J108" s="156"/>
      <c r="K108" s="158"/>
      <c r="L108" s="156"/>
      <c r="M108" s="156"/>
      <c r="N108" s="154" t="s">
        <v>172</v>
      </c>
      <c r="O108" s="156"/>
      <c r="P108" s="156"/>
      <c r="Q108" s="156"/>
      <c r="R108" s="156"/>
      <c r="S108" s="156"/>
      <c r="T108" s="156"/>
      <c r="U108" s="156"/>
      <c r="V108" s="156"/>
      <c r="W108" s="156"/>
      <c r="X108" s="156"/>
      <c r="Y108" s="156"/>
      <c r="Z108" s="154" t="s">
        <v>174</v>
      </c>
      <c r="AA108" s="156"/>
      <c r="AB108" s="156"/>
      <c r="AC108" s="156"/>
      <c r="AD108" s="512" t="s">
        <v>389</v>
      </c>
      <c r="AE108" s="512" t="s">
        <v>389</v>
      </c>
      <c r="AF108" s="156"/>
      <c r="AG108" s="156"/>
      <c r="AH108" s="156"/>
      <c r="AI108" s="156"/>
      <c r="AJ108" s="156"/>
      <c r="AK108" s="156"/>
      <c r="AL108" s="154" t="s">
        <v>59</v>
      </c>
      <c r="AM108" s="156"/>
      <c r="AN108" s="156"/>
      <c r="AO108" s="228"/>
      <c r="AP108" s="156"/>
      <c r="AQ108" s="156"/>
      <c r="AR108" s="232"/>
      <c r="AS108" s="152" t="s">
        <v>59</v>
      </c>
      <c r="AT108" s="161"/>
      <c r="AU108" s="258"/>
      <c r="AV108" s="258"/>
      <c r="AW108" s="258"/>
      <c r="AX108" s="258"/>
      <c r="AY108" s="258"/>
      <c r="AZ108" s="258"/>
      <c r="BA108" s="258"/>
      <c r="BB108" s="258"/>
      <c r="BC108" s="258"/>
      <c r="BD108" s="258"/>
      <c r="BE108" s="258"/>
      <c r="BF108" s="258"/>
      <c r="BG108" s="258"/>
      <c r="BH108" s="258"/>
      <c r="BI108" s="258"/>
      <c r="BJ108" s="258"/>
      <c r="BK108" s="258"/>
      <c r="BL108" s="258"/>
      <c r="BM108" s="258"/>
      <c r="BN108" s="258"/>
      <c r="BO108" s="258"/>
      <c r="BP108" s="258"/>
      <c r="BQ108" s="258"/>
      <c r="BR108" s="258"/>
      <c r="BS108" s="258"/>
      <c r="BT108" s="258"/>
      <c r="BU108" s="258"/>
      <c r="BV108" s="258"/>
      <c r="BW108" s="258"/>
      <c r="BX108" s="258"/>
      <c r="BY108" s="258"/>
      <c r="BZ108" s="258"/>
      <c r="CA108" s="258"/>
      <c r="CB108" s="258"/>
      <c r="CC108" s="258"/>
      <c r="CD108" s="258"/>
      <c r="CE108" s="258"/>
      <c r="CF108" s="258"/>
      <c r="CG108" s="258"/>
      <c r="CH108" s="258"/>
    </row>
    <row r="109">
      <c r="A109" s="38"/>
      <c r="B109" s="230"/>
      <c r="C109" s="230"/>
      <c r="D109" s="230"/>
      <c r="E109" s="230"/>
      <c r="F109" s="230"/>
      <c r="G109" s="230"/>
      <c r="H109" s="156"/>
      <c r="I109" s="393"/>
      <c r="J109" s="156"/>
      <c r="K109" s="393"/>
      <c r="L109" s="156"/>
      <c r="M109" s="156"/>
      <c r="N109" s="23"/>
      <c r="O109" s="156"/>
      <c r="P109" s="156"/>
      <c r="Q109" s="156"/>
      <c r="R109" s="156"/>
      <c r="S109" s="156"/>
      <c r="T109" s="156"/>
      <c r="U109" s="156"/>
      <c r="V109" s="156"/>
      <c r="W109" s="156"/>
      <c r="X109" s="156"/>
      <c r="Y109" s="156"/>
      <c r="Z109" s="23"/>
      <c r="AA109" s="156"/>
      <c r="AB109" s="156"/>
      <c r="AC109" s="156"/>
      <c r="AD109" s="513" t="s">
        <v>387</v>
      </c>
      <c r="AE109" s="513" t="s">
        <v>390</v>
      </c>
      <c r="AF109" s="156"/>
      <c r="AG109" s="156"/>
      <c r="AH109" s="156"/>
      <c r="AI109" s="156"/>
      <c r="AJ109" s="156"/>
      <c r="AK109" s="156"/>
      <c r="AL109" s="23"/>
      <c r="AM109" s="156"/>
      <c r="AN109" s="156"/>
      <c r="AO109" s="161"/>
      <c r="AP109" s="156"/>
      <c r="AQ109" s="156"/>
      <c r="AR109" s="237"/>
      <c r="AS109" s="38"/>
      <c r="AT109" s="161"/>
      <c r="AU109" s="258"/>
      <c r="AV109" s="258"/>
      <c r="AW109" s="163"/>
      <c r="AX109" s="258"/>
      <c r="AY109" s="258"/>
      <c r="AZ109" s="258"/>
      <c r="BA109" s="258"/>
      <c r="BB109" s="258"/>
      <c r="BC109" s="258"/>
      <c r="BD109" s="258"/>
      <c r="BE109" s="258"/>
      <c r="BF109" s="258"/>
      <c r="BG109" s="258"/>
      <c r="BH109" s="258"/>
      <c r="BI109" s="258"/>
      <c r="BJ109" s="258"/>
      <c r="BK109" s="258"/>
      <c r="BL109" s="258"/>
      <c r="BM109" s="258"/>
      <c r="BN109" s="258"/>
      <c r="BO109" s="258"/>
      <c r="BP109" s="258"/>
      <c r="BQ109" s="258"/>
      <c r="BR109" s="258"/>
      <c r="BS109" s="258"/>
      <c r="BT109" s="258"/>
      <c r="BU109" s="258"/>
      <c r="BV109" s="258"/>
      <c r="BW109" s="258"/>
      <c r="BX109" s="258"/>
      <c r="BY109" s="258"/>
      <c r="BZ109" s="258"/>
      <c r="CA109" s="258"/>
      <c r="CB109" s="258"/>
      <c r="CC109" s="258"/>
      <c r="CD109" s="258"/>
      <c r="CE109" s="258"/>
      <c r="CF109" s="258"/>
      <c r="CG109" s="258"/>
      <c r="CH109" s="258"/>
    </row>
    <row r="110">
      <c r="A110" s="44"/>
      <c r="B110" s="243"/>
      <c r="C110" s="243"/>
      <c r="D110" s="243"/>
      <c r="E110" s="243"/>
      <c r="F110" s="243"/>
      <c r="G110" s="243"/>
      <c r="H110" s="172"/>
      <c r="I110" s="174"/>
      <c r="J110" s="172"/>
      <c r="K110" s="174"/>
      <c r="L110" s="172"/>
      <c r="M110" s="172"/>
      <c r="N110" s="47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47"/>
      <c r="AA110" s="172"/>
      <c r="AB110" s="172"/>
      <c r="AC110" s="172"/>
      <c r="AD110" s="514" t="s">
        <v>441</v>
      </c>
      <c r="AE110" s="514" t="s">
        <v>442</v>
      </c>
      <c r="AF110" s="172"/>
      <c r="AG110" s="172"/>
      <c r="AH110" s="172"/>
      <c r="AI110" s="172"/>
      <c r="AJ110" s="172"/>
      <c r="AK110" s="172"/>
      <c r="AL110" s="47"/>
      <c r="AM110" s="172"/>
      <c r="AN110" s="172"/>
      <c r="AO110" s="177"/>
      <c r="AP110" s="172"/>
      <c r="AQ110" s="172"/>
      <c r="AR110" s="412"/>
      <c r="AS110" s="44"/>
      <c r="AT110" s="177"/>
      <c r="AU110" s="163"/>
      <c r="AV110" s="163"/>
      <c r="AW110" s="178"/>
      <c r="AX110" s="164"/>
      <c r="AY110" s="163"/>
      <c r="AZ110" s="163"/>
      <c r="BA110" s="163"/>
      <c r="BB110" s="163"/>
      <c r="BC110" s="163"/>
      <c r="BD110" s="163"/>
      <c r="BE110" s="163"/>
      <c r="BF110" s="163"/>
      <c r="BG110" s="163"/>
      <c r="BH110" s="163"/>
      <c r="BI110" s="163"/>
      <c r="BJ110" s="163"/>
      <c r="BK110" s="163"/>
      <c r="BL110" s="163"/>
      <c r="BM110" s="163"/>
      <c r="BN110" s="163"/>
      <c r="BO110" s="163"/>
      <c r="BP110" s="163"/>
      <c r="BQ110" s="163"/>
      <c r="BR110" s="163"/>
      <c r="BS110" s="163"/>
      <c r="BT110" s="163"/>
      <c r="BU110" s="163"/>
      <c r="BV110" s="163"/>
      <c r="BW110" s="163"/>
      <c r="BX110" s="163"/>
      <c r="BY110" s="163"/>
      <c r="BZ110" s="163"/>
      <c r="CA110" s="163"/>
      <c r="CB110" s="163"/>
      <c r="CC110" s="163"/>
      <c r="CD110" s="163"/>
      <c r="CE110" s="163"/>
      <c r="CF110" s="163"/>
      <c r="CG110" s="163"/>
      <c r="CH110" s="163"/>
    </row>
    <row r="111">
      <c r="A111" s="152" t="s">
        <v>64</v>
      </c>
      <c r="B111" s="230"/>
      <c r="C111" s="230"/>
      <c r="D111" s="230"/>
      <c r="E111" s="230"/>
      <c r="F111" s="230"/>
      <c r="G111" s="230"/>
      <c r="H111" s="156"/>
      <c r="I111" s="158"/>
      <c r="J111" s="156"/>
      <c r="K111" s="158"/>
      <c r="L111" s="156"/>
      <c r="M111" s="156"/>
      <c r="N111" s="154" t="s">
        <v>184</v>
      </c>
      <c r="O111" s="156"/>
      <c r="P111" s="156"/>
      <c r="Q111" s="156"/>
      <c r="R111" s="156"/>
      <c r="S111" s="156"/>
      <c r="T111" s="156"/>
      <c r="U111" s="156"/>
      <c r="V111" s="156"/>
      <c r="W111" s="156"/>
      <c r="X111" s="156"/>
      <c r="Y111" s="156"/>
      <c r="Z111" s="154" t="s">
        <v>185</v>
      </c>
      <c r="AA111" s="156"/>
      <c r="AB111" s="156"/>
      <c r="AC111" s="156"/>
      <c r="AD111" s="512" t="s">
        <v>389</v>
      </c>
      <c r="AE111" s="512" t="s">
        <v>389</v>
      </c>
      <c r="AF111" s="156"/>
      <c r="AG111" s="156"/>
      <c r="AH111" s="156"/>
      <c r="AI111" s="156"/>
      <c r="AJ111" s="156"/>
      <c r="AK111" s="156"/>
      <c r="AL111" s="154" t="s">
        <v>64</v>
      </c>
      <c r="AM111" s="156"/>
      <c r="AN111" s="156"/>
      <c r="AO111" s="228"/>
      <c r="AP111" s="156"/>
      <c r="AQ111" s="156"/>
      <c r="AR111" s="156"/>
      <c r="AS111" s="152" t="s">
        <v>64</v>
      </c>
      <c r="AT111" s="161"/>
      <c r="AU111" s="258"/>
      <c r="AV111" s="258"/>
      <c r="AW111" s="258"/>
      <c r="AX111" s="258"/>
      <c r="AY111" s="258"/>
      <c r="AZ111" s="258"/>
      <c r="BA111" s="258"/>
      <c r="BB111" s="258"/>
      <c r="BC111" s="258"/>
      <c r="BD111" s="258"/>
      <c r="BE111" s="258"/>
      <c r="BF111" s="258"/>
      <c r="BG111" s="258"/>
      <c r="BH111" s="258"/>
      <c r="BI111" s="258"/>
      <c r="BJ111" s="258"/>
      <c r="BK111" s="258"/>
      <c r="BL111" s="258"/>
      <c r="BM111" s="258"/>
      <c r="BN111" s="258"/>
      <c r="BO111" s="258"/>
      <c r="BP111" s="258"/>
      <c r="BQ111" s="258"/>
      <c r="BR111" s="258"/>
      <c r="BS111" s="258"/>
      <c r="BT111" s="258"/>
      <c r="BU111" s="258"/>
      <c r="BV111" s="258"/>
      <c r="BW111" s="258"/>
      <c r="BX111" s="258"/>
      <c r="BY111" s="258"/>
      <c r="BZ111" s="258"/>
      <c r="CA111" s="258"/>
      <c r="CB111" s="258"/>
      <c r="CC111" s="258"/>
      <c r="CD111" s="258"/>
      <c r="CE111" s="258"/>
      <c r="CF111" s="258"/>
      <c r="CG111" s="258"/>
      <c r="CH111" s="258"/>
    </row>
    <row r="112">
      <c r="A112" s="38"/>
      <c r="B112" s="230"/>
      <c r="C112" s="230"/>
      <c r="D112" s="230"/>
      <c r="E112" s="230"/>
      <c r="F112" s="230"/>
      <c r="G112" s="230"/>
      <c r="H112" s="156"/>
      <c r="I112" s="393"/>
      <c r="J112" s="156"/>
      <c r="K112" s="393"/>
      <c r="L112" s="156"/>
      <c r="M112" s="156"/>
      <c r="N112" s="23"/>
      <c r="O112" s="156"/>
      <c r="P112" s="156"/>
      <c r="Q112" s="156"/>
      <c r="R112" s="156"/>
      <c r="S112" s="156"/>
      <c r="T112" s="156"/>
      <c r="U112" s="156"/>
      <c r="V112" s="156"/>
      <c r="W112" s="156"/>
      <c r="X112" s="156"/>
      <c r="Y112" s="156"/>
      <c r="Z112" s="23"/>
      <c r="AA112" s="156"/>
      <c r="AB112" s="156"/>
      <c r="AC112" s="156"/>
      <c r="AD112" s="513" t="s">
        <v>387</v>
      </c>
      <c r="AE112" s="513" t="s">
        <v>390</v>
      </c>
      <c r="AF112" s="156"/>
      <c r="AG112" s="156"/>
      <c r="AH112" s="156"/>
      <c r="AI112" s="156"/>
      <c r="AJ112" s="156"/>
      <c r="AK112" s="156"/>
      <c r="AL112" s="23"/>
      <c r="AM112" s="156"/>
      <c r="AN112" s="156"/>
      <c r="AO112" s="161"/>
      <c r="AP112" s="156"/>
      <c r="AQ112" s="156"/>
      <c r="AR112" s="156"/>
      <c r="AS112" s="38"/>
      <c r="AT112" s="161"/>
      <c r="AU112" s="258"/>
      <c r="AV112" s="258"/>
      <c r="AW112" s="163"/>
      <c r="AX112" s="258"/>
      <c r="AY112" s="258"/>
      <c r="AZ112" s="258"/>
      <c r="BA112" s="258"/>
      <c r="BB112" s="258"/>
      <c r="BC112" s="258"/>
      <c r="BD112" s="258"/>
      <c r="BE112" s="258"/>
      <c r="BF112" s="258"/>
      <c r="BG112" s="258"/>
      <c r="BH112" s="258"/>
      <c r="BI112" s="258"/>
      <c r="BJ112" s="258"/>
      <c r="BK112" s="258"/>
      <c r="BL112" s="258"/>
      <c r="BM112" s="258"/>
      <c r="BN112" s="258"/>
      <c r="BO112" s="258"/>
      <c r="BP112" s="258"/>
      <c r="BQ112" s="258"/>
      <c r="BR112" s="258"/>
      <c r="BS112" s="258"/>
      <c r="BT112" s="258"/>
      <c r="BU112" s="258"/>
      <c r="BV112" s="258"/>
      <c r="BW112" s="258"/>
      <c r="BX112" s="258"/>
      <c r="BY112" s="258"/>
      <c r="BZ112" s="258"/>
      <c r="CA112" s="258"/>
      <c r="CB112" s="258"/>
      <c r="CC112" s="258"/>
      <c r="CD112" s="258"/>
      <c r="CE112" s="258"/>
      <c r="CF112" s="258"/>
      <c r="CG112" s="258"/>
      <c r="CH112" s="258"/>
    </row>
    <row r="113">
      <c r="A113" s="44"/>
      <c r="B113" s="243"/>
      <c r="C113" s="243"/>
      <c r="D113" s="243"/>
      <c r="E113" s="243"/>
      <c r="F113" s="243"/>
      <c r="G113" s="243"/>
      <c r="H113" s="172"/>
      <c r="I113" s="174"/>
      <c r="J113" s="172"/>
      <c r="K113" s="174"/>
      <c r="L113" s="172"/>
      <c r="M113" s="172"/>
      <c r="N113" s="47"/>
      <c r="O113" s="172"/>
      <c r="P113" s="172"/>
      <c r="Q113" s="172"/>
      <c r="R113" s="172"/>
      <c r="S113" s="172"/>
      <c r="T113" s="172"/>
      <c r="U113" s="172"/>
      <c r="V113" s="172"/>
      <c r="W113" s="172"/>
      <c r="X113" s="172"/>
      <c r="Y113" s="172"/>
      <c r="Z113" s="47"/>
      <c r="AA113" s="172"/>
      <c r="AB113" s="172"/>
      <c r="AC113" s="172"/>
      <c r="AD113" s="514" t="s">
        <v>441</v>
      </c>
      <c r="AE113" s="514" t="s">
        <v>442</v>
      </c>
      <c r="AF113" s="172"/>
      <c r="AG113" s="172"/>
      <c r="AH113" s="172"/>
      <c r="AI113" s="172"/>
      <c r="AJ113" s="172"/>
      <c r="AK113" s="172"/>
      <c r="AL113" s="47"/>
      <c r="AM113" s="172"/>
      <c r="AN113" s="172"/>
      <c r="AO113" s="177"/>
      <c r="AP113" s="172"/>
      <c r="AQ113" s="172"/>
      <c r="AR113" s="172"/>
      <c r="AS113" s="44"/>
      <c r="AT113" s="177"/>
      <c r="AU113" s="163"/>
      <c r="AV113" s="163"/>
      <c r="AW113" s="178"/>
      <c r="AX113" s="163"/>
      <c r="AY113" s="163"/>
      <c r="AZ113" s="163"/>
      <c r="BA113" s="163"/>
      <c r="BB113" s="163"/>
      <c r="BC113" s="163"/>
      <c r="BD113" s="163"/>
      <c r="BE113" s="163"/>
      <c r="BF113" s="163"/>
      <c r="BG113" s="163"/>
      <c r="BH113" s="163"/>
      <c r="BI113" s="163"/>
      <c r="BJ113" s="163"/>
      <c r="BK113" s="163"/>
      <c r="BL113" s="163"/>
      <c r="BM113" s="163"/>
      <c r="BN113" s="163"/>
      <c r="BO113" s="163"/>
      <c r="BP113" s="163"/>
      <c r="BQ113" s="163"/>
      <c r="BR113" s="163"/>
      <c r="BS113" s="163"/>
      <c r="BT113" s="163"/>
      <c r="BU113" s="163"/>
      <c r="BV113" s="163"/>
      <c r="BW113" s="163"/>
      <c r="BX113" s="163"/>
      <c r="BY113" s="163"/>
      <c r="BZ113" s="163"/>
      <c r="CA113" s="163"/>
      <c r="CB113" s="163"/>
      <c r="CC113" s="163"/>
      <c r="CD113" s="163"/>
      <c r="CE113" s="163"/>
      <c r="CF113" s="163"/>
      <c r="CG113" s="163"/>
      <c r="CH113" s="163"/>
    </row>
    <row r="114">
      <c r="A114" s="152" t="s">
        <v>66</v>
      </c>
      <c r="B114" s="230"/>
      <c r="C114" s="230"/>
      <c r="D114" s="230"/>
      <c r="E114" s="230"/>
      <c r="F114" s="230"/>
      <c r="G114" s="230"/>
      <c r="H114" s="156"/>
      <c r="I114" s="158"/>
      <c r="J114" s="156"/>
      <c r="K114" s="158"/>
      <c r="L114" s="156"/>
      <c r="M114" s="156"/>
      <c r="N114" s="154" t="s">
        <v>191</v>
      </c>
      <c r="O114" s="156"/>
      <c r="P114" s="156"/>
      <c r="Q114" s="156"/>
      <c r="R114" s="156"/>
      <c r="S114" s="156"/>
      <c r="T114" s="156"/>
      <c r="U114" s="156"/>
      <c r="V114" s="156"/>
      <c r="W114" s="156"/>
      <c r="X114" s="156"/>
      <c r="Y114" s="156"/>
      <c r="Z114" s="154" t="s">
        <v>192</v>
      </c>
      <c r="AA114" s="156"/>
      <c r="AB114" s="156"/>
      <c r="AC114" s="156"/>
      <c r="AD114" s="156"/>
      <c r="AE114" s="156"/>
      <c r="AF114" s="156"/>
      <c r="AG114" s="156"/>
      <c r="AH114" s="156"/>
      <c r="AI114" s="156"/>
      <c r="AJ114" s="156"/>
      <c r="AK114" s="156"/>
      <c r="AL114" s="154" t="s">
        <v>66</v>
      </c>
      <c r="AM114" s="156"/>
      <c r="AN114" s="156"/>
      <c r="AO114" s="156"/>
      <c r="AP114" s="156"/>
      <c r="AQ114" s="156"/>
      <c r="AR114" s="156"/>
      <c r="AS114" s="152" t="s">
        <v>66</v>
      </c>
      <c r="AT114" s="161"/>
      <c r="AU114" s="258"/>
      <c r="AV114" s="258"/>
      <c r="AW114" s="258"/>
      <c r="AX114" s="258"/>
      <c r="AY114" s="258"/>
      <c r="AZ114" s="258"/>
      <c r="BA114" s="258"/>
      <c r="BB114" s="258"/>
      <c r="BC114" s="258"/>
      <c r="BD114" s="258"/>
      <c r="BE114" s="258"/>
      <c r="BF114" s="258"/>
      <c r="BG114" s="258"/>
      <c r="BH114" s="258"/>
      <c r="BI114" s="258"/>
      <c r="BJ114" s="258"/>
      <c r="BK114" s="258"/>
      <c r="BL114" s="258"/>
      <c r="BM114" s="258"/>
      <c r="BN114" s="258"/>
      <c r="BO114" s="258"/>
      <c r="BP114" s="258"/>
      <c r="BQ114" s="258"/>
      <c r="BR114" s="258"/>
      <c r="BS114" s="258"/>
      <c r="BT114" s="258"/>
      <c r="BU114" s="258"/>
      <c r="BV114" s="258"/>
      <c r="BW114" s="258"/>
      <c r="BX114" s="258"/>
      <c r="BY114" s="258"/>
      <c r="BZ114" s="258"/>
      <c r="CA114" s="258"/>
      <c r="CB114" s="258"/>
      <c r="CC114" s="258"/>
      <c r="CD114" s="258"/>
      <c r="CE114" s="258"/>
      <c r="CF114" s="258"/>
      <c r="CG114" s="258"/>
      <c r="CH114" s="258"/>
    </row>
    <row r="115">
      <c r="A115" s="38"/>
      <c r="B115" s="230"/>
      <c r="C115" s="230"/>
      <c r="D115" s="230"/>
      <c r="E115" s="230"/>
      <c r="F115" s="230"/>
      <c r="G115" s="230"/>
      <c r="H115" s="156"/>
      <c r="I115" s="393"/>
      <c r="J115" s="156"/>
      <c r="K115" s="393"/>
      <c r="L115" s="156"/>
      <c r="M115" s="156"/>
      <c r="N115" s="23"/>
      <c r="O115" s="156"/>
      <c r="P115" s="156"/>
      <c r="Q115" s="156"/>
      <c r="R115" s="156"/>
      <c r="S115" s="156"/>
      <c r="T115" s="156"/>
      <c r="U115" s="156"/>
      <c r="V115" s="156"/>
      <c r="W115" s="156"/>
      <c r="X115" s="156"/>
      <c r="Y115" s="156"/>
      <c r="Z115" s="23"/>
      <c r="AA115" s="156"/>
      <c r="AB115" s="156"/>
      <c r="AC115" s="156"/>
      <c r="AD115" s="156"/>
      <c r="AE115" s="156"/>
      <c r="AF115" s="156"/>
      <c r="AG115" s="156"/>
      <c r="AH115" s="156"/>
      <c r="AI115" s="156"/>
      <c r="AJ115" s="156"/>
      <c r="AK115" s="156"/>
      <c r="AL115" s="23"/>
      <c r="AM115" s="156"/>
      <c r="AN115" s="156"/>
      <c r="AO115" s="156"/>
      <c r="AP115" s="156"/>
      <c r="AQ115" s="156"/>
      <c r="AR115" s="156"/>
      <c r="AS115" s="38"/>
      <c r="AT115" s="161"/>
      <c r="AU115" s="258"/>
      <c r="AV115" s="258"/>
      <c r="AW115" s="163"/>
      <c r="AX115" s="258"/>
      <c r="AY115" s="258"/>
      <c r="AZ115" s="258"/>
      <c r="BA115" s="258"/>
      <c r="BB115" s="258"/>
      <c r="BC115" s="258"/>
      <c r="BD115" s="258"/>
      <c r="BE115" s="258"/>
      <c r="BF115" s="258"/>
      <c r="BG115" s="258"/>
      <c r="BH115" s="258"/>
      <c r="BI115" s="258"/>
      <c r="BJ115" s="258"/>
      <c r="BK115" s="258"/>
      <c r="BL115" s="258"/>
      <c r="BM115" s="258"/>
      <c r="BN115" s="258"/>
      <c r="BO115" s="258"/>
      <c r="BP115" s="258"/>
      <c r="BQ115" s="258"/>
      <c r="BR115" s="258"/>
      <c r="BS115" s="258"/>
      <c r="BT115" s="258"/>
      <c r="BU115" s="258"/>
      <c r="BV115" s="258"/>
      <c r="BW115" s="258"/>
      <c r="BX115" s="258"/>
      <c r="BY115" s="258"/>
      <c r="BZ115" s="258"/>
      <c r="CA115" s="258"/>
      <c r="CB115" s="258"/>
      <c r="CC115" s="258"/>
      <c r="CD115" s="258"/>
      <c r="CE115" s="258"/>
      <c r="CF115" s="258"/>
      <c r="CG115" s="258"/>
      <c r="CH115" s="258"/>
    </row>
    <row r="116">
      <c r="A116" s="44"/>
      <c r="B116" s="243"/>
      <c r="C116" s="243"/>
      <c r="D116" s="243"/>
      <c r="E116" s="243"/>
      <c r="F116" s="243"/>
      <c r="G116" s="243"/>
      <c r="H116" s="172"/>
      <c r="I116" s="174"/>
      <c r="J116" s="172"/>
      <c r="K116" s="174"/>
      <c r="L116" s="172"/>
      <c r="M116" s="172"/>
      <c r="N116" s="47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47"/>
      <c r="AA116" s="172"/>
      <c r="AB116" s="172"/>
      <c r="AC116" s="172"/>
      <c r="AD116" s="172"/>
      <c r="AE116" s="172"/>
      <c r="AF116" s="172"/>
      <c r="AG116" s="172"/>
      <c r="AH116" s="172"/>
      <c r="AI116" s="172"/>
      <c r="AJ116" s="172"/>
      <c r="AK116" s="172"/>
      <c r="AL116" s="47"/>
      <c r="AM116" s="172"/>
      <c r="AN116" s="172"/>
      <c r="AO116" s="172"/>
      <c r="AP116" s="172"/>
      <c r="AQ116" s="172"/>
      <c r="AR116" s="172"/>
      <c r="AS116" s="44"/>
      <c r="AT116" s="177"/>
      <c r="AU116" s="163"/>
      <c r="AV116" s="163"/>
      <c r="AW116" s="178"/>
      <c r="AX116" s="163"/>
      <c r="AY116" s="163"/>
      <c r="AZ116" s="163"/>
      <c r="BA116" s="163"/>
      <c r="BB116" s="163"/>
      <c r="BC116" s="163"/>
      <c r="BD116" s="163"/>
      <c r="BE116" s="163"/>
      <c r="BF116" s="163"/>
      <c r="BG116" s="163"/>
      <c r="BH116" s="163"/>
      <c r="BI116" s="163"/>
      <c r="BJ116" s="163"/>
      <c r="BK116" s="163"/>
      <c r="BL116" s="163"/>
      <c r="BM116" s="163"/>
      <c r="BN116" s="163"/>
      <c r="BO116" s="163"/>
      <c r="BP116" s="163"/>
      <c r="BQ116" s="163"/>
      <c r="BR116" s="163"/>
      <c r="BS116" s="163"/>
      <c r="BT116" s="163"/>
      <c r="BU116" s="163"/>
      <c r="BV116" s="163"/>
      <c r="BW116" s="163"/>
      <c r="BX116" s="163"/>
      <c r="BY116" s="163"/>
      <c r="BZ116" s="163"/>
      <c r="CA116" s="163"/>
      <c r="CB116" s="163"/>
      <c r="CC116" s="163"/>
      <c r="CD116" s="163"/>
      <c r="CE116" s="163"/>
      <c r="CF116" s="163"/>
      <c r="CG116" s="163"/>
      <c r="CH116" s="163"/>
    </row>
  </sheetData>
  <mergeCells count="345">
    <mergeCell ref="O7:S7"/>
    <mergeCell ref="O8:S8"/>
    <mergeCell ref="O4:Y4"/>
    <mergeCell ref="Z4:Z6"/>
    <mergeCell ref="O5:Y5"/>
    <mergeCell ref="O6:Y6"/>
    <mergeCell ref="T7:U7"/>
    <mergeCell ref="V7:W7"/>
    <mergeCell ref="V9:W9"/>
    <mergeCell ref="AL10:AL12"/>
    <mergeCell ref="AL13:AL15"/>
    <mergeCell ref="AL16:AL18"/>
    <mergeCell ref="AL19:AL21"/>
    <mergeCell ref="AL23:AL25"/>
    <mergeCell ref="AL26:AL28"/>
    <mergeCell ref="AL29:AL31"/>
    <mergeCell ref="AL32:AL34"/>
    <mergeCell ref="Z7:Z9"/>
    <mergeCell ref="Z10:Z12"/>
    <mergeCell ref="AA10:AC10"/>
    <mergeCell ref="AS10:AS12"/>
    <mergeCell ref="AA11:AC11"/>
    <mergeCell ref="AA12:AC12"/>
    <mergeCell ref="AS13:AS15"/>
    <mergeCell ref="Z13:Z15"/>
    <mergeCell ref="Z16:Z18"/>
    <mergeCell ref="Z19:Z21"/>
    <mergeCell ref="O22:Y22"/>
    <mergeCell ref="AA22:AK22"/>
    <mergeCell ref="Z23:Z25"/>
    <mergeCell ref="Z26:Z28"/>
    <mergeCell ref="AM32:AN32"/>
    <mergeCell ref="AM33:AN33"/>
    <mergeCell ref="AS16:AS18"/>
    <mergeCell ref="AS19:AS21"/>
    <mergeCell ref="AM22:AR22"/>
    <mergeCell ref="AS23:AS25"/>
    <mergeCell ref="AS26:AS28"/>
    <mergeCell ref="AS29:AS31"/>
    <mergeCell ref="AS32:AS34"/>
    <mergeCell ref="AM34:AN34"/>
    <mergeCell ref="Z29:Z31"/>
    <mergeCell ref="AD32:AE32"/>
    <mergeCell ref="AF32:AI32"/>
    <mergeCell ref="AD33:AE33"/>
    <mergeCell ref="AF33:AI33"/>
    <mergeCell ref="AD34:AE34"/>
    <mergeCell ref="AD35:AE35"/>
    <mergeCell ref="AM38:AN38"/>
    <mergeCell ref="AM39:AN39"/>
    <mergeCell ref="O41:Y41"/>
    <mergeCell ref="AA41:AK41"/>
    <mergeCell ref="AF42:AI42"/>
    <mergeCell ref="AF43:AI43"/>
    <mergeCell ref="AF44:AI44"/>
    <mergeCell ref="AF34:AI34"/>
    <mergeCell ref="AL35:AL37"/>
    <mergeCell ref="AS35:AS37"/>
    <mergeCell ref="AD36:AE36"/>
    <mergeCell ref="AD37:AE37"/>
    <mergeCell ref="AL38:AL40"/>
    <mergeCell ref="AS38:AS40"/>
    <mergeCell ref="AM46:AN46"/>
    <mergeCell ref="AM47:AN47"/>
    <mergeCell ref="O48:X48"/>
    <mergeCell ref="AA48:AC48"/>
    <mergeCell ref="AM48:AN48"/>
    <mergeCell ref="AA49:AC49"/>
    <mergeCell ref="AM49:AN49"/>
    <mergeCell ref="AL48:AL50"/>
    <mergeCell ref="AL51:AL53"/>
    <mergeCell ref="AM51:AN51"/>
    <mergeCell ref="AS51:AS53"/>
    <mergeCell ref="AM52:AN52"/>
    <mergeCell ref="AM53:AN53"/>
    <mergeCell ref="AL54:AL56"/>
    <mergeCell ref="AS54:AS56"/>
    <mergeCell ref="AF52:AI52"/>
    <mergeCell ref="AF53:AI53"/>
    <mergeCell ref="O49:X49"/>
    <mergeCell ref="O50:X50"/>
    <mergeCell ref="AA50:AC50"/>
    <mergeCell ref="O51:X51"/>
    <mergeCell ref="AF51:AI51"/>
    <mergeCell ref="O52:X52"/>
    <mergeCell ref="O53:X53"/>
    <mergeCell ref="A13:A15"/>
    <mergeCell ref="A16:A18"/>
    <mergeCell ref="A19:A21"/>
    <mergeCell ref="B22:M22"/>
    <mergeCell ref="A23:A25"/>
    <mergeCell ref="A26:A28"/>
    <mergeCell ref="B26:M26"/>
    <mergeCell ref="A29:A31"/>
    <mergeCell ref="B29:M29"/>
    <mergeCell ref="B30:M30"/>
    <mergeCell ref="B31:M31"/>
    <mergeCell ref="A32:A34"/>
    <mergeCell ref="A35:A37"/>
    <mergeCell ref="B41:M41"/>
    <mergeCell ref="N105:N107"/>
    <mergeCell ref="N108:N110"/>
    <mergeCell ref="N80:N82"/>
    <mergeCell ref="N83:N85"/>
    <mergeCell ref="N86:N88"/>
    <mergeCell ref="N89:N91"/>
    <mergeCell ref="N92:N94"/>
    <mergeCell ref="N95:N97"/>
    <mergeCell ref="N102:N104"/>
    <mergeCell ref="N7:N9"/>
    <mergeCell ref="N10:N12"/>
    <mergeCell ref="N13:N15"/>
    <mergeCell ref="N16:N18"/>
    <mergeCell ref="N19:N21"/>
    <mergeCell ref="N23:N25"/>
    <mergeCell ref="N26:N28"/>
    <mergeCell ref="B4:M4"/>
    <mergeCell ref="B5:M5"/>
    <mergeCell ref="A7:A9"/>
    <mergeCell ref="B7:M7"/>
    <mergeCell ref="B8:M8"/>
    <mergeCell ref="B9:M9"/>
    <mergeCell ref="A10:A12"/>
    <mergeCell ref="B27:M27"/>
    <mergeCell ref="B28:M28"/>
    <mergeCell ref="N32:N34"/>
    <mergeCell ref="N35:N37"/>
    <mergeCell ref="N29:N31"/>
    <mergeCell ref="N38:N40"/>
    <mergeCell ref="N42:N44"/>
    <mergeCell ref="N45:N47"/>
    <mergeCell ref="N48:N50"/>
    <mergeCell ref="N51:N53"/>
    <mergeCell ref="N54:N56"/>
    <mergeCell ref="A102:A104"/>
    <mergeCell ref="A105:A107"/>
    <mergeCell ref="A108:A110"/>
    <mergeCell ref="A111:A113"/>
    <mergeCell ref="A114:A116"/>
    <mergeCell ref="N111:N113"/>
    <mergeCell ref="N114:N116"/>
    <mergeCell ref="N57:N59"/>
    <mergeCell ref="N61:N63"/>
    <mergeCell ref="N64:N66"/>
    <mergeCell ref="N67:N69"/>
    <mergeCell ref="N70:N72"/>
    <mergeCell ref="N73:N75"/>
    <mergeCell ref="N76:N78"/>
    <mergeCell ref="AM1:AR1"/>
    <mergeCell ref="AS1:AS2"/>
    <mergeCell ref="A1:A2"/>
    <mergeCell ref="B1:M1"/>
    <mergeCell ref="N1:N2"/>
    <mergeCell ref="O1:Y1"/>
    <mergeCell ref="Z1:Z2"/>
    <mergeCell ref="AA1:AK1"/>
    <mergeCell ref="AL1:AL2"/>
    <mergeCell ref="B3:M3"/>
    <mergeCell ref="O3:Y3"/>
    <mergeCell ref="AA3:AK3"/>
    <mergeCell ref="AM3:AR3"/>
    <mergeCell ref="A4:A6"/>
    <mergeCell ref="N4:N6"/>
    <mergeCell ref="AS4:AS6"/>
    <mergeCell ref="B6:M6"/>
    <mergeCell ref="T8:U8"/>
    <mergeCell ref="V8:W8"/>
    <mergeCell ref="O9:S9"/>
    <mergeCell ref="T9:U9"/>
    <mergeCell ref="AH8:AI8"/>
    <mergeCell ref="AH9:AI9"/>
    <mergeCell ref="AF4:AG4"/>
    <mergeCell ref="AL4:AL6"/>
    <mergeCell ref="AF5:AG5"/>
    <mergeCell ref="AF6:AG6"/>
    <mergeCell ref="AH7:AI7"/>
    <mergeCell ref="AL7:AL9"/>
    <mergeCell ref="AS7:AS9"/>
    <mergeCell ref="Z32:Z34"/>
    <mergeCell ref="Z35:Z37"/>
    <mergeCell ref="Z38:Z40"/>
    <mergeCell ref="Z42:Z44"/>
    <mergeCell ref="Z45:Z47"/>
    <mergeCell ref="Z48:Z50"/>
    <mergeCell ref="Z51:Z53"/>
    <mergeCell ref="Z54:Z56"/>
    <mergeCell ref="Z57:Z59"/>
    <mergeCell ref="Z64:Z66"/>
    <mergeCell ref="Z67:Z69"/>
    <mergeCell ref="Z70:Z72"/>
    <mergeCell ref="Z73:Z75"/>
    <mergeCell ref="Z76:Z78"/>
    <mergeCell ref="Z105:Z107"/>
    <mergeCell ref="Z108:Z110"/>
    <mergeCell ref="Z111:Z113"/>
    <mergeCell ref="Z114:Z116"/>
    <mergeCell ref="Z80:Z82"/>
    <mergeCell ref="Z83:Z85"/>
    <mergeCell ref="Z86:Z88"/>
    <mergeCell ref="Z89:Z91"/>
    <mergeCell ref="Z92:Z94"/>
    <mergeCell ref="Z95:Z97"/>
    <mergeCell ref="Z102:Z104"/>
    <mergeCell ref="A38:A40"/>
    <mergeCell ref="A42:A44"/>
    <mergeCell ref="A45:A47"/>
    <mergeCell ref="A48:A50"/>
    <mergeCell ref="A51:A53"/>
    <mergeCell ref="A54:A56"/>
    <mergeCell ref="A57:A59"/>
    <mergeCell ref="A83:A85"/>
    <mergeCell ref="A86:A88"/>
    <mergeCell ref="A89:A91"/>
    <mergeCell ref="A92:A94"/>
    <mergeCell ref="A95:A97"/>
    <mergeCell ref="A99:A101"/>
    <mergeCell ref="A61:A63"/>
    <mergeCell ref="A64:A66"/>
    <mergeCell ref="A67:A69"/>
    <mergeCell ref="A70:A72"/>
    <mergeCell ref="A73:A75"/>
    <mergeCell ref="A76:A78"/>
    <mergeCell ref="A80:A82"/>
    <mergeCell ref="O60:Y60"/>
    <mergeCell ref="AA60:AK60"/>
    <mergeCell ref="AM60:AR60"/>
    <mergeCell ref="O61:Y63"/>
    <mergeCell ref="Z61:Z63"/>
    <mergeCell ref="AL61:AL63"/>
    <mergeCell ref="AS61:AS63"/>
    <mergeCell ref="AA61:AK63"/>
    <mergeCell ref="AF64:AG64"/>
    <mergeCell ref="AH64:AI64"/>
    <mergeCell ref="AF65:AG65"/>
    <mergeCell ref="AH65:AI65"/>
    <mergeCell ref="AF66:AG66"/>
    <mergeCell ref="AH66:AI66"/>
    <mergeCell ref="AA67:AE67"/>
    <mergeCell ref="AA68:AE68"/>
    <mergeCell ref="AA69:AE69"/>
    <mergeCell ref="AA70:AE70"/>
    <mergeCell ref="AA71:AE71"/>
    <mergeCell ref="AA72:AE72"/>
    <mergeCell ref="AA73:AE73"/>
    <mergeCell ref="AA74:AE74"/>
    <mergeCell ref="AA75:AE75"/>
    <mergeCell ref="O79:Y79"/>
    <mergeCell ref="AA79:AK79"/>
    <mergeCell ref="AM79:AR79"/>
    <mergeCell ref="T80:U80"/>
    <mergeCell ref="T81:U81"/>
    <mergeCell ref="T82:U82"/>
    <mergeCell ref="O86:W86"/>
    <mergeCell ref="O87:W87"/>
    <mergeCell ref="O88:W88"/>
    <mergeCell ref="O89:W89"/>
    <mergeCell ref="O90:W90"/>
    <mergeCell ref="O91:W91"/>
    <mergeCell ref="AA99:AK101"/>
    <mergeCell ref="AD102:AE102"/>
    <mergeCell ref="AD103:AE103"/>
    <mergeCell ref="AD104:AE104"/>
    <mergeCell ref="AD105:AE105"/>
    <mergeCell ref="AD106:AE106"/>
    <mergeCell ref="AD107:AE107"/>
    <mergeCell ref="O98:Y98"/>
    <mergeCell ref="AA98:AK98"/>
    <mergeCell ref="AM98:AR98"/>
    <mergeCell ref="O99:Y101"/>
    <mergeCell ref="Z99:Z101"/>
    <mergeCell ref="AL99:AL101"/>
    <mergeCell ref="AS99:AS101"/>
    <mergeCell ref="B42:M42"/>
    <mergeCell ref="B43:M43"/>
    <mergeCell ref="B44:M44"/>
    <mergeCell ref="B45:M45"/>
    <mergeCell ref="B46:M46"/>
    <mergeCell ref="B47:M47"/>
    <mergeCell ref="B60:M60"/>
    <mergeCell ref="B61:M63"/>
    <mergeCell ref="B64:M64"/>
    <mergeCell ref="B65:M65"/>
    <mergeCell ref="B66:M66"/>
    <mergeCell ref="B67:M67"/>
    <mergeCell ref="B68:M68"/>
    <mergeCell ref="B69:M69"/>
    <mergeCell ref="B98:M98"/>
    <mergeCell ref="B99:M101"/>
    <mergeCell ref="N99:N101"/>
    <mergeCell ref="B79:M79"/>
    <mergeCell ref="B80:M80"/>
    <mergeCell ref="B81:M81"/>
    <mergeCell ref="B82:M82"/>
    <mergeCell ref="B83:M83"/>
    <mergeCell ref="B84:M84"/>
    <mergeCell ref="B85:M85"/>
    <mergeCell ref="AL111:AL113"/>
    <mergeCell ref="AL114:AL116"/>
    <mergeCell ref="AL86:AL88"/>
    <mergeCell ref="AL89:AL91"/>
    <mergeCell ref="AL92:AL94"/>
    <mergeCell ref="AL95:AL97"/>
    <mergeCell ref="AL102:AL104"/>
    <mergeCell ref="AL105:AL107"/>
    <mergeCell ref="AL108:AL110"/>
    <mergeCell ref="AS45:AS47"/>
    <mergeCell ref="AS48:AS50"/>
    <mergeCell ref="AM40:AN40"/>
    <mergeCell ref="AM41:AR41"/>
    <mergeCell ref="AL42:AL44"/>
    <mergeCell ref="AL45:AL47"/>
    <mergeCell ref="AM45:AN45"/>
    <mergeCell ref="AM50:AN50"/>
    <mergeCell ref="AL57:AL59"/>
    <mergeCell ref="AS42:AS44"/>
    <mergeCell ref="AS57:AS59"/>
    <mergeCell ref="AS64:AS66"/>
    <mergeCell ref="AS67:AS69"/>
    <mergeCell ref="AS70:AS72"/>
    <mergeCell ref="AS73:AS75"/>
    <mergeCell ref="AS76:AS78"/>
    <mergeCell ref="AM83:AN83"/>
    <mergeCell ref="AM84:AN84"/>
    <mergeCell ref="AM85:AN85"/>
    <mergeCell ref="AM86:AN86"/>
    <mergeCell ref="AM87:AN87"/>
    <mergeCell ref="AM88:AN88"/>
    <mergeCell ref="AL64:AL66"/>
    <mergeCell ref="AL67:AL69"/>
    <mergeCell ref="AL70:AL72"/>
    <mergeCell ref="AL73:AL75"/>
    <mergeCell ref="AL76:AL78"/>
    <mergeCell ref="AL80:AL82"/>
    <mergeCell ref="AL83:AL85"/>
    <mergeCell ref="AS105:AS107"/>
    <mergeCell ref="AS108:AS110"/>
    <mergeCell ref="AS111:AS113"/>
    <mergeCell ref="AS114:AS116"/>
    <mergeCell ref="AS80:AS82"/>
    <mergeCell ref="AS83:AS85"/>
    <mergeCell ref="AS86:AS88"/>
    <mergeCell ref="AS89:AS91"/>
    <mergeCell ref="AS92:AS94"/>
    <mergeCell ref="AS95:AS97"/>
    <mergeCell ref="AS102:AS104"/>
  </mergeCells>
  <conditionalFormatting sqref="A1:A21 B1:M1 N1:N21 O1:Y3 Z1:Z18 AA1:AB21 AC1:AC12 AD1:AG21 AH1:AI6 AJ1:AK21 AL1:AL12 AM1:AN21 AO1:AO12 AP1:AP21 AQ1:AQ6 AR1:AR21 AS1:AS12 AT1:AT2 B3:M21 AT4:AT12 X7:X9 Y7:Y21 AI10:AI12 AH13:AH21 AC14:AC15 AO16:AO21 AS16:AT21 AC17:AC21 AI17:AI18 O19:X21 AQ19:AQ21 AI20:AI21 A23:G40 H23:H37 I23:I34 J23:L40 M23:M37 N23:N40 O23:R25 Z23:Z34 AA23:AH40 AI23:AI34 AJ23:AK40 AL23:AL31 AM23:AN40 AP23:AP40 AQ23:AQ25 AR23:AR40 AS23:AS37 AT23:AT40 V26:W28 X26:X40 Y26:Y34 U29:U40 AO29:AO40 O32:T40 V32:W40 AQ32:AQ37 AL35:AL37 I36:I40 AI36:AI40 Y38:Y40 A42:B59 C42:C56 D42:D59 E42:E56 F42:G59 H42:H56 I42:L59 M42:M53 N42:AE59 AF42:AI56 AJ42:AK59 AM42:AP59 AR42:AR59 AT42:AT56 AL48:AL53 AQ48:AQ56 M57:M59 C58:C59 E58:E59 H58:H59 AI58:AI59 A61:A78 B61:B69 C61:C72 D61:D75 E61:E69 F61:F72 G61:G76 H61:I75 J61:J69 K61:M75 N61:Y78 Z61:Z75 AA61:AG78 AH61:AI75 AJ61:AK78 AL61:AL75 AM61:AP78 AR61:AS78 AT61:AT66 AQ67:AQ78 AT70:AT78 B73:B78 E73:E75 J73:J75 C76:C78 AI77:AI78 G78 A80:A97 B80:C94 D80:D91 E80:E90 F80:F87 G80:G94 H80:H91 I80:I97 J80:J94 K80:K91 L80:L85 M80:M88 N80:Y97 Z80:AC88 AF80:AG88 AJ80:AK97 AL80:AL82 AM80:AM91 AN80:AN94 AO80:AO91 AP80:AP97 AQ80:AQ82 AR80:AR97 AS80:AT85 AI84:AI85 AI87:AI88 F89:F94 L89:L97 AS89:AS91 AT89:AT97 AA90:AA91 AC90:AE91 AG90:AI91 E92:E94 M92:M94 AA93:AA94 AC93:AE94 AG93:AI94 AO93:AO97 D95:D97 K95:K97 AQ95:AQ97 H96:H97 AA96:AA97 AC96:AG97 AI96:AI97 A99:B116 C99:C107 D99:D116 E99:E110 F99:H107 I99:I116 J99:J107 K99:W116 X99:X113 Y99:Y116 Z99:AC107 AD99:AE113 AF99:AG101 AH99:AI107 AJ99:AK116 AN100:AO101 AP100:AP107 AR102:AR116 AF103:AG104 AN103:AO104 AF106:AG107 AN106:AN107 AO106:AO113 C109:C113 F109:G110 H109:H113 AA109:AA110 AC109:AC110 AF109:AG110 AN109:AN110 AP109:AP110 J111:J116 AH111:AI116 E112:G113 AA112:AA113 AC112:AC113 AF112:AG113 AN112:AN113 AP112:AP113 C115:C116 E115:H116 AA115:AA116 AC115:AG116 AN115:AP116">
    <cfRule type="expression" dxfId="0" priority="1">
      <formula>REGEXMATCH(A1, "(^\s+)|(\s+$)")</formula>
    </cfRule>
  </conditionalFormatting>
  <conditionalFormatting sqref="A1:A21 B1:M1 N1:N21 O1:Y3 Z1:Z18 AA1:AB21 AC1:AC12 AD1:AG21 AH1:AI6 AJ1:AK21 AL1:AL12 AM1:AN21 AO1:AO12 AP1:AP21 AQ1:AQ6 AR1:AR21 AS1:AS12 AT1:AT2 B3:M21 AT4:AT12 X7:X9 Y7:Y21 AI10:AI12 AH13:AH21 AC14:AC15 AO16:AO21 AS16:AT21 AC17:AC21 AI17:AI18 O19:X21 AQ19:AQ21 AI20:AI21 A23:G40 H23:H37 I23:I34 J23:L40 M23:M37 N23:N40 O23:R25 Z23:Z34 AA23:AH40 AI23:AI34 AJ23:AK40 AL23:AL31 AM23:AN40 AP23:AP40 AQ23:AQ25 AR23:AR40 AS23:AS37 AT23:AT40 V26:W28 X26:X40 Y26:Y34 U29:U40 AO29:AO40 O32:T40 V32:W40 AQ32:AQ37 AL35:AL37 I36:I40 AI36:AI40 Y38:Y40 A42:B59 C42:C56 D42:D59 E42:E56 F42:G59 H42:H56 I42:L59 M42:M53 N42:AE59 AF42:AI56 AJ42:AK59 AM42:AP59 AR42:AR59 AT42:AT56 AL48:AL53 AQ48:AQ56 M57:M59 C58:C59 E58:E59 H58:H59 AI58:AI59 A61:A78 B61:B69 C61:C72 D61:D75 E61:E69 F61:F72 G61:G76 H61:I75 J61:J69 K61:M75 N61:Y78 Z61:Z75 AA61:AG78 AH61:AI75 AJ61:AK78 AL61:AL75 AM61:AP78 AR61:AS78 AT61:AT66 AQ67:AQ78 AT70:AT78 B73:B78 E73:E75 J73:J75 C76:C78 AI77:AI78 G78 A80:A97 B80:C94 D80:D91 E80:E90 F80:F87 G80:G94 H80:H91 I80:I97 J80:J94 K80:K91 L80:L85 M80:M88 N80:Y97 Z80:AC88 AF80:AG88 AJ80:AK97 AL80:AL82 AM80:AM91 AN80:AN94 AO80:AO91 AP80:AP97 AQ80:AQ82 AR80:AR97 AS80:AT85 AI84:AI85 AI87:AI88 F89:F94 L89:L97 AS89:AS91 AT89:AT97 AA90:AA91 AC90:AE91 AG90:AI91 E92:E94 M92:M94 AA93:AA94 AC93:AE94 AG93:AI94 AO93:AO97 D95:D97 K95:K97 AQ95:AQ97 H96:H97 AA96:AA97 AC96:AG97 AI96:AI97 A99:B116 C99:C107 D99:D116 E99:E110 F99:H107 I99:I116 J99:J107 K99:W116 X99:X113 Y99:Y116 Z99:AC107 AD99:AE113 AF99:AG101 AH99:AI107 AJ99:AK116 AN100:AO101 AP100:AP107 AR102:AR116 AF103:AG104 AN103:AO104 AF106:AG107 AN106:AN107 AO106:AO113 C109:C113 F109:G110 H109:H113 AA109:AA110 AC109:AC110 AF109:AG110 AN109:AN110 AP109:AP110 J111:J116 AH111:AI116 E112:G113 AA112:AA113 AC112:AC113 AF112:AG113 AN112:AN113 AP112:AP113 C115:C116 E115:H116 AA115:AA116 AC115:AG116 AN115:AP116">
    <cfRule type="expression" dxfId="0" priority="2">
      <formula>REGEXMATCH(A1, "[а-яА-Я]")</formula>
    </cfRule>
  </conditionalFormatting>
  <conditionalFormatting sqref="A1:A21 B1:M1 N1:N21 O1:Y3 Z1:Z18 AA1:AB21 AC1:AC12 AD1:AG21 AH1:AI6 AJ1:AK21 AL1:AL12 AM1:AN21 AO1:AO12 AP1:AP21 AQ1:AQ6 AR1:AR21 AS1:AS12 AT1:AT2 B3:M21 AT4:AT12 X7:X9 Y7:Y21 AI10:AI12 AH13:AH21 AC14:AC15 AO16:AO21 AS16:AT21 AC17:AC21 AI17:AI18 O19:X21 AQ19:AQ21 AI20:AI21 A23:G40 H23:H37 I23:I34 J23:L40 M23:M37 N23:N40 O23:R25 Z23:Z34 AA23:AH40 AI23:AI34 AJ23:AK40 AL23:AL31 AM23:AN40 AP23:AP40 AQ23:AQ25 AR23:AR40 AS23:AS37 AT23:AT40 V26:W28 X26:X40 Y26:Y34 U29:U40 AO29:AO40 O32:T40 V32:W40 AQ32:AQ37 AL35:AL37 I36:I40 AI36:AI40 Y38:Y40 A42:B59 C42:C56 D42:D59 E42:E56 F42:G59 H42:H56 I42:L59 M42:M53 N42:AE59 AF42:AI56 AJ42:AK59 AM42:AP59 AR42:AR59 AT42:AT56 AL48:AL53 AQ48:AQ56 M57:M59 C58:C59 E58:E59 H58:H59 AI58:AI59 A61:A78 B61:B69 C61:C72 D61:D75 E61:E69 F61:F72 G61:G76 H61:I75 J61:J69 K61:M75 N61:Y78 Z61:Z75 AA61:AG78 AH61:AI75 AJ61:AK78 AL61:AL75 AM61:AP78 AR61:AS78 AT61:AT66 AQ67:AQ78 AT70:AT78 B73:B78 E73:E75 J73:J75 C76:C78 AI77:AI78 G78 A80:A97 B80:C94 D80:D91 E80:E90 F80:F87 G80:G94 H80:H91 I80:I97 J80:J94 K80:K91 L80:L85 M80:M88 N80:Y97 Z80:AC88 AF80:AG88 AJ80:AK97 AL80:AL82 AM80:AM91 AN80:AN94 AO80:AO91 AP80:AP97 AQ80:AQ82 AR80:AR97 AS80:AT85 AI84:AI85 AI87:AI88 F89:F94 L89:L97 AS89:AS91 AT89:AT97 AA90:AA91 AC90:AE91 AG90:AI91 E92:E94 M92:M94 AA93:AA94 AC93:AE94 AG93:AI94 AO93:AO97 D95:D97 K95:K97 AQ95:AQ97 H96:H97 AA96:AA97 AC96:AG97 AI96:AI97 A99:B116 C99:C107 D99:D116 E99:E110 F99:H107 I99:I116 J99:J107 K99:W116 X99:X113 Y99:Y116 Z99:AC107 AD99:AE113 AF99:AG101 AH99:AI107 AJ99:AK116 AN100:AO101 AP100:AP107 AR102:AR116 AF103:AG104 AN103:AO104 AF106:AG107 AN106:AN107 AO106:AO113 C109:C113 F109:G110 H109:H113 AA109:AA110 AC109:AC110 AF109:AG110 AN109:AN110 AP109:AP110 J111:J116 AH111:AI116 E112:G113 AA112:AA113 AC112:AC113 AF112:AG113 AN112:AN113 AP112:AP113 C115:C116 E115:H116 AA115:AA116 AC115:AG116 AN115:AP116">
    <cfRule type="expression" dxfId="0" priority="3">
      <formula>REGEXMATCH(A1, "\s{2,}")</formula>
    </cfRule>
  </conditionalFormatting>
  <conditionalFormatting sqref="A1:A21 B1:M1 N1:N21 O1:Y3 Z1:Z18 AA1:AB21 AC1:AC12 AD1:AG21 AH1:AI6 AJ1:AK21 AL1:AL12 AM1:AN21 AO1:AO12 AP1:AP21 AQ1:AQ6 AR1:AR21 AS1:AS12 AT1:AT2 B3:M21 AT4:AT12 X7:X9 Y7:Y21 AI10:AI12 AH13:AH21 AC14:AC15 AO16:AO21 AS16:AT21 AC17:AC21 AI17:AI18 O19:X21 AQ19:AQ21 AI20:AI21 A23:G40 H23:H37 I23:I34 J23:L40 M23:M37 N23:N40 O23:R25 Z23:Z34 AA23:AH40 AI23:AI34 AJ23:AK40 AL23:AL31 AM23:AN40 AP23:AP40 AQ23:AQ25 AR23:AR40 AS23:AS37 AT23:AT40 V26:W28 X26:X40 Y26:Y34 U29:U40 AO29:AO40 O32:T40 V32:W40 AQ32:AQ37 AL35:AL37 I36:I40 AI36:AI40 Y38:Y40 A42:B59 C42:C56 D42:D59 E42:E56 F42:G59 H42:H56 I42:L59 M42:M53 N42:AE59 AF42:AI56 AJ42:AK59 AM42:AP59 AR42:AR59 AT42:AT56 AL48:AL53 AQ48:AQ56 M57:M59 C58:C59 E58:E59 H58:H59 AI58:AI59 A61:A78 B61:B69 C61:C72 D61:D75 E61:E69 F61:F72 G61:G76 H61:I75 J61:J69 K61:M75 N61:Y78 Z61:Z75 AA61:AG78 AH61:AI75 AJ61:AK78 AL61:AL75 AM61:AP78 AR61:AS78 AT61:AT66 AQ67:AQ78 AT70:AT78 B73:B78 E73:E75 J73:J75 C76:C78 AI77:AI78 G78 A80:A97 B80:C94 D80:D91 E80:E90 F80:F87 G80:G94 H80:H91 I80:I97 J80:J94 K80:K91 L80:L85 M80:M88 N80:Y97 Z80:AC88 AF80:AG88 AJ80:AK97 AL80:AL82 AM80:AM91 AN80:AN94 AO80:AO91 AP80:AP97 AQ80:AQ82 AR80:AR97 AS80:AT85 AI84:AI85 AI87:AI88 F89:F94 L89:L97 AS89:AS91 AT89:AT97 AA90:AA91 AC90:AE91 AG90:AI91 E92:E94 M92:M94 AA93:AA94 AC93:AE94 AG93:AI94 AO93:AO97 D95:D97 K95:K97 AQ95:AQ97 H96:H97 AA96:AA97 AC96:AG97 AI96:AI97 A99:B116 C99:C107 D99:D116 E99:E110 F99:H107 I99:I116 J99:J107 K99:W116 X99:X113 Y99:Y116 Z99:AC107 AD99:AE113 AF99:AG101 AH99:AI107 AJ99:AK116 AN100:AO101 AP100:AP107 AR102:AR116 AF103:AG104 AN103:AO104 AF106:AG107 AN106:AN107 AO106:AO113 C109:C113 F109:G110 H109:H113 AA109:AA110 AC109:AC110 AF109:AG110 AN109:AN110 AP109:AP110 J111:J116 AH111:AI116 E112:G113 AA112:AA113 AC112:AC113 AF112:AG113 AN112:AN113 AP112:AP113 C115:C116 E115:H116 AA115:AA116 AC115:AG116 AN115:AP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2" width="23.75"/>
    <col customWidth="1" min="3" max="12" width="22.38"/>
  </cols>
  <sheetData>
    <row r="1">
      <c r="A1" s="136"/>
      <c r="B1" s="137" t="s">
        <v>1</v>
      </c>
      <c r="C1" s="3"/>
      <c r="D1" s="3"/>
      <c r="E1" s="3"/>
      <c r="F1" s="3"/>
      <c r="G1" s="3"/>
      <c r="H1" s="3"/>
      <c r="I1" s="3"/>
      <c r="J1" s="3"/>
      <c r="K1" s="3"/>
      <c r="L1" s="4"/>
    </row>
    <row r="2">
      <c r="A2" s="47"/>
      <c r="B2" s="144" t="s">
        <v>20</v>
      </c>
      <c r="C2" s="144" t="s">
        <v>21</v>
      </c>
      <c r="D2" s="144" t="s">
        <v>22</v>
      </c>
      <c r="E2" s="144" t="s">
        <v>23</v>
      </c>
      <c r="F2" s="144" t="s">
        <v>24</v>
      </c>
      <c r="G2" s="144" t="s">
        <v>25</v>
      </c>
      <c r="H2" s="144" t="s">
        <v>26</v>
      </c>
      <c r="I2" s="144" t="s">
        <v>27</v>
      </c>
      <c r="J2" s="144" t="s">
        <v>28</v>
      </c>
      <c r="K2" s="144" t="s">
        <v>29</v>
      </c>
      <c r="L2" s="144" t="s">
        <v>30</v>
      </c>
    </row>
    <row r="3">
      <c r="A3" s="149" t="s">
        <v>38</v>
      </c>
      <c r="B3" s="148"/>
      <c r="C3" s="46"/>
      <c r="D3" s="46"/>
      <c r="E3" s="46"/>
      <c r="F3" s="46"/>
      <c r="G3" s="46"/>
      <c r="H3" s="46"/>
      <c r="I3" s="46"/>
      <c r="J3" s="46"/>
      <c r="K3" s="46"/>
      <c r="L3" s="47"/>
    </row>
    <row r="4">
      <c r="A4" s="154" t="s">
        <v>128</v>
      </c>
      <c r="B4" s="155" t="s">
        <v>129</v>
      </c>
      <c r="L4" s="23"/>
    </row>
    <row r="5">
      <c r="A5" s="23"/>
      <c r="B5" s="166" t="s">
        <v>135</v>
      </c>
      <c r="L5" s="23"/>
    </row>
    <row r="6">
      <c r="A6" s="47"/>
      <c r="B6" s="171" t="s">
        <v>137</v>
      </c>
      <c r="C6" s="46"/>
      <c r="D6" s="46"/>
      <c r="E6" s="46"/>
      <c r="F6" s="46"/>
      <c r="G6" s="46"/>
      <c r="H6" s="46"/>
      <c r="I6" s="46"/>
      <c r="J6" s="46"/>
      <c r="K6" s="46"/>
      <c r="L6" s="47"/>
    </row>
    <row r="7">
      <c r="A7" s="154" t="s">
        <v>139</v>
      </c>
      <c r="B7" s="179" t="s">
        <v>140</v>
      </c>
      <c r="F7" s="23"/>
      <c r="G7" s="180" t="s">
        <v>141</v>
      </c>
      <c r="H7" s="23"/>
      <c r="I7" s="181" t="s">
        <v>142</v>
      </c>
      <c r="J7" s="23"/>
      <c r="K7" s="182" t="s">
        <v>143</v>
      </c>
      <c r="L7" s="183" t="s">
        <v>144</v>
      </c>
    </row>
    <row r="8">
      <c r="A8" s="23"/>
      <c r="B8" s="187" t="s">
        <v>79</v>
      </c>
      <c r="F8" s="23"/>
      <c r="G8" s="188" t="s">
        <v>45</v>
      </c>
      <c r="H8" s="23"/>
      <c r="I8" s="189" t="s">
        <v>149</v>
      </c>
      <c r="J8" s="23"/>
      <c r="K8" s="190" t="s">
        <v>150</v>
      </c>
      <c r="L8" s="191" t="s">
        <v>151</v>
      </c>
    </row>
    <row r="9">
      <c r="A9" s="47"/>
      <c r="B9" s="196">
        <v>105.0</v>
      </c>
      <c r="C9" s="46"/>
      <c r="D9" s="46"/>
      <c r="E9" s="46"/>
      <c r="F9" s="47"/>
      <c r="G9" s="197">
        <v>106.0</v>
      </c>
      <c r="H9" s="47"/>
      <c r="I9" s="198" t="s">
        <v>137</v>
      </c>
      <c r="J9" s="47"/>
      <c r="K9" s="199">
        <v>103.0</v>
      </c>
      <c r="L9" s="200">
        <v>321.0</v>
      </c>
    </row>
    <row r="10">
      <c r="A10" s="154" t="s">
        <v>158</v>
      </c>
      <c r="B10" s="209" t="s">
        <v>159</v>
      </c>
      <c r="F10" s="23"/>
      <c r="G10" s="159"/>
      <c r="H10" s="210" t="s">
        <v>160</v>
      </c>
      <c r="I10" s="209" t="s">
        <v>159</v>
      </c>
      <c r="J10" s="23"/>
      <c r="K10" s="156"/>
      <c r="L10" s="183" t="s">
        <v>161</v>
      </c>
    </row>
    <row r="11">
      <c r="A11" s="23"/>
      <c r="B11" s="215" t="s">
        <v>169</v>
      </c>
      <c r="F11" s="23"/>
      <c r="G11" s="159"/>
      <c r="H11" s="216" t="s">
        <v>170</v>
      </c>
      <c r="I11" s="215" t="s">
        <v>169</v>
      </c>
      <c r="J11" s="23"/>
      <c r="K11" s="156"/>
      <c r="L11" s="217" t="s">
        <v>151</v>
      </c>
    </row>
    <row r="12">
      <c r="A12" s="47"/>
      <c r="B12" s="223" t="s">
        <v>137</v>
      </c>
      <c r="C12" s="46"/>
      <c r="D12" s="46"/>
      <c r="E12" s="46"/>
      <c r="F12" s="47"/>
      <c r="G12" s="175"/>
      <c r="H12" s="224">
        <v>320.0</v>
      </c>
      <c r="I12" s="223" t="s">
        <v>137</v>
      </c>
      <c r="J12" s="47"/>
      <c r="K12" s="172"/>
      <c r="L12" s="200">
        <v>321.0</v>
      </c>
    </row>
    <row r="13">
      <c r="A13" s="154" t="s">
        <v>172</v>
      </c>
      <c r="B13" s="227"/>
      <c r="C13" s="156"/>
      <c r="D13" s="156"/>
      <c r="E13" s="228"/>
      <c r="F13" s="227"/>
      <c r="G13" s="229" t="s">
        <v>160</v>
      </c>
      <c r="H13" s="230"/>
      <c r="I13" s="227"/>
      <c r="J13" s="227"/>
      <c r="K13" s="156"/>
      <c r="L13" s="183" t="s">
        <v>173</v>
      </c>
    </row>
    <row r="14">
      <c r="A14" s="23"/>
      <c r="B14" s="234"/>
      <c r="C14" s="156"/>
      <c r="D14" s="156"/>
      <c r="E14" s="161"/>
      <c r="F14" s="234"/>
      <c r="G14" s="216" t="s">
        <v>170</v>
      </c>
      <c r="H14" s="230"/>
      <c r="I14" s="234"/>
      <c r="J14" s="234"/>
      <c r="K14" s="156"/>
      <c r="L14" s="217" t="s">
        <v>151</v>
      </c>
    </row>
    <row r="15">
      <c r="A15" s="47"/>
      <c r="B15" s="240"/>
      <c r="C15" s="172"/>
      <c r="D15" s="241"/>
      <c r="E15" s="242"/>
      <c r="F15" s="240"/>
      <c r="G15" s="224">
        <v>320.0</v>
      </c>
      <c r="H15" s="243"/>
      <c r="I15" s="240"/>
      <c r="J15" s="240"/>
      <c r="K15" s="172"/>
      <c r="L15" s="200">
        <v>321.0</v>
      </c>
    </row>
    <row r="16">
      <c r="A16" s="154" t="s">
        <v>184</v>
      </c>
      <c r="B16" s="156"/>
      <c r="C16" s="156"/>
      <c r="D16" s="227"/>
      <c r="E16" s="156"/>
      <c r="F16" s="156"/>
      <c r="G16" s="156"/>
      <c r="H16" s="156"/>
      <c r="I16" s="230"/>
      <c r="J16" s="156"/>
      <c r="K16" s="156"/>
      <c r="L16" s="156"/>
    </row>
    <row r="17">
      <c r="A17" s="23"/>
      <c r="B17" s="156"/>
      <c r="C17" s="156"/>
      <c r="D17" s="234"/>
      <c r="E17" s="156"/>
      <c r="F17" s="156"/>
      <c r="G17" s="156"/>
      <c r="H17" s="156"/>
      <c r="I17" s="230"/>
      <c r="J17" s="156"/>
      <c r="K17" s="156"/>
      <c r="L17" s="156"/>
    </row>
    <row r="18">
      <c r="A18" s="47"/>
      <c r="B18" s="172"/>
      <c r="C18" s="172"/>
      <c r="D18" s="240"/>
      <c r="E18" s="172"/>
      <c r="F18" s="241"/>
      <c r="G18" s="172"/>
      <c r="H18" s="172"/>
      <c r="I18" s="243"/>
      <c r="J18" s="241"/>
      <c r="K18" s="172"/>
      <c r="L18" s="172"/>
    </row>
    <row r="19">
      <c r="A19" s="154" t="s">
        <v>191</v>
      </c>
      <c r="B19" s="156"/>
      <c r="C19" s="156"/>
      <c r="D19" s="156"/>
      <c r="E19" s="156"/>
      <c r="F19" s="156"/>
      <c r="G19" s="156"/>
      <c r="H19" s="156"/>
      <c r="I19" s="156"/>
      <c r="J19" s="156"/>
      <c r="K19" s="156"/>
      <c r="L19" s="156"/>
    </row>
    <row r="20">
      <c r="A20" s="23"/>
      <c r="B20" s="156"/>
      <c r="C20" s="156"/>
      <c r="D20" s="156"/>
      <c r="E20" s="156"/>
      <c r="F20" s="156"/>
      <c r="G20" s="156"/>
      <c r="H20" s="156"/>
      <c r="I20" s="156"/>
      <c r="J20" s="156"/>
      <c r="K20" s="156"/>
      <c r="L20" s="156"/>
    </row>
    <row r="21">
      <c r="A21" s="47"/>
      <c r="B21" s="241"/>
      <c r="C21" s="172"/>
      <c r="D21" s="172"/>
      <c r="E21" s="172"/>
      <c r="F21" s="172"/>
      <c r="G21" s="172"/>
      <c r="H21" s="172"/>
      <c r="I21" s="172"/>
      <c r="J21" s="172"/>
      <c r="K21" s="172"/>
      <c r="L21" s="172"/>
    </row>
    <row r="22">
      <c r="A22" s="149" t="s">
        <v>74</v>
      </c>
      <c r="B22" s="148"/>
      <c r="C22" s="46"/>
      <c r="D22" s="46"/>
      <c r="E22" s="46"/>
      <c r="F22" s="46"/>
      <c r="G22" s="46"/>
      <c r="H22" s="46"/>
      <c r="I22" s="46"/>
      <c r="J22" s="46"/>
      <c r="K22" s="46"/>
      <c r="L22" s="47"/>
    </row>
    <row r="23">
      <c r="A23" s="154" t="s">
        <v>128</v>
      </c>
      <c r="B23" s="156"/>
      <c r="C23" s="182" t="s">
        <v>143</v>
      </c>
      <c r="D23" s="156"/>
      <c r="E23" s="182" t="s">
        <v>143</v>
      </c>
      <c r="F23" s="231" t="s">
        <v>196</v>
      </c>
      <c r="G23" s="156"/>
      <c r="H23" s="156"/>
      <c r="I23" s="156"/>
      <c r="J23" s="256" t="s">
        <v>197</v>
      </c>
      <c r="K23" s="156"/>
      <c r="L23" s="156"/>
    </row>
    <row r="24">
      <c r="A24" s="23"/>
      <c r="B24" s="156"/>
      <c r="C24" s="259" t="s">
        <v>200</v>
      </c>
      <c r="D24" s="156"/>
      <c r="E24" s="260" t="s">
        <v>170</v>
      </c>
      <c r="F24" s="261" t="s">
        <v>201</v>
      </c>
      <c r="G24" s="156"/>
      <c r="H24" s="156"/>
      <c r="I24" s="156"/>
      <c r="J24" s="262" t="s">
        <v>202</v>
      </c>
      <c r="K24" s="156"/>
      <c r="L24" s="156"/>
    </row>
    <row r="25">
      <c r="A25" s="47"/>
      <c r="B25" s="172"/>
      <c r="C25" s="204" t="s">
        <v>443</v>
      </c>
      <c r="D25" s="172"/>
      <c r="E25" s="204">
        <v>318.0</v>
      </c>
      <c r="F25" s="244">
        <v>461.0</v>
      </c>
      <c r="G25" s="241"/>
      <c r="H25" s="241"/>
      <c r="I25" s="241"/>
      <c r="J25" s="265">
        <v>314.0</v>
      </c>
      <c r="K25" s="241"/>
      <c r="L25" s="241"/>
    </row>
    <row r="26">
      <c r="A26" s="154" t="s">
        <v>139</v>
      </c>
      <c r="B26" s="231" t="s">
        <v>196</v>
      </c>
      <c r="C26" s="256" t="s">
        <v>197</v>
      </c>
      <c r="D26" s="182" t="s">
        <v>143</v>
      </c>
      <c r="E26" s="231" t="s">
        <v>196</v>
      </c>
      <c r="F26" s="182" t="s">
        <v>143</v>
      </c>
      <c r="G26" s="158"/>
      <c r="H26" s="269"/>
      <c r="I26" s="63"/>
      <c r="J26" s="270" t="s">
        <v>206</v>
      </c>
      <c r="K26" s="271" t="s">
        <v>207</v>
      </c>
      <c r="L26" s="272" t="s">
        <v>208</v>
      </c>
    </row>
    <row r="27">
      <c r="A27" s="23"/>
      <c r="B27" s="261" t="s">
        <v>201</v>
      </c>
      <c r="C27" s="262" t="s">
        <v>215</v>
      </c>
      <c r="D27" s="259" t="s">
        <v>200</v>
      </c>
      <c r="E27" s="279" t="s">
        <v>216</v>
      </c>
      <c r="F27" s="260" t="s">
        <v>170</v>
      </c>
      <c r="G27" s="154"/>
      <c r="H27" s="168"/>
      <c r="I27" s="69"/>
      <c r="J27" s="239" t="s">
        <v>217</v>
      </c>
      <c r="K27" s="280" t="s">
        <v>218</v>
      </c>
      <c r="L27" s="281" t="s">
        <v>99</v>
      </c>
    </row>
    <row r="28">
      <c r="A28" s="47"/>
      <c r="B28" s="244">
        <v>461.0</v>
      </c>
      <c r="C28" s="265">
        <v>209.0</v>
      </c>
      <c r="D28" s="204" t="s">
        <v>443</v>
      </c>
      <c r="E28" s="244">
        <v>300.0</v>
      </c>
      <c r="F28" s="204">
        <v>318.0</v>
      </c>
      <c r="G28" s="174"/>
      <c r="H28" s="287"/>
      <c r="I28" s="76"/>
      <c r="J28" s="288">
        <v>104.0</v>
      </c>
      <c r="K28" s="289">
        <v>102.0</v>
      </c>
      <c r="L28" s="290">
        <v>103.0</v>
      </c>
    </row>
    <row r="29">
      <c r="A29" s="154" t="s">
        <v>158</v>
      </c>
      <c r="B29" s="182" t="s">
        <v>143</v>
      </c>
      <c r="C29" s="231" t="s">
        <v>196</v>
      </c>
      <c r="D29" s="256" t="s">
        <v>197</v>
      </c>
      <c r="E29" s="256" t="s">
        <v>197</v>
      </c>
      <c r="F29" s="256" t="s">
        <v>197</v>
      </c>
      <c r="G29" s="182" t="s">
        <v>143</v>
      </c>
      <c r="H29" s="182" t="s">
        <v>143</v>
      </c>
      <c r="I29" s="270" t="s">
        <v>206</v>
      </c>
      <c r="J29" s="182" t="s">
        <v>143</v>
      </c>
      <c r="K29" s="271" t="s">
        <v>225</v>
      </c>
      <c r="L29" s="272" t="s">
        <v>226</v>
      </c>
    </row>
    <row r="30">
      <c r="A30" s="23"/>
      <c r="B30" s="259" t="s">
        <v>200</v>
      </c>
      <c r="C30" s="279" t="s">
        <v>230</v>
      </c>
      <c r="D30" s="295" t="s">
        <v>231</v>
      </c>
      <c r="E30" s="262" t="s">
        <v>215</v>
      </c>
      <c r="F30" s="262" t="s">
        <v>232</v>
      </c>
      <c r="G30" s="260" t="s">
        <v>170</v>
      </c>
      <c r="H30" s="260" t="s">
        <v>233</v>
      </c>
      <c r="I30" s="239" t="s">
        <v>217</v>
      </c>
      <c r="J30" s="260" t="s">
        <v>152</v>
      </c>
      <c r="K30" s="296" t="s">
        <v>234</v>
      </c>
      <c r="L30" s="297" t="s">
        <v>235</v>
      </c>
    </row>
    <row r="31">
      <c r="A31" s="47"/>
      <c r="B31" s="204" t="s">
        <v>443</v>
      </c>
      <c r="C31" s="244">
        <v>461.0</v>
      </c>
      <c r="D31" s="302">
        <v>300.0</v>
      </c>
      <c r="E31" s="265">
        <v>209.0</v>
      </c>
      <c r="F31" s="265">
        <v>320.0</v>
      </c>
      <c r="G31" s="204">
        <v>318.0</v>
      </c>
      <c r="H31" s="204" t="s">
        <v>444</v>
      </c>
      <c r="I31" s="288">
        <v>104.0</v>
      </c>
      <c r="J31" s="199" t="s">
        <v>445</v>
      </c>
      <c r="K31" s="289">
        <v>102.0</v>
      </c>
      <c r="L31" s="290">
        <v>103.0</v>
      </c>
    </row>
    <row r="32">
      <c r="A32" s="154" t="s">
        <v>172</v>
      </c>
      <c r="B32" s="256" t="s">
        <v>197</v>
      </c>
      <c r="C32" s="305"/>
      <c r="D32" s="231" t="s">
        <v>196</v>
      </c>
      <c r="F32" s="228"/>
      <c r="G32" s="305"/>
      <c r="H32" s="254"/>
      <c r="I32" s="182" t="s">
        <v>143</v>
      </c>
      <c r="J32" s="305"/>
      <c r="K32" s="305"/>
      <c r="L32" s="155" t="s">
        <v>143</v>
      </c>
    </row>
    <row r="33">
      <c r="A33" s="23"/>
      <c r="B33" s="262" t="s">
        <v>202</v>
      </c>
      <c r="C33" s="156"/>
      <c r="D33" s="261" t="s">
        <v>201</v>
      </c>
      <c r="F33" s="161"/>
      <c r="G33" s="156"/>
      <c r="H33" s="254"/>
      <c r="I33" s="260" t="s">
        <v>152</v>
      </c>
      <c r="J33" s="156"/>
      <c r="K33" s="156"/>
      <c r="L33" s="308" t="s">
        <v>150</v>
      </c>
    </row>
    <row r="34">
      <c r="A34" s="47"/>
      <c r="B34" s="265">
        <v>303.0</v>
      </c>
      <c r="C34" s="172"/>
      <c r="D34" s="244" t="s">
        <v>446</v>
      </c>
      <c r="F34" s="177"/>
      <c r="G34" s="172"/>
      <c r="H34" s="254"/>
      <c r="I34" s="199" t="s">
        <v>447</v>
      </c>
      <c r="J34" s="172"/>
      <c r="K34" s="172"/>
      <c r="L34" s="314" t="s">
        <v>448</v>
      </c>
    </row>
    <row r="35">
      <c r="A35" s="154" t="s">
        <v>184</v>
      </c>
      <c r="B35" s="228"/>
      <c r="C35" s="305"/>
      <c r="E35" s="228"/>
      <c r="F35" s="305"/>
      <c r="G35" s="305"/>
      <c r="H35" s="305"/>
      <c r="I35" s="256" t="s">
        <v>197</v>
      </c>
      <c r="J35" s="305"/>
      <c r="K35" s="305"/>
      <c r="L35" s="318" t="s">
        <v>251</v>
      </c>
    </row>
    <row r="36">
      <c r="A36" s="23"/>
      <c r="B36" s="161"/>
      <c r="C36" s="156"/>
      <c r="E36" s="161"/>
      <c r="F36" s="156"/>
      <c r="G36" s="156"/>
      <c r="H36" s="156"/>
      <c r="I36" s="262" t="s">
        <v>202</v>
      </c>
      <c r="J36" s="156"/>
      <c r="K36" s="156"/>
      <c r="L36" s="320" t="s">
        <v>253</v>
      </c>
    </row>
    <row r="37">
      <c r="A37" s="47"/>
      <c r="B37" s="177"/>
      <c r="C37" s="172"/>
      <c r="E37" s="177"/>
      <c r="F37" s="172"/>
      <c r="G37" s="172"/>
      <c r="H37" s="172"/>
      <c r="I37" s="265">
        <v>303.0</v>
      </c>
      <c r="J37" s="172"/>
      <c r="K37" s="172"/>
      <c r="L37" s="322" t="s">
        <v>137</v>
      </c>
    </row>
    <row r="38">
      <c r="A38" s="154" t="s">
        <v>191</v>
      </c>
      <c r="B38" s="228"/>
      <c r="C38" s="305"/>
      <c r="D38" s="305"/>
      <c r="E38" s="305"/>
      <c r="F38" s="305"/>
      <c r="G38" s="305"/>
      <c r="H38" s="305"/>
      <c r="I38" s="305"/>
      <c r="J38" s="305"/>
      <c r="K38" s="305"/>
      <c r="L38" s="156"/>
    </row>
    <row r="39">
      <c r="A39" s="23"/>
      <c r="B39" s="161"/>
      <c r="C39" s="156"/>
      <c r="D39" s="156"/>
      <c r="E39" s="156"/>
      <c r="F39" s="156"/>
      <c r="G39" s="156"/>
      <c r="H39" s="156"/>
      <c r="I39" s="156"/>
      <c r="J39" s="156"/>
      <c r="K39" s="156"/>
      <c r="L39" s="156"/>
    </row>
    <row r="40">
      <c r="A40" s="47"/>
      <c r="B40" s="177"/>
      <c r="C40" s="172"/>
      <c r="D40" s="172"/>
      <c r="E40" s="172"/>
      <c r="F40" s="172"/>
      <c r="G40" s="172"/>
      <c r="H40" s="172"/>
      <c r="I40" s="172"/>
      <c r="J40" s="172"/>
      <c r="K40" s="172"/>
      <c r="L40" s="172"/>
    </row>
    <row r="41">
      <c r="A41" s="149" t="s">
        <v>82</v>
      </c>
      <c r="B41" s="148"/>
      <c r="C41" s="46"/>
      <c r="D41" s="46"/>
      <c r="E41" s="46"/>
      <c r="F41" s="46"/>
      <c r="G41" s="46"/>
      <c r="H41" s="46"/>
      <c r="I41" s="46"/>
      <c r="J41" s="46"/>
      <c r="K41" s="46"/>
      <c r="L41" s="47"/>
    </row>
    <row r="42">
      <c r="A42" s="154" t="s">
        <v>128</v>
      </c>
      <c r="B42" s="156"/>
      <c r="C42" s="156"/>
      <c r="D42" s="156"/>
      <c r="E42" s="156"/>
      <c r="F42" s="156"/>
      <c r="G42" s="156"/>
      <c r="H42" s="156"/>
      <c r="I42" s="156"/>
      <c r="J42" s="156"/>
      <c r="K42" s="156"/>
      <c r="L42" s="156"/>
    </row>
    <row r="43">
      <c r="A43" s="23"/>
      <c r="B43" s="156"/>
      <c r="C43" s="156"/>
      <c r="D43" s="156"/>
      <c r="E43" s="156"/>
      <c r="F43" s="156"/>
      <c r="G43" s="156"/>
      <c r="H43" s="156"/>
      <c r="I43" s="156"/>
      <c r="J43" s="156"/>
      <c r="K43" s="156"/>
      <c r="L43" s="156"/>
    </row>
    <row r="44">
      <c r="A44" s="47"/>
      <c r="B44" s="172"/>
      <c r="C44" s="172"/>
      <c r="D44" s="172"/>
      <c r="E44" s="172"/>
      <c r="F44" s="172"/>
      <c r="G44" s="172"/>
      <c r="H44" s="172"/>
      <c r="I44" s="172"/>
      <c r="J44" s="172"/>
      <c r="K44" s="172"/>
      <c r="L44" s="172"/>
    </row>
    <row r="45">
      <c r="A45" s="154" t="s">
        <v>139</v>
      </c>
      <c r="B45" s="156"/>
      <c r="C45" s="156"/>
      <c r="D45" s="156"/>
      <c r="E45" s="156"/>
      <c r="F45" s="156"/>
      <c r="G45" s="156"/>
      <c r="H45" s="156"/>
      <c r="I45" s="156"/>
      <c r="J45" s="156"/>
      <c r="K45" s="156"/>
      <c r="L45" s="156"/>
    </row>
    <row r="46">
      <c r="A46" s="23"/>
      <c r="B46" s="156"/>
      <c r="C46" s="156"/>
      <c r="D46" s="156"/>
      <c r="E46" s="156"/>
      <c r="F46" s="156"/>
      <c r="G46" s="156"/>
      <c r="H46" s="156"/>
      <c r="I46" s="156"/>
      <c r="J46" s="156"/>
      <c r="K46" s="156"/>
      <c r="L46" s="156"/>
    </row>
    <row r="47">
      <c r="A47" s="47"/>
      <c r="B47" s="172"/>
      <c r="C47" s="172"/>
      <c r="D47" s="172"/>
      <c r="E47" s="172"/>
      <c r="F47" s="172"/>
      <c r="G47" s="172"/>
      <c r="H47" s="172"/>
      <c r="I47" s="172"/>
      <c r="J47" s="172"/>
      <c r="K47" s="172"/>
      <c r="L47" s="172"/>
    </row>
    <row r="48">
      <c r="A48" s="154" t="s">
        <v>158</v>
      </c>
      <c r="B48" s="357" t="s">
        <v>288</v>
      </c>
      <c r="K48" s="23"/>
      <c r="L48" s="156"/>
    </row>
    <row r="49">
      <c r="A49" s="23"/>
      <c r="B49" s="364" t="s">
        <v>293</v>
      </c>
      <c r="K49" s="23"/>
      <c r="L49" s="156"/>
    </row>
    <row r="50">
      <c r="A50" s="47"/>
      <c r="B50" s="370">
        <v>108.0</v>
      </c>
      <c r="C50" s="46"/>
      <c r="D50" s="46"/>
      <c r="E50" s="46"/>
      <c r="F50" s="46"/>
      <c r="G50" s="46"/>
      <c r="H50" s="46"/>
      <c r="I50" s="46"/>
      <c r="J50" s="46"/>
      <c r="K50" s="47"/>
      <c r="L50" s="172"/>
    </row>
    <row r="51">
      <c r="A51" s="154" t="s">
        <v>172</v>
      </c>
      <c r="B51" s="357" t="s">
        <v>298</v>
      </c>
      <c r="K51" s="23"/>
      <c r="L51" s="156"/>
    </row>
    <row r="52">
      <c r="A52" s="23"/>
      <c r="B52" s="375" t="s">
        <v>293</v>
      </c>
      <c r="K52" s="23"/>
      <c r="L52" s="156"/>
    </row>
    <row r="53">
      <c r="A53" s="47"/>
      <c r="B53" s="370">
        <v>108.0</v>
      </c>
      <c r="C53" s="46"/>
      <c r="D53" s="46"/>
      <c r="E53" s="46"/>
      <c r="F53" s="46"/>
      <c r="G53" s="46"/>
      <c r="H53" s="46"/>
      <c r="I53" s="46"/>
      <c r="J53" s="46"/>
      <c r="K53" s="47"/>
      <c r="L53" s="172"/>
    </row>
    <row r="54">
      <c r="A54" s="154" t="s">
        <v>184</v>
      </c>
      <c r="B54" s="63"/>
      <c r="C54" s="63"/>
      <c r="D54" s="379" t="s">
        <v>302</v>
      </c>
      <c r="E54" s="156"/>
      <c r="F54" s="156"/>
      <c r="G54" s="156"/>
      <c r="H54" s="156"/>
      <c r="I54" s="156"/>
      <c r="J54" s="156"/>
      <c r="K54" s="156"/>
      <c r="L54" s="156"/>
    </row>
    <row r="55">
      <c r="A55" s="23"/>
      <c r="B55" s="69"/>
      <c r="C55" s="69"/>
      <c r="D55" s="383" t="s">
        <v>168</v>
      </c>
      <c r="E55" s="156"/>
      <c r="F55" s="156"/>
      <c r="G55" s="156"/>
      <c r="H55" s="156"/>
      <c r="I55" s="156"/>
      <c r="J55" s="156"/>
      <c r="K55" s="156"/>
      <c r="L55" s="156"/>
    </row>
    <row r="56">
      <c r="A56" s="47"/>
      <c r="B56" s="76"/>
      <c r="C56" s="76"/>
      <c r="D56" s="387">
        <v>321.0</v>
      </c>
      <c r="E56" s="172"/>
      <c r="F56" s="172"/>
      <c r="G56" s="172"/>
      <c r="H56" s="172"/>
      <c r="I56" s="172"/>
      <c r="J56" s="172"/>
      <c r="K56" s="172"/>
      <c r="L56" s="172"/>
    </row>
    <row r="57">
      <c r="A57" s="154" t="s">
        <v>191</v>
      </c>
      <c r="B57" s="156"/>
      <c r="C57" s="63"/>
      <c r="D57" s="156"/>
      <c r="E57" s="156"/>
      <c r="F57" s="156"/>
      <c r="G57" s="156"/>
      <c r="H57" s="156"/>
      <c r="I57" s="156"/>
      <c r="J57" s="379" t="s">
        <v>302</v>
      </c>
      <c r="K57" s="156"/>
      <c r="L57" s="156"/>
    </row>
    <row r="58">
      <c r="A58" s="23"/>
      <c r="B58" s="156"/>
      <c r="C58" s="69"/>
      <c r="D58" s="156"/>
      <c r="E58" s="156"/>
      <c r="F58" s="156"/>
      <c r="G58" s="156"/>
      <c r="H58" s="156"/>
      <c r="I58" s="156"/>
      <c r="J58" s="383" t="s">
        <v>168</v>
      </c>
      <c r="K58" s="156"/>
      <c r="L58" s="156"/>
    </row>
    <row r="59">
      <c r="A59" s="47"/>
      <c r="B59" s="172"/>
      <c r="C59" s="76"/>
      <c r="D59" s="172"/>
      <c r="E59" s="172"/>
      <c r="F59" s="172"/>
      <c r="G59" s="172"/>
      <c r="H59" s="172"/>
      <c r="I59" s="172"/>
      <c r="J59" s="387">
        <v>321.0</v>
      </c>
      <c r="K59" s="172"/>
      <c r="L59" s="172"/>
    </row>
    <row r="60">
      <c r="A60" s="149" t="s">
        <v>86</v>
      </c>
      <c r="B60" s="148"/>
      <c r="C60" s="46"/>
      <c r="D60" s="46"/>
      <c r="E60" s="46"/>
      <c r="F60" s="46"/>
      <c r="G60" s="46"/>
      <c r="H60" s="46"/>
      <c r="I60" s="46"/>
      <c r="J60" s="46"/>
      <c r="K60" s="46"/>
      <c r="L60" s="47"/>
    </row>
    <row r="61">
      <c r="A61" s="154" t="s">
        <v>128</v>
      </c>
      <c r="B61" s="209" t="s">
        <v>159</v>
      </c>
      <c r="F61" s="23"/>
      <c r="G61" s="156"/>
      <c r="H61" s="156"/>
      <c r="I61" s="209" t="s">
        <v>159</v>
      </c>
      <c r="J61" s="23"/>
      <c r="K61" s="379" t="s">
        <v>302</v>
      </c>
      <c r="L61" s="156"/>
    </row>
    <row r="62">
      <c r="A62" s="23"/>
      <c r="B62" s="215" t="s">
        <v>169</v>
      </c>
      <c r="F62" s="23"/>
      <c r="G62" s="156"/>
      <c r="H62" s="156"/>
      <c r="I62" s="215" t="s">
        <v>169</v>
      </c>
      <c r="J62" s="23"/>
      <c r="K62" s="398" t="s">
        <v>152</v>
      </c>
      <c r="L62" s="156"/>
    </row>
    <row r="63">
      <c r="A63" s="47"/>
      <c r="B63" s="223" t="s">
        <v>137</v>
      </c>
      <c r="C63" s="46"/>
      <c r="D63" s="46"/>
      <c r="E63" s="46"/>
      <c r="F63" s="47"/>
      <c r="G63" s="172"/>
      <c r="H63" s="172"/>
      <c r="I63" s="223" t="s">
        <v>137</v>
      </c>
      <c r="J63" s="47"/>
      <c r="K63" s="399">
        <v>209.0</v>
      </c>
      <c r="L63" s="172"/>
    </row>
    <row r="64">
      <c r="A64" s="154" t="s">
        <v>139</v>
      </c>
      <c r="B64" s="379" t="s">
        <v>302</v>
      </c>
      <c r="C64" s="156"/>
      <c r="D64" s="256" t="s">
        <v>197</v>
      </c>
      <c r="E64" s="63"/>
      <c r="F64" s="379" t="s">
        <v>302</v>
      </c>
      <c r="G64" s="156"/>
      <c r="H64" s="156"/>
      <c r="I64" s="379" t="s">
        <v>302</v>
      </c>
      <c r="J64" s="156"/>
      <c r="K64" s="156"/>
      <c r="L64" s="156"/>
    </row>
    <row r="65">
      <c r="A65" s="23"/>
      <c r="B65" s="398" t="s">
        <v>152</v>
      </c>
      <c r="C65" s="156"/>
      <c r="D65" s="295" t="s">
        <v>231</v>
      </c>
      <c r="E65" s="69"/>
      <c r="F65" s="404" t="s">
        <v>215</v>
      </c>
      <c r="G65" s="156"/>
      <c r="H65" s="156"/>
      <c r="I65" s="405" t="s">
        <v>53</v>
      </c>
      <c r="J65" s="156"/>
      <c r="K65" s="156"/>
      <c r="L65" s="156"/>
    </row>
    <row r="66">
      <c r="A66" s="47"/>
      <c r="B66" s="399">
        <v>209.0</v>
      </c>
      <c r="C66" s="172"/>
      <c r="D66" s="302" t="s">
        <v>449</v>
      </c>
      <c r="E66" s="76"/>
      <c r="F66" s="399" t="s">
        <v>450</v>
      </c>
      <c r="G66" s="172"/>
      <c r="H66" s="172"/>
      <c r="I66" s="387">
        <v>314.0</v>
      </c>
      <c r="J66" s="172"/>
      <c r="K66" s="172"/>
      <c r="L66" s="172"/>
    </row>
    <row r="67">
      <c r="A67" s="154" t="s">
        <v>158</v>
      </c>
      <c r="C67" s="413" t="s">
        <v>302</v>
      </c>
      <c r="D67" s="228"/>
      <c r="E67" s="379" t="s">
        <v>302</v>
      </c>
      <c r="F67" s="256" t="s">
        <v>197</v>
      </c>
      <c r="G67" s="379" t="s">
        <v>302</v>
      </c>
      <c r="H67" s="156"/>
      <c r="I67" s="156"/>
      <c r="J67" s="156"/>
      <c r="K67" s="63"/>
      <c r="L67" s="156"/>
    </row>
    <row r="68">
      <c r="A68" s="23"/>
      <c r="C68" s="421" t="s">
        <v>152</v>
      </c>
      <c r="D68" s="161"/>
      <c r="E68" s="404" t="s">
        <v>215</v>
      </c>
      <c r="F68" s="262" t="s">
        <v>232</v>
      </c>
      <c r="G68" s="405" t="s">
        <v>53</v>
      </c>
      <c r="H68" s="156"/>
      <c r="I68" s="156"/>
      <c r="J68" s="156"/>
      <c r="K68" s="69"/>
      <c r="L68" s="156"/>
    </row>
    <row r="69">
      <c r="A69" s="47"/>
      <c r="C69" s="428">
        <v>209.0</v>
      </c>
      <c r="D69" s="177"/>
      <c r="E69" s="399" t="s">
        <v>450</v>
      </c>
      <c r="F69" s="265">
        <v>320.0</v>
      </c>
      <c r="G69" s="387">
        <v>314.0</v>
      </c>
      <c r="H69" s="172"/>
      <c r="I69" s="172"/>
      <c r="J69" s="172"/>
      <c r="K69" s="76"/>
      <c r="L69" s="172"/>
    </row>
    <row r="70">
      <c r="A70" s="154" t="s">
        <v>172</v>
      </c>
      <c r="B70" s="63"/>
      <c r="C70" s="63"/>
      <c r="D70" s="63"/>
      <c r="E70" s="156"/>
      <c r="G70" s="228"/>
      <c r="H70" s="379" t="s">
        <v>302</v>
      </c>
      <c r="I70" s="156"/>
      <c r="J70" s="156"/>
      <c r="K70" s="434" t="s">
        <v>332</v>
      </c>
      <c r="L70" s="156"/>
    </row>
    <row r="71">
      <c r="A71" s="23"/>
      <c r="B71" s="69"/>
      <c r="C71" s="69"/>
      <c r="D71" s="69"/>
      <c r="E71" s="156"/>
      <c r="G71" s="161"/>
      <c r="H71" s="405" t="s">
        <v>53</v>
      </c>
      <c r="I71" s="156"/>
      <c r="J71" s="156"/>
      <c r="K71" s="438" t="s">
        <v>339</v>
      </c>
      <c r="L71" s="156"/>
    </row>
    <row r="72">
      <c r="A72" s="47"/>
      <c r="B72" s="76"/>
      <c r="C72" s="76"/>
      <c r="D72" s="76"/>
      <c r="E72" s="241"/>
      <c r="G72" s="177"/>
      <c r="H72" s="387">
        <v>314.0</v>
      </c>
      <c r="I72" s="172"/>
      <c r="J72" s="172"/>
      <c r="K72" s="443" t="s">
        <v>344</v>
      </c>
      <c r="L72" s="172"/>
    </row>
    <row r="73">
      <c r="A73" s="154" t="s">
        <v>184</v>
      </c>
      <c r="B73" s="63"/>
      <c r="C73" s="63"/>
      <c r="D73" s="156"/>
      <c r="E73" s="156"/>
      <c r="F73" s="63"/>
      <c r="G73" s="156"/>
      <c r="H73" s="158"/>
      <c r="I73" s="63"/>
      <c r="J73" s="156"/>
      <c r="K73" s="434" t="s">
        <v>332</v>
      </c>
      <c r="L73" s="156"/>
    </row>
    <row r="74">
      <c r="A74" s="23"/>
      <c r="B74" s="69"/>
      <c r="C74" s="69"/>
      <c r="D74" s="156"/>
      <c r="E74" s="156"/>
      <c r="F74" s="69"/>
      <c r="G74" s="156"/>
      <c r="H74" s="237"/>
      <c r="I74" s="69"/>
      <c r="J74" s="156"/>
      <c r="K74" s="438" t="s">
        <v>339</v>
      </c>
      <c r="L74" s="156"/>
    </row>
    <row r="75">
      <c r="A75" s="47"/>
      <c r="B75" s="76"/>
      <c r="C75" s="76"/>
      <c r="D75" s="172"/>
      <c r="E75" s="172"/>
      <c r="F75" s="76"/>
      <c r="G75" s="172"/>
      <c r="H75" s="202"/>
      <c r="I75" s="76"/>
      <c r="J75" s="172"/>
      <c r="K75" s="443" t="s">
        <v>344</v>
      </c>
      <c r="L75" s="172"/>
    </row>
    <row r="76">
      <c r="A76" s="154" t="s">
        <v>191</v>
      </c>
      <c r="B76" s="156"/>
      <c r="C76" s="156"/>
      <c r="D76" s="156"/>
      <c r="E76" s="156"/>
      <c r="F76" s="156"/>
      <c r="G76" s="156"/>
      <c r="H76" s="156"/>
      <c r="I76" s="156"/>
      <c r="J76" s="156"/>
      <c r="K76" s="158"/>
      <c r="L76" s="156"/>
    </row>
    <row r="77">
      <c r="A77" s="23"/>
      <c r="B77" s="156"/>
      <c r="C77" s="156"/>
      <c r="D77" s="156"/>
      <c r="E77" s="156"/>
      <c r="F77" s="156"/>
      <c r="G77" s="156"/>
      <c r="H77" s="156"/>
      <c r="I77" s="156"/>
      <c r="J77" s="156"/>
      <c r="K77" s="154"/>
      <c r="L77" s="156"/>
    </row>
    <row r="78">
      <c r="A78" s="47"/>
      <c r="B78" s="241"/>
      <c r="C78" s="241"/>
      <c r="D78" s="241"/>
      <c r="E78" s="241"/>
      <c r="F78" s="241"/>
      <c r="G78" s="241"/>
      <c r="H78" s="241"/>
      <c r="I78" s="241"/>
      <c r="J78" s="241"/>
      <c r="K78" s="457"/>
      <c r="L78" s="241"/>
    </row>
    <row r="79">
      <c r="A79" s="149" t="s">
        <v>92</v>
      </c>
      <c r="B79" s="148"/>
      <c r="C79" s="46"/>
      <c r="D79" s="46"/>
      <c r="E79" s="46"/>
      <c r="F79" s="46"/>
      <c r="G79" s="46"/>
      <c r="H79" s="46"/>
      <c r="I79" s="46"/>
      <c r="J79" s="46"/>
      <c r="K79" s="46"/>
      <c r="L79" s="47"/>
    </row>
    <row r="80">
      <c r="A80" s="154" t="s">
        <v>128</v>
      </c>
      <c r="B80" s="156"/>
      <c r="C80" s="156"/>
      <c r="D80" s="156"/>
      <c r="E80" s="256" t="s">
        <v>197</v>
      </c>
      <c r="F80" s="156"/>
      <c r="G80" s="358" t="s">
        <v>353</v>
      </c>
      <c r="H80" s="23"/>
      <c r="I80" s="156"/>
      <c r="J80" s="156"/>
      <c r="K80" s="461" t="s">
        <v>353</v>
      </c>
      <c r="L80" s="63"/>
    </row>
    <row r="81">
      <c r="A81" s="23"/>
      <c r="B81" s="156"/>
      <c r="C81" s="156"/>
      <c r="D81" s="156"/>
      <c r="E81" s="262" t="s">
        <v>215</v>
      </c>
      <c r="F81" s="156"/>
      <c r="G81" s="167" t="s">
        <v>136</v>
      </c>
      <c r="H81" s="23"/>
      <c r="I81" s="156"/>
      <c r="J81" s="156"/>
      <c r="K81" s="464" t="s">
        <v>136</v>
      </c>
      <c r="L81" s="69"/>
    </row>
    <row r="82">
      <c r="A82" s="47"/>
      <c r="B82" s="172"/>
      <c r="C82" s="172"/>
      <c r="D82" s="172"/>
      <c r="E82" s="265">
        <v>461.0</v>
      </c>
      <c r="F82" s="172"/>
      <c r="G82" s="173" t="s">
        <v>137</v>
      </c>
      <c r="H82" s="47"/>
      <c r="I82" s="172"/>
      <c r="J82" s="172"/>
      <c r="K82" s="467" t="s">
        <v>137</v>
      </c>
      <c r="L82" s="76"/>
    </row>
    <row r="83">
      <c r="A83" s="154" t="s">
        <v>139</v>
      </c>
      <c r="B83" s="256" t="s">
        <v>197</v>
      </c>
      <c r="C83" s="156"/>
      <c r="D83" s="63"/>
      <c r="E83" s="63"/>
      <c r="F83" s="156"/>
      <c r="G83" s="156"/>
      <c r="H83" s="156"/>
      <c r="I83" s="156"/>
      <c r="J83" s="156"/>
      <c r="K83" s="470" t="s">
        <v>357</v>
      </c>
      <c r="L83" s="318" t="s">
        <v>358</v>
      </c>
    </row>
    <row r="84">
      <c r="A84" s="23"/>
      <c r="B84" s="262" t="s">
        <v>202</v>
      </c>
      <c r="C84" s="156"/>
      <c r="D84" s="69"/>
      <c r="E84" s="69"/>
      <c r="F84" s="156"/>
      <c r="G84" s="156"/>
      <c r="H84" s="156"/>
      <c r="I84" s="156"/>
      <c r="J84" s="156"/>
      <c r="K84" s="473" t="s">
        <v>78</v>
      </c>
      <c r="L84" s="320" t="s">
        <v>361</v>
      </c>
    </row>
    <row r="85">
      <c r="A85" s="47"/>
      <c r="B85" s="265">
        <v>209.0</v>
      </c>
      <c r="C85" s="172"/>
      <c r="D85" s="76"/>
      <c r="E85" s="76"/>
      <c r="F85" s="172"/>
      <c r="G85" s="172"/>
      <c r="H85" s="172"/>
      <c r="I85" s="172"/>
      <c r="J85" s="172"/>
      <c r="K85" s="201">
        <v>104.0</v>
      </c>
      <c r="L85" s="445" t="s">
        <v>362</v>
      </c>
    </row>
    <row r="86">
      <c r="A86" s="154" t="s">
        <v>158</v>
      </c>
      <c r="B86" s="476" t="s">
        <v>367</v>
      </c>
      <c r="J86" s="23"/>
      <c r="K86" s="230"/>
      <c r="L86" s="272" t="s">
        <v>208</v>
      </c>
    </row>
    <row r="87">
      <c r="A87" s="23"/>
      <c r="B87" s="479" t="s">
        <v>371</v>
      </c>
      <c r="J87" s="23"/>
      <c r="K87" s="230"/>
      <c r="L87" s="281" t="s">
        <v>99</v>
      </c>
    </row>
    <row r="88">
      <c r="A88" s="47"/>
      <c r="B88" s="486">
        <v>108.0</v>
      </c>
      <c r="C88" s="46"/>
      <c r="D88" s="46"/>
      <c r="E88" s="46"/>
      <c r="F88" s="46"/>
      <c r="G88" s="46"/>
      <c r="H88" s="46"/>
      <c r="I88" s="46"/>
      <c r="J88" s="47"/>
      <c r="K88" s="243"/>
      <c r="L88" s="290" t="s">
        <v>362</v>
      </c>
    </row>
    <row r="89">
      <c r="A89" s="154" t="s">
        <v>172</v>
      </c>
      <c r="B89" s="476" t="s">
        <v>375</v>
      </c>
      <c r="J89" s="23"/>
      <c r="K89" s="158"/>
      <c r="L89" s="272" t="s">
        <v>226</v>
      </c>
    </row>
    <row r="90">
      <c r="A90" s="23"/>
      <c r="B90" s="479" t="s">
        <v>371</v>
      </c>
      <c r="J90" s="23"/>
      <c r="K90" s="490"/>
      <c r="L90" s="297" t="s">
        <v>235</v>
      </c>
    </row>
    <row r="91">
      <c r="A91" s="47"/>
      <c r="B91" s="486">
        <v>108.0</v>
      </c>
      <c r="C91" s="46"/>
      <c r="D91" s="46"/>
      <c r="E91" s="46"/>
      <c r="F91" s="46"/>
      <c r="G91" s="46"/>
      <c r="H91" s="46"/>
      <c r="I91" s="46"/>
      <c r="J91" s="47"/>
      <c r="K91" s="457"/>
      <c r="L91" s="290" t="s">
        <v>362</v>
      </c>
    </row>
    <row r="92">
      <c r="A92" s="154" t="s">
        <v>184</v>
      </c>
      <c r="B92" s="492" t="s">
        <v>379</v>
      </c>
      <c r="C92" s="256" t="s">
        <v>197</v>
      </c>
      <c r="D92" s="492" t="s">
        <v>379</v>
      </c>
      <c r="E92" s="492" t="s">
        <v>379</v>
      </c>
      <c r="F92" s="63"/>
      <c r="G92" s="461" t="s">
        <v>357</v>
      </c>
      <c r="H92" s="492" t="s">
        <v>379</v>
      </c>
      <c r="I92" s="492" t="s">
        <v>379</v>
      </c>
      <c r="J92" s="256" t="s">
        <v>197</v>
      </c>
      <c r="K92" s="158"/>
      <c r="L92" s="230"/>
    </row>
    <row r="93">
      <c r="A93" s="23"/>
      <c r="B93" s="385" t="s">
        <v>233</v>
      </c>
      <c r="C93" s="262" t="s">
        <v>215</v>
      </c>
      <c r="D93" s="385" t="s">
        <v>56</v>
      </c>
      <c r="E93" s="385" t="s">
        <v>381</v>
      </c>
      <c r="F93" s="69"/>
      <c r="G93" s="495" t="s">
        <v>217</v>
      </c>
      <c r="H93" s="385" t="s">
        <v>382</v>
      </c>
      <c r="I93" s="385" t="s">
        <v>383</v>
      </c>
      <c r="J93" s="262" t="s">
        <v>202</v>
      </c>
      <c r="K93" s="154"/>
      <c r="L93" s="230"/>
    </row>
    <row r="94">
      <c r="A94" s="47"/>
      <c r="B94" s="496">
        <v>101.0</v>
      </c>
      <c r="C94" s="265">
        <v>209.0</v>
      </c>
      <c r="D94" s="496">
        <v>421.0</v>
      </c>
      <c r="E94" s="496">
        <v>308.0</v>
      </c>
      <c r="F94" s="76"/>
      <c r="G94" s="497">
        <v>316.0</v>
      </c>
      <c r="H94" s="496">
        <v>312.0</v>
      </c>
      <c r="I94" s="496">
        <v>460.0</v>
      </c>
      <c r="J94" s="265">
        <v>461.0</v>
      </c>
      <c r="K94" s="457"/>
      <c r="L94" s="243"/>
    </row>
    <row r="95">
      <c r="A95" s="498" t="s">
        <v>191</v>
      </c>
      <c r="B95" s="156"/>
      <c r="C95" s="492" t="s">
        <v>379</v>
      </c>
      <c r="D95" s="156"/>
      <c r="E95" s="63"/>
      <c r="F95" s="499" t="s">
        <v>379</v>
      </c>
      <c r="G95" s="492" t="s">
        <v>379</v>
      </c>
      <c r="H95" s="470" t="s">
        <v>357</v>
      </c>
      <c r="I95" s="256" t="s">
        <v>197</v>
      </c>
      <c r="J95" s="492" t="s">
        <v>379</v>
      </c>
      <c r="K95" s="158"/>
      <c r="L95" s="230"/>
    </row>
    <row r="96">
      <c r="A96" s="38"/>
      <c r="B96" s="156"/>
      <c r="C96" s="385" t="s">
        <v>233</v>
      </c>
      <c r="D96" s="156"/>
      <c r="E96" s="69"/>
      <c r="F96" s="501" t="s">
        <v>381</v>
      </c>
      <c r="G96" s="385" t="s">
        <v>382</v>
      </c>
      <c r="H96" s="473" t="s">
        <v>78</v>
      </c>
      <c r="I96" s="262" t="s">
        <v>202</v>
      </c>
      <c r="J96" s="502" t="s">
        <v>383</v>
      </c>
      <c r="K96" s="154"/>
      <c r="L96" s="230"/>
    </row>
    <row r="97">
      <c r="A97" s="44"/>
      <c r="B97" s="172"/>
      <c r="C97" s="496">
        <v>101.0</v>
      </c>
      <c r="D97" s="172"/>
      <c r="E97" s="76"/>
      <c r="F97" s="496">
        <v>308.0</v>
      </c>
      <c r="G97" s="496">
        <v>312.0</v>
      </c>
      <c r="H97" s="503">
        <v>316.0</v>
      </c>
      <c r="I97" s="504">
        <v>461.0</v>
      </c>
      <c r="J97" s="496">
        <v>460.0</v>
      </c>
      <c r="K97" s="457"/>
      <c r="L97" s="243"/>
    </row>
    <row r="98">
      <c r="A98" s="149" t="s">
        <v>103</v>
      </c>
      <c r="B98" s="148"/>
      <c r="C98" s="46"/>
      <c r="D98" s="46"/>
      <c r="E98" s="46"/>
      <c r="F98" s="46"/>
      <c r="G98" s="46"/>
      <c r="H98" s="46"/>
      <c r="I98" s="46"/>
      <c r="J98" s="46"/>
      <c r="K98" s="46"/>
      <c r="L98" s="47"/>
    </row>
    <row r="99">
      <c r="A99" s="154" t="s">
        <v>128</v>
      </c>
      <c r="B99" s="396" t="s">
        <v>85</v>
      </c>
      <c r="L99" s="23"/>
    </row>
    <row r="100">
      <c r="A100" s="23"/>
      <c r="L100" s="23"/>
    </row>
    <row r="101">
      <c r="A101" s="47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7"/>
    </row>
    <row r="102">
      <c r="A102" s="154" t="s">
        <v>139</v>
      </c>
      <c r="B102" s="156"/>
      <c r="C102" s="156"/>
      <c r="D102" s="156"/>
      <c r="E102" s="156"/>
      <c r="F102" s="156"/>
      <c r="G102" s="156"/>
      <c r="H102" s="156"/>
      <c r="I102" s="156"/>
      <c r="J102" s="156"/>
      <c r="K102" s="158"/>
      <c r="L102" s="505"/>
    </row>
    <row r="103">
      <c r="A103" s="23"/>
      <c r="B103" s="156"/>
      <c r="C103" s="156"/>
      <c r="D103" s="156"/>
      <c r="E103" s="156"/>
      <c r="F103" s="156"/>
      <c r="G103" s="156"/>
      <c r="H103" s="156"/>
      <c r="I103" s="156"/>
      <c r="J103" s="156"/>
      <c r="K103" s="154"/>
      <c r="L103" s="156"/>
    </row>
    <row r="104">
      <c r="A104" s="47"/>
      <c r="B104" s="172"/>
      <c r="C104" s="172"/>
      <c r="D104" s="172"/>
      <c r="E104" s="172"/>
      <c r="F104" s="172"/>
      <c r="G104" s="172"/>
      <c r="H104" s="172"/>
      <c r="I104" s="172"/>
      <c r="J104" s="172"/>
      <c r="K104" s="457"/>
      <c r="L104" s="172"/>
    </row>
    <row r="105">
      <c r="A105" s="154" t="s">
        <v>158</v>
      </c>
      <c r="B105" s="156"/>
      <c r="C105" s="156"/>
      <c r="D105" s="156"/>
      <c r="E105" s="156"/>
      <c r="F105" s="156"/>
      <c r="G105" s="156"/>
      <c r="H105" s="156"/>
      <c r="I105" s="156"/>
      <c r="J105" s="156"/>
      <c r="K105" s="158"/>
      <c r="L105" s="156"/>
    </row>
    <row r="106">
      <c r="A106" s="23"/>
      <c r="B106" s="156"/>
      <c r="C106" s="156"/>
      <c r="D106" s="156"/>
      <c r="E106" s="156"/>
      <c r="F106" s="156"/>
      <c r="G106" s="156"/>
      <c r="H106" s="156"/>
      <c r="I106" s="156"/>
      <c r="J106" s="156"/>
      <c r="K106" s="154"/>
      <c r="L106" s="156"/>
    </row>
    <row r="107">
      <c r="A107" s="47"/>
      <c r="B107" s="172"/>
      <c r="C107" s="172"/>
      <c r="D107" s="172"/>
      <c r="E107" s="172"/>
      <c r="F107" s="172"/>
      <c r="G107" s="172"/>
      <c r="H107" s="172"/>
      <c r="I107" s="172"/>
      <c r="J107" s="172"/>
      <c r="K107" s="457"/>
      <c r="L107" s="172"/>
    </row>
    <row r="108">
      <c r="A108" s="154" t="s">
        <v>172</v>
      </c>
      <c r="B108" s="156"/>
      <c r="C108" s="156"/>
      <c r="D108" s="156"/>
      <c r="E108" s="156"/>
      <c r="F108" s="156"/>
      <c r="G108" s="156"/>
      <c r="H108" s="156"/>
      <c r="I108" s="156"/>
      <c r="J108" s="156"/>
      <c r="K108" s="156"/>
      <c r="L108" s="156"/>
    </row>
    <row r="109">
      <c r="A109" s="23"/>
      <c r="B109" s="156"/>
      <c r="C109" s="156"/>
      <c r="D109" s="156"/>
      <c r="E109" s="156"/>
      <c r="F109" s="156"/>
      <c r="G109" s="156"/>
      <c r="H109" s="156"/>
      <c r="I109" s="156"/>
      <c r="J109" s="156"/>
      <c r="K109" s="156"/>
      <c r="L109" s="156"/>
    </row>
    <row r="110">
      <c r="A110" s="47"/>
      <c r="B110" s="172"/>
      <c r="C110" s="172"/>
      <c r="D110" s="172"/>
      <c r="E110" s="172"/>
      <c r="F110" s="172"/>
      <c r="G110" s="172"/>
      <c r="H110" s="172"/>
      <c r="I110" s="172"/>
      <c r="J110" s="172"/>
      <c r="K110" s="172"/>
      <c r="L110" s="172"/>
    </row>
    <row r="111">
      <c r="A111" s="154" t="s">
        <v>184</v>
      </c>
      <c r="B111" s="156"/>
      <c r="C111" s="156"/>
      <c r="D111" s="156"/>
      <c r="E111" s="156"/>
      <c r="F111" s="156"/>
      <c r="G111" s="156"/>
      <c r="H111" s="156"/>
      <c r="I111" s="156"/>
      <c r="J111" s="156"/>
      <c r="K111" s="156"/>
      <c r="L111" s="156"/>
    </row>
    <row r="112">
      <c r="A112" s="23"/>
      <c r="B112" s="156"/>
      <c r="C112" s="156"/>
      <c r="D112" s="156"/>
      <c r="E112" s="156"/>
      <c r="F112" s="156"/>
      <c r="G112" s="156"/>
      <c r="H112" s="156"/>
      <c r="I112" s="156"/>
      <c r="J112" s="156"/>
      <c r="K112" s="156"/>
      <c r="L112" s="156"/>
    </row>
    <row r="113">
      <c r="A113" s="47"/>
      <c r="B113" s="172"/>
      <c r="C113" s="172"/>
      <c r="D113" s="172"/>
      <c r="E113" s="172"/>
      <c r="F113" s="172"/>
      <c r="G113" s="172"/>
      <c r="H113" s="172"/>
      <c r="I113" s="172"/>
      <c r="J113" s="172"/>
      <c r="K113" s="172"/>
      <c r="L113" s="172"/>
    </row>
    <row r="114">
      <c r="A114" s="154" t="s">
        <v>191</v>
      </c>
      <c r="B114" s="156"/>
      <c r="C114" s="156"/>
      <c r="D114" s="156"/>
      <c r="E114" s="156"/>
      <c r="F114" s="156"/>
      <c r="G114" s="156"/>
      <c r="H114" s="156"/>
      <c r="I114" s="156"/>
      <c r="J114" s="156"/>
      <c r="K114" s="156"/>
      <c r="L114" s="156"/>
    </row>
    <row r="115">
      <c r="A115" s="23"/>
      <c r="B115" s="156"/>
      <c r="C115" s="156"/>
      <c r="D115" s="156"/>
      <c r="E115" s="156"/>
      <c r="F115" s="156"/>
      <c r="G115" s="156"/>
      <c r="H115" s="156"/>
      <c r="I115" s="156"/>
      <c r="J115" s="156"/>
      <c r="K115" s="156"/>
      <c r="L115" s="156"/>
    </row>
    <row r="116">
      <c r="A116" s="47"/>
      <c r="B116" s="172"/>
      <c r="C116" s="172"/>
      <c r="D116" s="172"/>
      <c r="E116" s="172"/>
      <c r="F116" s="172"/>
      <c r="G116" s="172"/>
      <c r="H116" s="172"/>
      <c r="I116" s="172"/>
      <c r="J116" s="172"/>
      <c r="K116" s="172"/>
      <c r="L116" s="172"/>
    </row>
  </sheetData>
  <mergeCells count="84">
    <mergeCell ref="B6:L6"/>
    <mergeCell ref="B7:F7"/>
    <mergeCell ref="G7:H7"/>
    <mergeCell ref="I7:J7"/>
    <mergeCell ref="B8:F8"/>
    <mergeCell ref="G8:H8"/>
    <mergeCell ref="A1:A2"/>
    <mergeCell ref="B1:L1"/>
    <mergeCell ref="B3:L3"/>
    <mergeCell ref="A4:A6"/>
    <mergeCell ref="B4:L4"/>
    <mergeCell ref="B5:L5"/>
    <mergeCell ref="I8:J8"/>
    <mergeCell ref="I10:J10"/>
    <mergeCell ref="I11:J11"/>
    <mergeCell ref="B12:F12"/>
    <mergeCell ref="I12:J12"/>
    <mergeCell ref="A7:A9"/>
    <mergeCell ref="B9:F9"/>
    <mergeCell ref="G9:H9"/>
    <mergeCell ref="I9:J9"/>
    <mergeCell ref="A10:A12"/>
    <mergeCell ref="B10:F10"/>
    <mergeCell ref="B11:F11"/>
    <mergeCell ref="A13:A15"/>
    <mergeCell ref="A16:A18"/>
    <mergeCell ref="A19:A21"/>
    <mergeCell ref="B22:L22"/>
    <mergeCell ref="A23:A25"/>
    <mergeCell ref="A26:A28"/>
    <mergeCell ref="A29:A31"/>
    <mergeCell ref="A102:A104"/>
    <mergeCell ref="A105:A107"/>
    <mergeCell ref="A108:A110"/>
    <mergeCell ref="A111:A113"/>
    <mergeCell ref="A114:A116"/>
    <mergeCell ref="A80:A82"/>
    <mergeCell ref="A83:A85"/>
    <mergeCell ref="A86:A88"/>
    <mergeCell ref="A89:A91"/>
    <mergeCell ref="A92:A94"/>
    <mergeCell ref="A95:A97"/>
    <mergeCell ref="A99:A101"/>
    <mergeCell ref="B48:K48"/>
    <mergeCell ref="B49:K49"/>
    <mergeCell ref="A32:A34"/>
    <mergeCell ref="A35:A37"/>
    <mergeCell ref="A38:A40"/>
    <mergeCell ref="B41:L41"/>
    <mergeCell ref="A42:A44"/>
    <mergeCell ref="A45:A47"/>
    <mergeCell ref="B50:K50"/>
    <mergeCell ref="B62:F62"/>
    <mergeCell ref="B63:F63"/>
    <mergeCell ref="I63:J63"/>
    <mergeCell ref="B51:K51"/>
    <mergeCell ref="B52:K52"/>
    <mergeCell ref="B53:K53"/>
    <mergeCell ref="B60:L60"/>
    <mergeCell ref="B61:F61"/>
    <mergeCell ref="I61:J61"/>
    <mergeCell ref="I62:J62"/>
    <mergeCell ref="A48:A50"/>
    <mergeCell ref="A51:A53"/>
    <mergeCell ref="A54:A56"/>
    <mergeCell ref="A57:A59"/>
    <mergeCell ref="A61:A63"/>
    <mergeCell ref="A64:A66"/>
    <mergeCell ref="A67:A69"/>
    <mergeCell ref="B86:J86"/>
    <mergeCell ref="B87:J87"/>
    <mergeCell ref="B88:J88"/>
    <mergeCell ref="B89:J89"/>
    <mergeCell ref="B90:J90"/>
    <mergeCell ref="B91:J91"/>
    <mergeCell ref="B98:L98"/>
    <mergeCell ref="B99:L101"/>
    <mergeCell ref="A70:A72"/>
    <mergeCell ref="A73:A75"/>
    <mergeCell ref="A76:A78"/>
    <mergeCell ref="B79:L79"/>
    <mergeCell ref="G80:H80"/>
    <mergeCell ref="G81:H81"/>
    <mergeCell ref="G82:H82"/>
  </mergeCells>
  <conditionalFormatting sqref="A1:A21 B1:L3 K7:K9 L7:L21 B10:F12 I10:J12 B19:K21 A23:A40 B23:B25 C23:C27 D23:E25 J23:J24 I26:J28 K26:L40 D28:D31 E29:E30 F29 H29:H40 B31:B40 C32:C40 F32:G40 I32:J40 D35:E40 A42:L59 A61:L78 A80:K97 L83:L97 A99:J116 K99:K113 L99:L116">
    <cfRule type="expression" dxfId="0" priority="1">
      <formula>REGEXMATCH(A1, "(^\s+)|(\s+$)")</formula>
    </cfRule>
  </conditionalFormatting>
  <conditionalFormatting sqref="A1:A21 B1:L3 K7:K9 L7:L21 B10:F12 I10:J12 B19:K21 A23:A40 B23:B25 C23:C27 D23:E25 J23:J24 I26:J28 K26:L40 D28:D31 E29:E30 F29 H29:H40 B31:B40 C32:C40 F32:G40 I32:J40 D35:E40 A42:L59 A61:L78 A80:K97 L83:L97 A99:J116 K99:K113 L99:L116">
    <cfRule type="expression" dxfId="0" priority="2">
      <formula>REGEXMATCH(A1, "[а-яА-Я]")</formula>
    </cfRule>
  </conditionalFormatting>
  <conditionalFormatting sqref="A1:A21 B1:L3 K7:K9 L7:L21 B10:F12 I10:J12 B19:K21 A23:A40 B23:B25 C23:C27 D23:E25 J23:J24 I26:J28 K26:L40 D28:D31 E29:E30 F29 H29:H40 B31:B40 C32:C40 F32:G40 I32:J40 D35:E40 A42:L59 A61:L78 A80:K97 L83:L97 A99:J116 K99:K113 L99:L116">
    <cfRule type="expression" dxfId="0" priority="3">
      <formula>REGEXMATCH(A1, "\s{2,}")</formula>
    </cfRule>
  </conditionalFormatting>
  <conditionalFormatting sqref="A1:A21 B1:L3 K7:K9 L7:L21 B10:F12 I10:J12 B19:K21 A23:A40 B23:B25 C23:C27 D23:E25 J23:J24 I26:J28 K26:L40 D28:D31 E29:E30 F29 H29:H40 B31:B40 C32:C40 F32:G40 I32:J40 D35:E40 A42:L59 A61:L78 A80:K97 L83:L97 A99:J116 K99:K113 L99:L116">
    <cfRule type="expression" dxfId="0" priority="4">
      <formula>REGEXMATCH(A1, "(\S\()|(\)\S)")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7" width="28.25"/>
  </cols>
  <sheetData>
    <row r="1">
      <c r="A1" s="136"/>
      <c r="B1" s="135" t="s">
        <v>0</v>
      </c>
      <c r="C1" s="3"/>
      <c r="D1" s="3"/>
      <c r="E1" s="3"/>
      <c r="F1" s="3"/>
      <c r="G1" s="4"/>
    </row>
    <row r="2">
      <c r="A2" s="47"/>
      <c r="B2" s="144" t="s">
        <v>3</v>
      </c>
      <c r="C2" s="144" t="s">
        <v>4</v>
      </c>
      <c r="D2" s="144" t="s">
        <v>5</v>
      </c>
      <c r="E2" s="144" t="s">
        <v>6</v>
      </c>
      <c r="F2" s="144" t="s">
        <v>7</v>
      </c>
      <c r="G2" s="540" t="s">
        <v>451</v>
      </c>
    </row>
    <row r="3">
      <c r="A3" s="147" t="s">
        <v>38</v>
      </c>
      <c r="B3" s="148"/>
      <c r="C3" s="46"/>
      <c r="D3" s="46"/>
      <c r="E3" s="46"/>
      <c r="F3" s="46"/>
      <c r="G3" s="47"/>
    </row>
    <row r="4">
      <c r="A4" s="152" t="s">
        <v>39</v>
      </c>
      <c r="B4" s="305"/>
      <c r="C4" s="305"/>
      <c r="D4" s="541"/>
      <c r="E4" s="541"/>
      <c r="F4" s="541"/>
      <c r="G4" s="542"/>
    </row>
    <row r="5">
      <c r="A5" s="38"/>
      <c r="B5" s="156"/>
      <c r="C5" s="156"/>
      <c r="D5" s="156"/>
      <c r="E5" s="156"/>
      <c r="F5" s="156"/>
      <c r="G5" s="543"/>
    </row>
    <row r="6">
      <c r="A6" s="44"/>
      <c r="B6" s="172"/>
      <c r="C6" s="172"/>
      <c r="D6" s="172"/>
      <c r="E6" s="172"/>
      <c r="F6" s="172"/>
      <c r="G6" s="544"/>
    </row>
    <row r="7">
      <c r="A7" s="152" t="s">
        <v>49</v>
      </c>
      <c r="B7" s="545" t="s">
        <v>452</v>
      </c>
      <c r="G7" s="23"/>
    </row>
    <row r="8">
      <c r="A8" s="38"/>
      <c r="B8" s="546" t="s">
        <v>453</v>
      </c>
      <c r="G8" s="23"/>
    </row>
    <row r="9">
      <c r="A9" s="44"/>
      <c r="B9" s="547">
        <v>107.0</v>
      </c>
      <c r="C9" s="46"/>
      <c r="D9" s="46"/>
      <c r="E9" s="46"/>
      <c r="F9" s="46"/>
      <c r="G9" s="47"/>
    </row>
    <row r="10">
      <c r="A10" s="152" t="s">
        <v>51</v>
      </c>
      <c r="B10" s="545" t="s">
        <v>454</v>
      </c>
      <c r="G10" s="23"/>
    </row>
    <row r="11">
      <c r="A11" s="38"/>
      <c r="B11" s="546" t="s">
        <v>453</v>
      </c>
      <c r="G11" s="23"/>
    </row>
    <row r="12">
      <c r="A12" s="44"/>
      <c r="B12" s="547">
        <v>107.0</v>
      </c>
      <c r="C12" s="46"/>
      <c r="D12" s="46"/>
      <c r="E12" s="46"/>
      <c r="F12" s="46"/>
      <c r="G12" s="47"/>
    </row>
    <row r="13">
      <c r="A13" s="152" t="s">
        <v>59</v>
      </c>
      <c r="B13" s="548" t="s">
        <v>455</v>
      </c>
      <c r="G13" s="23"/>
    </row>
    <row r="14">
      <c r="A14" s="38"/>
      <c r="B14" s="549" t="s">
        <v>456</v>
      </c>
      <c r="G14" s="23"/>
    </row>
    <row r="15">
      <c r="A15" s="44"/>
      <c r="B15" s="550" t="s">
        <v>457</v>
      </c>
      <c r="C15" s="46"/>
      <c r="D15" s="46"/>
      <c r="E15" s="46"/>
      <c r="F15" s="46"/>
      <c r="G15" s="47"/>
    </row>
    <row r="16">
      <c r="A16" s="152" t="s">
        <v>64</v>
      </c>
      <c r="B16" s="548" t="s">
        <v>458</v>
      </c>
      <c r="G16" s="23"/>
    </row>
    <row r="17">
      <c r="A17" s="38"/>
      <c r="B17" s="549" t="s">
        <v>456</v>
      </c>
      <c r="G17" s="23"/>
    </row>
    <row r="18">
      <c r="A18" s="44"/>
      <c r="B18" s="550" t="s">
        <v>457</v>
      </c>
      <c r="C18" s="46"/>
      <c r="D18" s="46"/>
      <c r="E18" s="46"/>
      <c r="F18" s="46"/>
      <c r="G18" s="47"/>
    </row>
    <row r="19">
      <c r="A19" s="152" t="s">
        <v>66</v>
      </c>
      <c r="B19" s="551" t="s">
        <v>459</v>
      </c>
      <c r="C19" s="63"/>
      <c r="D19" s="63"/>
      <c r="E19" s="541"/>
      <c r="F19" s="541"/>
      <c r="G19" s="552" t="s">
        <v>460</v>
      </c>
    </row>
    <row r="20">
      <c r="A20" s="38"/>
      <c r="B20" s="192" t="s">
        <v>461</v>
      </c>
      <c r="C20" s="69"/>
      <c r="D20" s="69"/>
      <c r="E20" s="156"/>
      <c r="F20" s="156"/>
      <c r="G20" s="553" t="s">
        <v>462</v>
      </c>
    </row>
    <row r="21">
      <c r="A21" s="44"/>
      <c r="B21" s="201">
        <v>460.0</v>
      </c>
      <c r="C21" s="76"/>
      <c r="D21" s="76"/>
      <c r="E21" s="172"/>
      <c r="F21" s="172"/>
      <c r="G21" s="554" t="s">
        <v>457</v>
      </c>
    </row>
    <row r="22">
      <c r="A22" s="555" t="s">
        <v>463</v>
      </c>
      <c r="B22" s="305"/>
      <c r="C22" s="305"/>
      <c r="D22" s="541"/>
      <c r="E22" s="541"/>
      <c r="F22" s="541"/>
      <c r="G22" s="552" t="s">
        <v>460</v>
      </c>
    </row>
    <row r="23">
      <c r="A23" s="38"/>
      <c r="B23" s="156"/>
      <c r="C23" s="156"/>
      <c r="D23" s="156"/>
      <c r="E23" s="156"/>
      <c r="F23" s="156"/>
      <c r="G23" s="553" t="s">
        <v>462</v>
      </c>
    </row>
    <row r="24">
      <c r="A24" s="44"/>
      <c r="B24" s="172"/>
      <c r="C24" s="172"/>
      <c r="D24" s="172"/>
      <c r="E24" s="172"/>
      <c r="F24" s="172"/>
      <c r="G24" s="554" t="s">
        <v>457</v>
      </c>
    </row>
    <row r="25">
      <c r="A25" s="147" t="s">
        <v>74</v>
      </c>
      <c r="B25" s="148"/>
      <c r="C25" s="46"/>
      <c r="D25" s="46"/>
      <c r="E25" s="46"/>
      <c r="F25" s="46"/>
      <c r="G25" s="47"/>
    </row>
    <row r="26">
      <c r="A26" s="152" t="s">
        <v>39</v>
      </c>
      <c r="B26" s="556" t="s">
        <v>464</v>
      </c>
      <c r="C26" s="63"/>
      <c r="D26" s="63"/>
      <c r="E26" s="253"/>
      <c r="F26" s="253"/>
      <c r="G26" s="557"/>
    </row>
    <row r="27">
      <c r="A27" s="38"/>
      <c r="B27" s="255" t="s">
        <v>465</v>
      </c>
      <c r="C27" s="69"/>
      <c r="D27" s="69"/>
      <c r="E27" s="156"/>
      <c r="F27" s="156"/>
      <c r="G27" s="543"/>
    </row>
    <row r="28">
      <c r="A28" s="44"/>
      <c r="B28" s="558">
        <v>303.0</v>
      </c>
      <c r="C28" s="76"/>
      <c r="D28" s="76"/>
      <c r="E28" s="172"/>
      <c r="F28" s="172"/>
      <c r="G28" s="544"/>
    </row>
    <row r="29">
      <c r="A29" s="152" t="s">
        <v>49</v>
      </c>
      <c r="B29" s="63"/>
      <c r="C29" s="556" t="s">
        <v>464</v>
      </c>
      <c r="D29" s="551" t="s">
        <v>459</v>
      </c>
      <c r="E29" s="559" t="s">
        <v>464</v>
      </c>
      <c r="F29" s="7"/>
      <c r="G29" s="8"/>
    </row>
    <row r="30">
      <c r="A30" s="38"/>
      <c r="B30" s="69"/>
      <c r="C30" s="255" t="s">
        <v>465</v>
      </c>
      <c r="D30" s="192" t="s">
        <v>466</v>
      </c>
      <c r="E30" s="546" t="s">
        <v>467</v>
      </c>
      <c r="G30" s="23"/>
    </row>
    <row r="31">
      <c r="A31" s="44"/>
      <c r="B31" s="76"/>
      <c r="C31" s="558">
        <v>303.0</v>
      </c>
      <c r="D31" s="201">
        <v>314.0</v>
      </c>
      <c r="E31" s="560">
        <v>101.0</v>
      </c>
      <c r="F31" s="46"/>
      <c r="G31" s="47"/>
    </row>
    <row r="32">
      <c r="A32" s="152" t="s">
        <v>51</v>
      </c>
      <c r="B32" s="63"/>
      <c r="C32" s="551" t="s">
        <v>459</v>
      </c>
      <c r="D32" s="556" t="s">
        <v>464</v>
      </c>
      <c r="E32" s="561" t="s">
        <v>459</v>
      </c>
      <c r="F32" s="7"/>
      <c r="G32" s="8"/>
    </row>
    <row r="33">
      <c r="A33" s="38"/>
      <c r="B33" s="69"/>
      <c r="C33" s="192" t="s">
        <v>466</v>
      </c>
      <c r="D33" s="255" t="s">
        <v>467</v>
      </c>
      <c r="E33" s="549" t="s">
        <v>461</v>
      </c>
      <c r="G33" s="23"/>
    </row>
    <row r="34">
      <c r="A34" s="44"/>
      <c r="B34" s="76"/>
      <c r="C34" s="201">
        <v>303.0</v>
      </c>
      <c r="D34" s="547">
        <v>101.0</v>
      </c>
      <c r="E34" s="562">
        <v>460.0</v>
      </c>
      <c r="F34" s="46"/>
      <c r="G34" s="47"/>
    </row>
    <row r="35">
      <c r="A35" s="152" t="s">
        <v>59</v>
      </c>
      <c r="B35" s="563" t="s">
        <v>468</v>
      </c>
      <c r="C35" s="563" t="s">
        <v>468</v>
      </c>
      <c r="D35" s="563" t="s">
        <v>468</v>
      </c>
      <c r="E35" s="563" t="s">
        <v>468</v>
      </c>
      <c r="F35" s="563" t="s">
        <v>468</v>
      </c>
      <c r="G35" s="564" t="s">
        <v>468</v>
      </c>
    </row>
    <row r="36">
      <c r="A36" s="38"/>
      <c r="B36" s="565" t="s">
        <v>165</v>
      </c>
      <c r="C36" s="565" t="s">
        <v>165</v>
      </c>
      <c r="D36" s="565" t="s">
        <v>165</v>
      </c>
      <c r="E36" s="565" t="s">
        <v>165</v>
      </c>
      <c r="F36" s="565" t="s">
        <v>165</v>
      </c>
      <c r="G36" s="566" t="s">
        <v>165</v>
      </c>
    </row>
    <row r="37">
      <c r="A37" s="44"/>
      <c r="B37" s="567" t="s">
        <v>469</v>
      </c>
      <c r="C37" s="567" t="s">
        <v>469</v>
      </c>
      <c r="D37" s="567" t="s">
        <v>469</v>
      </c>
      <c r="E37" s="567" t="s">
        <v>469</v>
      </c>
      <c r="F37" s="567" t="s">
        <v>469</v>
      </c>
      <c r="G37" s="567" t="s">
        <v>469</v>
      </c>
    </row>
    <row r="38">
      <c r="A38" s="152" t="s">
        <v>64</v>
      </c>
      <c r="B38" s="563" t="s">
        <v>468</v>
      </c>
      <c r="C38" s="563" t="s">
        <v>468</v>
      </c>
      <c r="D38" s="563" t="s">
        <v>468</v>
      </c>
      <c r="E38" s="563" t="s">
        <v>468</v>
      </c>
      <c r="F38" s="563" t="s">
        <v>468</v>
      </c>
      <c r="G38" s="564" t="s">
        <v>468</v>
      </c>
    </row>
    <row r="39">
      <c r="A39" s="38"/>
      <c r="B39" s="565" t="s">
        <v>165</v>
      </c>
      <c r="C39" s="565" t="s">
        <v>165</v>
      </c>
      <c r="D39" s="565" t="s">
        <v>165</v>
      </c>
      <c r="E39" s="565" t="s">
        <v>165</v>
      </c>
      <c r="F39" s="565" t="s">
        <v>165</v>
      </c>
      <c r="G39" s="566" t="s">
        <v>165</v>
      </c>
    </row>
    <row r="40">
      <c r="A40" s="44"/>
      <c r="B40" s="568" t="s">
        <v>470</v>
      </c>
      <c r="C40" s="568" t="s">
        <v>470</v>
      </c>
      <c r="D40" s="568" t="s">
        <v>470</v>
      </c>
      <c r="E40" s="568" t="s">
        <v>470</v>
      </c>
      <c r="F40" s="568" t="s">
        <v>470</v>
      </c>
      <c r="G40" s="568" t="s">
        <v>470</v>
      </c>
    </row>
    <row r="41">
      <c r="A41" s="152" t="s">
        <v>66</v>
      </c>
      <c r="B41" s="156"/>
      <c r="C41" s="156"/>
      <c r="D41" s="156"/>
      <c r="E41" s="156"/>
      <c r="F41" s="156"/>
      <c r="G41" s="569" t="s">
        <v>471</v>
      </c>
    </row>
    <row r="42">
      <c r="A42" s="38"/>
      <c r="B42" s="156"/>
      <c r="C42" s="156"/>
      <c r="D42" s="156"/>
      <c r="E42" s="156"/>
      <c r="F42" s="156"/>
      <c r="G42" s="570" t="s">
        <v>472</v>
      </c>
    </row>
    <row r="43">
      <c r="A43" s="44"/>
      <c r="B43" s="172"/>
      <c r="C43" s="172"/>
      <c r="D43" s="172"/>
      <c r="E43" s="172"/>
      <c r="F43" s="172"/>
      <c r="G43" s="571" t="s">
        <v>457</v>
      </c>
    </row>
    <row r="44">
      <c r="A44" s="555" t="s">
        <v>463</v>
      </c>
      <c r="B44" s="156"/>
      <c r="C44" s="156"/>
      <c r="D44" s="156"/>
      <c r="E44" s="156"/>
      <c r="F44" s="156"/>
      <c r="G44" s="569" t="s">
        <v>471</v>
      </c>
    </row>
    <row r="45">
      <c r="A45" s="38"/>
      <c r="B45" s="156"/>
      <c r="C45" s="156"/>
      <c r="D45" s="156"/>
      <c r="E45" s="156"/>
      <c r="F45" s="156"/>
      <c r="G45" s="570" t="s">
        <v>472</v>
      </c>
    </row>
    <row r="46">
      <c r="A46" s="44"/>
      <c r="B46" s="172"/>
      <c r="C46" s="172"/>
      <c r="D46" s="172"/>
      <c r="E46" s="172"/>
      <c r="F46" s="172"/>
      <c r="G46" s="571" t="s">
        <v>473</v>
      </c>
    </row>
    <row r="47">
      <c r="A47" s="147" t="s">
        <v>82</v>
      </c>
      <c r="B47" s="148"/>
      <c r="C47" s="46"/>
      <c r="D47" s="46"/>
      <c r="E47" s="46"/>
      <c r="F47" s="46"/>
      <c r="G47" s="47"/>
    </row>
    <row r="48">
      <c r="A48" s="152" t="s">
        <v>39</v>
      </c>
      <c r="B48" s="156"/>
      <c r="C48" s="156"/>
      <c r="D48" s="156"/>
      <c r="E48" s="156"/>
      <c r="F48" s="156"/>
      <c r="G48" s="543"/>
    </row>
    <row r="49">
      <c r="A49" s="38"/>
      <c r="B49" s="156"/>
      <c r="C49" s="156"/>
      <c r="D49" s="156"/>
      <c r="E49" s="156"/>
      <c r="F49" s="156"/>
      <c r="G49" s="543"/>
    </row>
    <row r="50">
      <c r="A50" s="44"/>
      <c r="B50" s="172"/>
      <c r="C50" s="172"/>
      <c r="D50" s="172"/>
      <c r="E50" s="172"/>
      <c r="F50" s="172"/>
      <c r="G50" s="544"/>
    </row>
    <row r="51">
      <c r="A51" s="152" t="s">
        <v>49</v>
      </c>
      <c r="B51" s="449"/>
      <c r="C51" s="156"/>
      <c r="D51" s="572" t="s">
        <v>474</v>
      </c>
      <c r="F51" s="23"/>
      <c r="G51" s="573"/>
    </row>
    <row r="52">
      <c r="A52" s="38"/>
      <c r="B52" s="237"/>
      <c r="C52" s="156"/>
      <c r="D52" s="574" t="s">
        <v>475</v>
      </c>
      <c r="F52" s="23"/>
      <c r="G52" s="575"/>
    </row>
    <row r="53">
      <c r="A53" s="44"/>
      <c r="B53" s="412"/>
      <c r="C53" s="172"/>
      <c r="D53" s="576">
        <v>303.0</v>
      </c>
      <c r="E53" s="46"/>
      <c r="F53" s="47"/>
      <c r="G53" s="577"/>
    </row>
    <row r="54">
      <c r="A54" s="152" t="s">
        <v>51</v>
      </c>
      <c r="B54" s="572" t="s">
        <v>474</v>
      </c>
      <c r="C54" s="23"/>
      <c r="D54" s="63"/>
      <c r="E54" s="156"/>
      <c r="F54" s="156"/>
      <c r="G54" s="578" t="s">
        <v>476</v>
      </c>
    </row>
    <row r="55">
      <c r="A55" s="38"/>
      <c r="B55" s="574" t="s">
        <v>477</v>
      </c>
      <c r="C55" s="23"/>
      <c r="D55" s="69"/>
      <c r="E55" s="156"/>
      <c r="F55" s="156"/>
      <c r="G55" s="579" t="s">
        <v>478</v>
      </c>
    </row>
    <row r="56">
      <c r="A56" s="44"/>
      <c r="B56" s="576">
        <v>303.0</v>
      </c>
      <c r="C56" s="47"/>
      <c r="D56" s="76"/>
      <c r="E56" s="172"/>
      <c r="F56" s="172"/>
      <c r="G56" s="580" t="s">
        <v>457</v>
      </c>
    </row>
    <row r="57">
      <c r="A57" s="152" t="s">
        <v>59</v>
      </c>
      <c r="B57" s="581" t="s">
        <v>479</v>
      </c>
      <c r="G57" s="23"/>
    </row>
    <row r="58">
      <c r="A58" s="38"/>
      <c r="B58" s="582" t="s">
        <v>480</v>
      </c>
      <c r="G58" s="23"/>
    </row>
    <row r="59">
      <c r="A59" s="44"/>
      <c r="B59" s="583">
        <v>107.0</v>
      </c>
      <c r="C59" s="46"/>
      <c r="D59" s="46"/>
      <c r="E59" s="46"/>
      <c r="F59" s="46"/>
      <c r="G59" s="47"/>
    </row>
    <row r="60">
      <c r="A60" s="152" t="s">
        <v>64</v>
      </c>
      <c r="B60" s="581" t="s">
        <v>481</v>
      </c>
      <c r="G60" s="23"/>
    </row>
    <row r="61">
      <c r="A61" s="38"/>
      <c r="B61" s="582" t="s">
        <v>480</v>
      </c>
      <c r="G61" s="23"/>
    </row>
    <row r="62">
      <c r="A62" s="44"/>
      <c r="B62" s="583">
        <v>107.0</v>
      </c>
      <c r="C62" s="46"/>
      <c r="D62" s="46"/>
      <c r="E62" s="46"/>
      <c r="F62" s="46"/>
      <c r="G62" s="47"/>
    </row>
    <row r="63">
      <c r="A63" s="152" t="s">
        <v>66</v>
      </c>
      <c r="B63" s="156"/>
      <c r="C63" s="156"/>
      <c r="D63" s="156"/>
      <c r="E63" s="156"/>
      <c r="F63" s="156"/>
      <c r="G63" s="543"/>
    </row>
    <row r="64">
      <c r="A64" s="38"/>
      <c r="B64" s="156"/>
      <c r="C64" s="156"/>
      <c r="D64" s="156"/>
      <c r="E64" s="156"/>
      <c r="F64" s="156"/>
      <c r="G64" s="543"/>
    </row>
    <row r="65">
      <c r="A65" s="44"/>
      <c r="B65" s="172"/>
      <c r="C65" s="172"/>
      <c r="D65" s="172"/>
      <c r="E65" s="172"/>
      <c r="F65" s="172"/>
      <c r="G65" s="544"/>
    </row>
    <row r="66">
      <c r="A66" s="555" t="s">
        <v>463</v>
      </c>
      <c r="B66" s="156"/>
      <c r="C66" s="156"/>
      <c r="D66" s="156"/>
      <c r="E66" s="156"/>
      <c r="F66" s="156"/>
      <c r="G66" s="543"/>
    </row>
    <row r="67">
      <c r="A67" s="38"/>
      <c r="B67" s="156"/>
      <c r="C67" s="156"/>
      <c r="D67" s="156"/>
      <c r="E67" s="156"/>
      <c r="F67" s="156"/>
      <c r="G67" s="543"/>
    </row>
    <row r="68">
      <c r="A68" s="44"/>
      <c r="B68" s="172"/>
      <c r="C68" s="172"/>
      <c r="D68" s="172"/>
      <c r="E68" s="172"/>
      <c r="F68" s="172"/>
      <c r="G68" s="544"/>
    </row>
    <row r="69">
      <c r="A69" s="147" t="s">
        <v>86</v>
      </c>
      <c r="B69" s="148"/>
      <c r="C69" s="46"/>
      <c r="D69" s="46"/>
      <c r="E69" s="46"/>
      <c r="F69" s="46"/>
      <c r="G69" s="47"/>
    </row>
    <row r="70">
      <c r="A70" s="152" t="s">
        <v>39</v>
      </c>
      <c r="B70" s="396" t="s">
        <v>482</v>
      </c>
      <c r="G70" s="23"/>
    </row>
    <row r="71">
      <c r="A71" s="38"/>
      <c r="G71" s="23"/>
    </row>
    <row r="72">
      <c r="A72" s="44"/>
      <c r="B72" s="46"/>
      <c r="C72" s="46"/>
      <c r="D72" s="46"/>
      <c r="E72" s="46"/>
      <c r="F72" s="46"/>
      <c r="G72" s="47"/>
    </row>
    <row r="73">
      <c r="A73" s="152" t="s">
        <v>49</v>
      </c>
      <c r="B73" s="584" t="s">
        <v>483</v>
      </c>
      <c r="C73" s="585"/>
      <c r="D73" s="585"/>
      <c r="E73" s="586" t="s">
        <v>483</v>
      </c>
      <c r="F73" s="7"/>
      <c r="G73" s="8"/>
    </row>
    <row r="74">
      <c r="A74" s="38"/>
      <c r="B74" s="587" t="s">
        <v>484</v>
      </c>
      <c r="C74" s="588"/>
      <c r="D74" s="588"/>
      <c r="E74" s="589" t="s">
        <v>485</v>
      </c>
      <c r="G74" s="23"/>
    </row>
    <row r="75">
      <c r="A75" s="44"/>
      <c r="B75" s="590">
        <v>101.0</v>
      </c>
      <c r="C75" s="591"/>
      <c r="D75" s="591"/>
      <c r="E75" s="592">
        <v>321.0</v>
      </c>
      <c r="F75" s="46"/>
      <c r="G75" s="47"/>
    </row>
    <row r="76">
      <c r="A76" s="152" t="s">
        <v>51</v>
      </c>
      <c r="B76" s="585"/>
      <c r="C76" s="584" t="s">
        <v>483</v>
      </c>
      <c r="D76" s="584" t="s">
        <v>483</v>
      </c>
      <c r="E76" s="585"/>
      <c r="F76" s="585"/>
      <c r="G76" s="593"/>
    </row>
    <row r="77">
      <c r="A77" s="38"/>
      <c r="B77" s="588"/>
      <c r="C77" s="385" t="s">
        <v>484</v>
      </c>
      <c r="D77" s="385" t="s">
        <v>485</v>
      </c>
      <c r="E77" s="588"/>
      <c r="F77" s="588"/>
      <c r="G77" s="594"/>
    </row>
    <row r="78">
      <c r="A78" s="44"/>
      <c r="B78" s="591"/>
      <c r="C78" s="590">
        <v>101.0</v>
      </c>
      <c r="D78" s="496">
        <v>321.0</v>
      </c>
      <c r="E78" s="591"/>
      <c r="F78" s="591"/>
      <c r="G78" s="595"/>
    </row>
    <row r="79">
      <c r="A79" s="152" t="s">
        <v>59</v>
      </c>
      <c r="B79" s="563" t="s">
        <v>468</v>
      </c>
      <c r="C79" s="563" t="s">
        <v>468</v>
      </c>
      <c r="D79" s="563" t="s">
        <v>468</v>
      </c>
      <c r="E79" s="563" t="s">
        <v>468</v>
      </c>
      <c r="F79" s="563" t="s">
        <v>468</v>
      </c>
      <c r="G79" s="564" t="s">
        <v>468</v>
      </c>
    </row>
    <row r="80">
      <c r="A80" s="38"/>
      <c r="B80" s="565" t="s">
        <v>165</v>
      </c>
      <c r="C80" s="565" t="s">
        <v>165</v>
      </c>
      <c r="D80" s="565" t="s">
        <v>165</v>
      </c>
      <c r="E80" s="565" t="s">
        <v>165</v>
      </c>
      <c r="F80" s="565" t="s">
        <v>165</v>
      </c>
      <c r="G80" s="566" t="s">
        <v>165</v>
      </c>
    </row>
    <row r="81">
      <c r="A81" s="44"/>
      <c r="B81" s="567" t="s">
        <v>486</v>
      </c>
      <c r="C81" s="567" t="s">
        <v>486</v>
      </c>
      <c r="D81" s="567" t="s">
        <v>486</v>
      </c>
      <c r="E81" s="567" t="s">
        <v>486</v>
      </c>
      <c r="F81" s="567" t="s">
        <v>486</v>
      </c>
      <c r="G81" s="568" t="s">
        <v>486</v>
      </c>
    </row>
    <row r="82">
      <c r="A82" s="152" t="s">
        <v>64</v>
      </c>
      <c r="B82" s="563" t="s">
        <v>468</v>
      </c>
      <c r="C82" s="563" t="s">
        <v>468</v>
      </c>
      <c r="D82" s="563" t="s">
        <v>468</v>
      </c>
      <c r="E82" s="563" t="s">
        <v>468</v>
      </c>
      <c r="F82" s="563" t="s">
        <v>468</v>
      </c>
      <c r="G82" s="564" t="s">
        <v>468</v>
      </c>
    </row>
    <row r="83">
      <c r="A83" s="38"/>
      <c r="B83" s="565" t="s">
        <v>165</v>
      </c>
      <c r="C83" s="565" t="s">
        <v>165</v>
      </c>
      <c r="D83" s="565" t="s">
        <v>165</v>
      </c>
      <c r="E83" s="565" t="s">
        <v>165</v>
      </c>
      <c r="F83" s="565" t="s">
        <v>165</v>
      </c>
      <c r="G83" s="566" t="s">
        <v>165</v>
      </c>
    </row>
    <row r="84">
      <c r="A84" s="44"/>
      <c r="B84" s="567" t="s">
        <v>487</v>
      </c>
      <c r="C84" s="567" t="s">
        <v>487</v>
      </c>
      <c r="D84" s="567" t="s">
        <v>487</v>
      </c>
      <c r="E84" s="567" t="s">
        <v>487</v>
      </c>
      <c r="F84" s="567" t="s">
        <v>487</v>
      </c>
      <c r="G84" s="568" t="s">
        <v>487</v>
      </c>
    </row>
    <row r="85">
      <c r="A85" s="152" t="s">
        <v>66</v>
      </c>
      <c r="B85" s="572" t="s">
        <v>488</v>
      </c>
      <c r="F85" s="23"/>
      <c r="G85" s="593"/>
    </row>
    <row r="86">
      <c r="A86" s="38"/>
      <c r="B86" s="596" t="s">
        <v>489</v>
      </c>
      <c r="F86" s="23"/>
      <c r="G86" s="594"/>
    </row>
    <row r="87">
      <c r="A87" s="44"/>
      <c r="B87" s="576" t="s">
        <v>457</v>
      </c>
      <c r="C87" s="46"/>
      <c r="D87" s="46"/>
      <c r="E87" s="46"/>
      <c r="F87" s="47"/>
      <c r="G87" s="595"/>
    </row>
    <row r="88">
      <c r="A88" s="555" t="s">
        <v>463</v>
      </c>
      <c r="B88" s="588"/>
      <c r="C88" s="588"/>
      <c r="D88" s="588"/>
      <c r="E88" s="588"/>
      <c r="F88" s="588"/>
      <c r="G88" s="594"/>
    </row>
    <row r="89">
      <c r="A89" s="38"/>
      <c r="B89" s="588"/>
      <c r="C89" s="588"/>
      <c r="D89" s="588"/>
      <c r="E89" s="588"/>
      <c r="F89" s="588"/>
      <c r="G89" s="594"/>
    </row>
    <row r="90">
      <c r="A90" s="44"/>
      <c r="B90" s="591"/>
      <c r="C90" s="591"/>
      <c r="D90" s="591"/>
      <c r="E90" s="591"/>
      <c r="F90" s="591"/>
      <c r="G90" s="595"/>
    </row>
    <row r="91">
      <c r="A91" s="147" t="s">
        <v>92</v>
      </c>
      <c r="B91" s="148"/>
      <c r="C91" s="46"/>
      <c r="D91" s="46"/>
      <c r="E91" s="46"/>
      <c r="F91" s="46"/>
      <c r="G91" s="47"/>
    </row>
    <row r="92">
      <c r="A92" s="152" t="s">
        <v>39</v>
      </c>
      <c r="B92" s="159"/>
      <c r="C92" s="159"/>
      <c r="D92" s="159"/>
      <c r="E92" s="159"/>
      <c r="F92" s="159"/>
      <c r="G92" s="597"/>
    </row>
    <row r="93">
      <c r="A93" s="38"/>
      <c r="B93" s="159"/>
      <c r="C93" s="159"/>
      <c r="D93" s="159"/>
      <c r="E93" s="159"/>
      <c r="F93" s="159"/>
      <c r="G93" s="597"/>
    </row>
    <row r="94">
      <c r="A94" s="44"/>
      <c r="B94" s="175"/>
      <c r="C94" s="175"/>
      <c r="D94" s="175"/>
      <c r="E94" s="175"/>
      <c r="F94" s="175"/>
      <c r="G94" s="598"/>
    </row>
    <row r="95">
      <c r="A95" s="152" t="s">
        <v>49</v>
      </c>
      <c r="B95" s="599" t="s">
        <v>490</v>
      </c>
      <c r="G95" s="23"/>
    </row>
    <row r="96">
      <c r="A96" s="38"/>
      <c r="B96" s="600" t="s">
        <v>491</v>
      </c>
      <c r="G96" s="23"/>
    </row>
    <row r="97">
      <c r="A97" s="44"/>
      <c r="B97" s="601">
        <v>107.0</v>
      </c>
      <c r="C97" s="46"/>
      <c r="D97" s="46"/>
      <c r="E97" s="46"/>
      <c r="F97" s="46"/>
      <c r="G97" s="47"/>
    </row>
    <row r="98">
      <c r="A98" s="152" t="s">
        <v>51</v>
      </c>
      <c r="B98" s="599" t="s">
        <v>492</v>
      </c>
      <c r="G98" s="23"/>
    </row>
    <row r="99">
      <c r="A99" s="38"/>
      <c r="B99" s="602" t="s">
        <v>491</v>
      </c>
      <c r="G99" s="23"/>
    </row>
    <row r="100">
      <c r="A100" s="44"/>
      <c r="B100" s="601">
        <v>107.0</v>
      </c>
      <c r="C100" s="46"/>
      <c r="D100" s="46"/>
      <c r="E100" s="46"/>
      <c r="F100" s="46"/>
      <c r="G100" s="47"/>
    </row>
    <row r="101">
      <c r="A101" s="152" t="s">
        <v>59</v>
      </c>
      <c r="B101" s="63"/>
      <c r="C101" s="63"/>
      <c r="D101" s="156"/>
      <c r="E101" s="603" t="s">
        <v>493</v>
      </c>
      <c r="G101" s="23"/>
    </row>
    <row r="102">
      <c r="A102" s="38"/>
      <c r="B102" s="69"/>
      <c r="C102" s="69"/>
      <c r="D102" s="156"/>
      <c r="E102" s="602" t="s">
        <v>494</v>
      </c>
      <c r="G102" s="23"/>
    </row>
    <row r="103">
      <c r="A103" s="44"/>
      <c r="B103" s="76"/>
      <c r="C103" s="76"/>
      <c r="D103" s="172"/>
      <c r="E103" s="601">
        <v>300.0</v>
      </c>
      <c r="F103" s="46"/>
      <c r="G103" s="47"/>
    </row>
    <row r="104">
      <c r="A104" s="152" t="s">
        <v>64</v>
      </c>
      <c r="B104" s="604" t="s">
        <v>493</v>
      </c>
      <c r="C104" s="63"/>
      <c r="D104" s="63"/>
      <c r="E104" s="588"/>
      <c r="F104" s="156"/>
      <c r="G104" s="543"/>
    </row>
    <row r="105">
      <c r="A105" s="38"/>
      <c r="B105" s="605" t="s">
        <v>494</v>
      </c>
      <c r="C105" s="69"/>
      <c r="D105" s="69"/>
      <c r="E105" s="588"/>
      <c r="F105" s="156"/>
      <c r="G105" s="543"/>
    </row>
    <row r="106">
      <c r="A106" s="44"/>
      <c r="B106" s="606">
        <v>300.0</v>
      </c>
      <c r="C106" s="76"/>
      <c r="D106" s="76"/>
      <c r="E106" s="591"/>
      <c r="F106" s="172"/>
      <c r="G106" s="544"/>
    </row>
    <row r="107">
      <c r="A107" s="152" t="s">
        <v>66</v>
      </c>
      <c r="B107" s="588"/>
      <c r="C107" s="604" t="s">
        <v>493</v>
      </c>
      <c r="D107" s="156"/>
      <c r="E107" s="156"/>
      <c r="F107" s="156"/>
      <c r="G107" s="607" t="s">
        <v>495</v>
      </c>
    </row>
    <row r="108">
      <c r="A108" s="38"/>
      <c r="B108" s="588"/>
      <c r="C108" s="605" t="s">
        <v>494</v>
      </c>
      <c r="D108" s="156"/>
      <c r="E108" s="156"/>
      <c r="F108" s="156"/>
      <c r="G108" s="608" t="s">
        <v>462</v>
      </c>
    </row>
    <row r="109">
      <c r="A109" s="44"/>
      <c r="B109" s="591"/>
      <c r="C109" s="606">
        <v>300.0</v>
      </c>
      <c r="D109" s="172"/>
      <c r="E109" s="172"/>
      <c r="F109" s="172"/>
      <c r="G109" s="609" t="s">
        <v>496</v>
      </c>
    </row>
    <row r="110">
      <c r="A110" s="555" t="s">
        <v>463</v>
      </c>
      <c r="B110" s="156"/>
      <c r="C110" s="156"/>
      <c r="D110" s="604" t="s">
        <v>493</v>
      </c>
      <c r="E110" s="156"/>
      <c r="F110" s="156"/>
      <c r="G110" s="543"/>
    </row>
    <row r="111">
      <c r="A111" s="38"/>
      <c r="B111" s="156"/>
      <c r="C111" s="156"/>
      <c r="D111" s="605" t="s">
        <v>494</v>
      </c>
      <c r="E111" s="156"/>
      <c r="F111" s="156"/>
      <c r="G111" s="543"/>
    </row>
    <row r="112">
      <c r="A112" s="44"/>
      <c r="B112" s="172"/>
      <c r="C112" s="172"/>
      <c r="D112" s="606">
        <v>300.0</v>
      </c>
      <c r="E112" s="172"/>
      <c r="F112" s="172"/>
      <c r="G112" s="544"/>
    </row>
    <row r="113">
      <c r="A113" s="147" t="s">
        <v>103</v>
      </c>
      <c r="B113" s="148"/>
      <c r="C113" s="46"/>
      <c r="D113" s="46"/>
      <c r="E113" s="46"/>
      <c r="F113" s="46"/>
      <c r="G113" s="47"/>
    </row>
    <row r="114">
      <c r="A114" s="152" t="s">
        <v>39</v>
      </c>
      <c r="B114" s="396" t="s">
        <v>482</v>
      </c>
      <c r="G114" s="23"/>
    </row>
    <row r="115">
      <c r="A115" s="38"/>
      <c r="G115" s="23"/>
    </row>
    <row r="116">
      <c r="A116" s="44"/>
      <c r="B116" s="46"/>
      <c r="C116" s="46"/>
      <c r="D116" s="46"/>
      <c r="E116" s="46"/>
      <c r="F116" s="46"/>
      <c r="G116" s="47"/>
    </row>
    <row r="117">
      <c r="A117" s="152" t="s">
        <v>49</v>
      </c>
      <c r="B117" s="159"/>
      <c r="C117" s="159"/>
      <c r="D117" s="159"/>
      <c r="E117" s="159"/>
      <c r="F117" s="159"/>
      <c r="G117" s="597"/>
    </row>
    <row r="118">
      <c r="A118" s="38"/>
      <c r="B118" s="159"/>
      <c r="C118" s="159"/>
      <c r="D118" s="159"/>
      <c r="E118" s="159"/>
      <c r="F118" s="159"/>
      <c r="G118" s="597"/>
    </row>
    <row r="119">
      <c r="A119" s="44"/>
      <c r="B119" s="175"/>
      <c r="C119" s="175"/>
      <c r="D119" s="175"/>
      <c r="E119" s="175"/>
      <c r="F119" s="175"/>
      <c r="G119" s="598"/>
    </row>
    <row r="120">
      <c r="A120" s="152" t="s">
        <v>51</v>
      </c>
      <c r="B120" s="159"/>
      <c r="C120" s="159"/>
      <c r="D120" s="159"/>
      <c r="E120" s="159"/>
      <c r="F120" s="159"/>
      <c r="G120" s="597"/>
    </row>
    <row r="121">
      <c r="A121" s="38"/>
      <c r="B121" s="159"/>
      <c r="C121" s="159"/>
      <c r="D121" s="159"/>
      <c r="E121" s="159"/>
      <c r="F121" s="159"/>
      <c r="G121" s="597"/>
    </row>
    <row r="122">
      <c r="A122" s="44"/>
      <c r="B122" s="175"/>
      <c r="C122" s="175"/>
      <c r="D122" s="175"/>
      <c r="E122" s="175"/>
      <c r="F122" s="175"/>
      <c r="G122" s="598"/>
    </row>
    <row r="123">
      <c r="A123" s="152" t="s">
        <v>59</v>
      </c>
      <c r="B123" s="159"/>
      <c r="C123" s="159"/>
      <c r="D123" s="159"/>
      <c r="E123" s="159"/>
      <c r="F123" s="159"/>
      <c r="G123" s="597"/>
    </row>
    <row r="124">
      <c r="A124" s="38"/>
      <c r="B124" s="159"/>
      <c r="C124" s="159"/>
      <c r="D124" s="159"/>
      <c r="E124" s="159"/>
      <c r="F124" s="159"/>
      <c r="G124" s="597"/>
    </row>
    <row r="125">
      <c r="A125" s="44"/>
      <c r="B125" s="175"/>
      <c r="C125" s="175"/>
      <c r="D125" s="175"/>
      <c r="E125" s="175"/>
      <c r="F125" s="175"/>
      <c r="G125" s="598"/>
    </row>
    <row r="126">
      <c r="A126" s="152" t="s">
        <v>64</v>
      </c>
      <c r="B126" s="159"/>
      <c r="C126" s="159"/>
      <c r="D126" s="159"/>
      <c r="E126" s="159"/>
      <c r="F126" s="159"/>
      <c r="G126" s="597"/>
    </row>
    <row r="127">
      <c r="A127" s="38"/>
      <c r="B127" s="159"/>
      <c r="C127" s="159"/>
      <c r="D127" s="159"/>
      <c r="E127" s="159"/>
      <c r="F127" s="159"/>
      <c r="G127" s="597"/>
    </row>
    <row r="128">
      <c r="A128" s="44"/>
      <c r="B128" s="175"/>
      <c r="C128" s="175"/>
      <c r="D128" s="175"/>
      <c r="E128" s="175"/>
      <c r="F128" s="175"/>
      <c r="G128" s="598"/>
    </row>
    <row r="129">
      <c r="A129" s="152" t="s">
        <v>66</v>
      </c>
      <c r="B129" s="156"/>
      <c r="C129" s="156"/>
      <c r="D129" s="156"/>
      <c r="E129" s="156"/>
      <c r="F129" s="156"/>
      <c r="G129" s="543"/>
    </row>
    <row r="130">
      <c r="A130" s="38"/>
      <c r="B130" s="156"/>
      <c r="C130" s="156"/>
      <c r="D130" s="156"/>
      <c r="E130" s="156"/>
      <c r="F130" s="156"/>
      <c r="G130" s="543"/>
    </row>
    <row r="131">
      <c r="A131" s="44"/>
      <c r="B131" s="172"/>
      <c r="C131" s="172"/>
      <c r="D131" s="172"/>
      <c r="E131" s="172"/>
      <c r="F131" s="172"/>
      <c r="G131" s="544"/>
    </row>
  </sheetData>
  <mergeCells count="96">
    <mergeCell ref="B62:G62"/>
    <mergeCell ref="B69:G69"/>
    <mergeCell ref="B55:C55"/>
    <mergeCell ref="B56:C56"/>
    <mergeCell ref="B57:G57"/>
    <mergeCell ref="B58:G58"/>
    <mergeCell ref="B59:G59"/>
    <mergeCell ref="B60:G60"/>
    <mergeCell ref="B61:G61"/>
    <mergeCell ref="A51:A53"/>
    <mergeCell ref="A54:A56"/>
    <mergeCell ref="A57:A59"/>
    <mergeCell ref="A60:A62"/>
    <mergeCell ref="A63:A65"/>
    <mergeCell ref="A66:A68"/>
    <mergeCell ref="A70:A72"/>
    <mergeCell ref="A73:A75"/>
    <mergeCell ref="A76:A78"/>
    <mergeCell ref="A79:A81"/>
    <mergeCell ref="A82:A84"/>
    <mergeCell ref="A85:A87"/>
    <mergeCell ref="A88:A90"/>
    <mergeCell ref="A92:A94"/>
    <mergeCell ref="A117:A119"/>
    <mergeCell ref="A120:A122"/>
    <mergeCell ref="A123:A125"/>
    <mergeCell ref="A126:A128"/>
    <mergeCell ref="A129:A131"/>
    <mergeCell ref="A95:A97"/>
    <mergeCell ref="A98:A100"/>
    <mergeCell ref="A101:A103"/>
    <mergeCell ref="A104:A106"/>
    <mergeCell ref="A107:A109"/>
    <mergeCell ref="A110:A112"/>
    <mergeCell ref="A114:A116"/>
    <mergeCell ref="E101:G101"/>
    <mergeCell ref="E102:G102"/>
    <mergeCell ref="E103:G103"/>
    <mergeCell ref="B113:G113"/>
    <mergeCell ref="B114:G116"/>
    <mergeCell ref="B91:G91"/>
    <mergeCell ref="B95:G95"/>
    <mergeCell ref="B96:G96"/>
    <mergeCell ref="B97:G97"/>
    <mergeCell ref="B98:G98"/>
    <mergeCell ref="B99:G99"/>
    <mergeCell ref="B100:G100"/>
    <mergeCell ref="A1:A2"/>
    <mergeCell ref="B1:G1"/>
    <mergeCell ref="B3:G3"/>
    <mergeCell ref="A4:A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A7:A9"/>
    <mergeCell ref="A10:A12"/>
    <mergeCell ref="A13:A15"/>
    <mergeCell ref="A16:A18"/>
    <mergeCell ref="A19:A21"/>
    <mergeCell ref="A22:A24"/>
    <mergeCell ref="A26:A28"/>
    <mergeCell ref="B17:G17"/>
    <mergeCell ref="B18:G18"/>
    <mergeCell ref="B25:G25"/>
    <mergeCell ref="E29:G29"/>
    <mergeCell ref="E30:G30"/>
    <mergeCell ref="E31:G31"/>
    <mergeCell ref="E32:G32"/>
    <mergeCell ref="A29:A31"/>
    <mergeCell ref="A32:A34"/>
    <mergeCell ref="A35:A37"/>
    <mergeCell ref="A38:A40"/>
    <mergeCell ref="A41:A43"/>
    <mergeCell ref="A44:A46"/>
    <mergeCell ref="A48:A50"/>
    <mergeCell ref="E33:G33"/>
    <mergeCell ref="E34:G34"/>
    <mergeCell ref="B47:G47"/>
    <mergeCell ref="D51:F51"/>
    <mergeCell ref="D52:F52"/>
    <mergeCell ref="D53:F53"/>
    <mergeCell ref="B54:C54"/>
    <mergeCell ref="B70:G72"/>
    <mergeCell ref="E73:G73"/>
    <mergeCell ref="E74:G74"/>
    <mergeCell ref="E75:G75"/>
    <mergeCell ref="B85:F85"/>
    <mergeCell ref="B86:F86"/>
    <mergeCell ref="B87:F87"/>
  </mergeCells>
  <conditionalFormatting sqref="C19:C21 C26:D28 B35:G40 B79:G84 C101:C103 D104:D106">
    <cfRule type="expression" dxfId="0" priority="1">
      <formula>REGEXMATCH(C19, "(^\s+)|(\s+$)")</formula>
    </cfRule>
  </conditionalFormatting>
  <conditionalFormatting sqref="C19:C21 C26:D28 B35:G40 B79:G84 C101:C103 D104:D106">
    <cfRule type="expression" dxfId="0" priority="2">
      <formula>REGEXMATCH(C19, "[а-яА-Я]")</formula>
    </cfRule>
  </conditionalFormatting>
  <conditionalFormatting sqref="C19:C21 C26:D28 B35:G40 B79:G84 C101:C103 D104:D106">
    <cfRule type="expression" dxfId="0" priority="3">
      <formula>REGEXMATCH(C19, "\s{2,}")</formula>
    </cfRule>
  </conditionalFormatting>
  <conditionalFormatting sqref="C19:C21 C26:D28 B35:G40 B79:G84 C101:C103 D104:D106">
    <cfRule type="expression" dxfId="0" priority="4">
      <formula>REGEXMATCH(C19, "(\S\()|(\)\S)")</formula>
    </cfRule>
  </conditionalFormatting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13" width="23.75"/>
  </cols>
  <sheetData>
    <row r="1">
      <c r="A1" s="134"/>
      <c r="B1" s="135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>
      <c r="A2" s="44"/>
      <c r="B2" s="144" t="s">
        <v>8</v>
      </c>
      <c r="C2" s="144" t="s">
        <v>9</v>
      </c>
      <c r="D2" s="144" t="s">
        <v>10</v>
      </c>
      <c r="E2" s="144" t="s">
        <v>11</v>
      </c>
      <c r="F2" s="144" t="s">
        <v>12</v>
      </c>
      <c r="G2" s="144" t="s">
        <v>13</v>
      </c>
      <c r="H2" s="144" t="s">
        <v>14</v>
      </c>
      <c r="I2" s="144" t="s">
        <v>15</v>
      </c>
      <c r="J2" s="144" t="s">
        <v>16</v>
      </c>
      <c r="K2" s="144" t="s">
        <v>17</v>
      </c>
      <c r="L2" s="144" t="s">
        <v>18</v>
      </c>
      <c r="M2" s="144" t="s">
        <v>19</v>
      </c>
    </row>
    <row r="3">
      <c r="A3" s="147" t="s">
        <v>38</v>
      </c>
      <c r="B3" s="148"/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</row>
    <row r="4">
      <c r="A4" s="152" t="s">
        <v>39</v>
      </c>
      <c r="B4" s="153" t="s">
        <v>127</v>
      </c>
      <c r="M4" s="23"/>
    </row>
    <row r="5">
      <c r="A5" s="38"/>
      <c r="B5" s="165" t="s">
        <v>134</v>
      </c>
      <c r="M5" s="23"/>
    </row>
    <row r="6">
      <c r="A6" s="44"/>
      <c r="B6" s="170">
        <v>108.0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7"/>
    </row>
    <row r="7">
      <c r="A7" s="152" t="s">
        <v>49</v>
      </c>
      <c r="B7" s="153" t="s">
        <v>138</v>
      </c>
      <c r="M7" s="23"/>
    </row>
    <row r="8">
      <c r="A8" s="38"/>
      <c r="B8" s="165" t="s">
        <v>134</v>
      </c>
      <c r="M8" s="23"/>
    </row>
    <row r="9">
      <c r="A9" s="44"/>
      <c r="B9" s="195">
        <v>108.0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7"/>
    </row>
    <row r="10">
      <c r="A10" s="152" t="s">
        <v>51</v>
      </c>
      <c r="B10" s="207" t="s">
        <v>156</v>
      </c>
      <c r="C10" s="208" t="s">
        <v>157</v>
      </c>
      <c r="D10" s="207" t="s">
        <v>156</v>
      </c>
      <c r="E10" s="208" t="s">
        <v>157</v>
      </c>
      <c r="F10" s="208" t="s">
        <v>157</v>
      </c>
      <c r="G10" s="208" t="s">
        <v>157</v>
      </c>
      <c r="H10" s="207" t="s">
        <v>156</v>
      </c>
      <c r="I10" s="208" t="s">
        <v>157</v>
      </c>
      <c r="J10" s="207" t="s">
        <v>156</v>
      </c>
      <c r="K10" s="208" t="s">
        <v>157</v>
      </c>
      <c r="L10" s="63"/>
      <c r="M10" s="208" t="s">
        <v>157</v>
      </c>
    </row>
    <row r="11">
      <c r="A11" s="38"/>
      <c r="B11" s="212" t="s">
        <v>54</v>
      </c>
      <c r="C11" s="213" t="s">
        <v>165</v>
      </c>
      <c r="D11" s="212" t="s">
        <v>166</v>
      </c>
      <c r="E11" s="213" t="s">
        <v>165</v>
      </c>
      <c r="F11" s="213" t="s">
        <v>165</v>
      </c>
      <c r="G11" s="213" t="s">
        <v>165</v>
      </c>
      <c r="H11" s="214" t="s">
        <v>167</v>
      </c>
      <c r="I11" s="213" t="s">
        <v>165</v>
      </c>
      <c r="J11" s="212" t="s">
        <v>168</v>
      </c>
      <c r="K11" s="213" t="s">
        <v>165</v>
      </c>
      <c r="L11" s="69"/>
      <c r="M11" s="213" t="s">
        <v>165</v>
      </c>
    </row>
    <row r="12">
      <c r="A12" s="44"/>
      <c r="B12" s="220" t="s">
        <v>182</v>
      </c>
      <c r="C12" s="221" t="s">
        <v>171</v>
      </c>
      <c r="D12" s="222">
        <v>300.0</v>
      </c>
      <c r="E12" s="221" t="s">
        <v>171</v>
      </c>
      <c r="F12" s="221" t="s">
        <v>171</v>
      </c>
      <c r="G12" s="221" t="s">
        <v>171</v>
      </c>
      <c r="H12" s="222">
        <v>303.0</v>
      </c>
      <c r="I12" s="221" t="s">
        <v>171</v>
      </c>
      <c r="J12" s="222">
        <v>101.0</v>
      </c>
      <c r="K12" s="221" t="s">
        <v>171</v>
      </c>
      <c r="L12" s="76"/>
      <c r="M12" s="221" t="s">
        <v>171</v>
      </c>
    </row>
    <row r="13">
      <c r="A13" s="152" t="s">
        <v>59</v>
      </c>
      <c r="B13" s="208" t="s">
        <v>157</v>
      </c>
      <c r="C13" s="208" t="s">
        <v>157</v>
      </c>
      <c r="D13" s="208" t="s">
        <v>157</v>
      </c>
      <c r="E13" s="207" t="s">
        <v>156</v>
      </c>
      <c r="F13" s="208" t="s">
        <v>157</v>
      </c>
      <c r="G13" s="207" t="s">
        <v>156</v>
      </c>
      <c r="H13" s="208" t="s">
        <v>157</v>
      </c>
      <c r="I13" s="207" t="s">
        <v>156</v>
      </c>
      <c r="J13" s="208" t="s">
        <v>157</v>
      </c>
      <c r="K13" s="207" t="s">
        <v>156</v>
      </c>
      <c r="L13" s="208" t="s">
        <v>157</v>
      </c>
      <c r="M13" s="208" t="s">
        <v>157</v>
      </c>
    </row>
    <row r="14">
      <c r="A14" s="38"/>
      <c r="B14" s="213" t="s">
        <v>165</v>
      </c>
      <c r="C14" s="213" t="s">
        <v>165</v>
      </c>
      <c r="D14" s="213" t="s">
        <v>165</v>
      </c>
      <c r="E14" s="212" t="s">
        <v>166</v>
      </c>
      <c r="F14" s="213" t="s">
        <v>165</v>
      </c>
      <c r="G14" s="214" t="s">
        <v>167</v>
      </c>
      <c r="H14" s="213" t="s">
        <v>165</v>
      </c>
      <c r="I14" s="212" t="s">
        <v>54</v>
      </c>
      <c r="J14" s="213" t="s">
        <v>165</v>
      </c>
      <c r="K14" s="212" t="s">
        <v>168</v>
      </c>
      <c r="L14" s="213" t="s">
        <v>165</v>
      </c>
      <c r="M14" s="213" t="s">
        <v>165</v>
      </c>
    </row>
    <row r="15">
      <c r="A15" s="44"/>
      <c r="B15" s="221" t="s">
        <v>171</v>
      </c>
      <c r="C15" s="221" t="s">
        <v>171</v>
      </c>
      <c r="D15" s="221" t="s">
        <v>171</v>
      </c>
      <c r="E15" s="222">
        <v>300.0</v>
      </c>
      <c r="F15" s="221" t="s">
        <v>171</v>
      </c>
      <c r="G15" s="222">
        <v>303.0</v>
      </c>
      <c r="H15" s="221" t="s">
        <v>171</v>
      </c>
      <c r="I15" s="220" t="s">
        <v>182</v>
      </c>
      <c r="J15" s="221" t="s">
        <v>171</v>
      </c>
      <c r="K15" s="222">
        <v>101.0</v>
      </c>
      <c r="L15" s="221" t="s">
        <v>171</v>
      </c>
      <c r="M15" s="221" t="s">
        <v>171</v>
      </c>
    </row>
    <row r="16">
      <c r="A16" s="152" t="s">
        <v>64</v>
      </c>
      <c r="B16" s="208" t="s">
        <v>157</v>
      </c>
      <c r="C16" s="207" t="s">
        <v>156</v>
      </c>
      <c r="D16" s="208" t="s">
        <v>157</v>
      </c>
      <c r="E16" s="208" t="s">
        <v>157</v>
      </c>
      <c r="F16" s="207" t="s">
        <v>156</v>
      </c>
      <c r="G16" s="208" t="s">
        <v>157</v>
      </c>
      <c r="H16" s="208" t="s">
        <v>157</v>
      </c>
      <c r="I16" s="208" t="s">
        <v>157</v>
      </c>
      <c r="J16" s="208" t="s">
        <v>157</v>
      </c>
      <c r="K16" s="208" t="s">
        <v>157</v>
      </c>
      <c r="L16" s="208" t="s">
        <v>157</v>
      </c>
      <c r="M16" s="207" t="s">
        <v>156</v>
      </c>
    </row>
    <row r="17">
      <c r="A17" s="38"/>
      <c r="B17" s="213" t="s">
        <v>165</v>
      </c>
      <c r="C17" s="212" t="s">
        <v>54</v>
      </c>
      <c r="D17" s="213" t="s">
        <v>165</v>
      </c>
      <c r="E17" s="213" t="s">
        <v>165</v>
      </c>
      <c r="F17" s="212" t="s">
        <v>166</v>
      </c>
      <c r="G17" s="213" t="s">
        <v>165</v>
      </c>
      <c r="H17" s="213" t="s">
        <v>165</v>
      </c>
      <c r="I17" s="213" t="s">
        <v>165</v>
      </c>
      <c r="J17" s="213" t="s">
        <v>165</v>
      </c>
      <c r="K17" s="213" t="s">
        <v>165</v>
      </c>
      <c r="L17" s="213" t="s">
        <v>165</v>
      </c>
      <c r="M17" s="212" t="s">
        <v>168</v>
      </c>
    </row>
    <row r="18">
      <c r="A18" s="44"/>
      <c r="B18" s="221" t="s">
        <v>171</v>
      </c>
      <c r="C18" s="220" t="s">
        <v>182</v>
      </c>
      <c r="D18" s="221" t="s">
        <v>171</v>
      </c>
      <c r="E18" s="221" t="s">
        <v>171</v>
      </c>
      <c r="F18" s="222">
        <v>300.0</v>
      </c>
      <c r="G18" s="221" t="s">
        <v>171</v>
      </c>
      <c r="H18" s="221" t="s">
        <v>171</v>
      </c>
      <c r="I18" s="221" t="s">
        <v>171</v>
      </c>
      <c r="J18" s="221" t="s">
        <v>171</v>
      </c>
      <c r="K18" s="221" t="s">
        <v>171</v>
      </c>
      <c r="L18" s="221" t="s">
        <v>171</v>
      </c>
      <c r="M18" s="222">
        <v>101.0</v>
      </c>
    </row>
    <row r="19">
      <c r="A19" s="152" t="s">
        <v>66</v>
      </c>
      <c r="B19" s="253"/>
      <c r="C19" s="156"/>
      <c r="D19" s="156"/>
      <c r="E19" s="156"/>
      <c r="F19" s="156"/>
      <c r="G19" s="156"/>
      <c r="H19" s="156"/>
      <c r="I19" s="156"/>
      <c r="J19" s="156"/>
      <c r="K19" s="156"/>
      <c r="L19" s="207" t="s">
        <v>156</v>
      </c>
      <c r="M19" s="156"/>
    </row>
    <row r="20">
      <c r="A20" s="38"/>
      <c r="B20" s="156"/>
      <c r="C20" s="156"/>
      <c r="D20" s="156"/>
      <c r="E20" s="156"/>
      <c r="F20" s="156"/>
      <c r="G20" s="156"/>
      <c r="H20" s="156"/>
      <c r="I20" s="156"/>
      <c r="J20" s="156"/>
      <c r="K20" s="156"/>
      <c r="L20" s="255" t="s">
        <v>194</v>
      </c>
      <c r="M20" s="156"/>
    </row>
    <row r="21">
      <c r="A21" s="44"/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220">
        <v>320.0</v>
      </c>
      <c r="M21" s="172"/>
    </row>
    <row r="22">
      <c r="A22" s="147" t="s">
        <v>74</v>
      </c>
      <c r="B22" s="148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7"/>
    </row>
    <row r="23">
      <c r="A23" s="152" t="s">
        <v>39</v>
      </c>
      <c r="B23" s="253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</row>
    <row r="24">
      <c r="A24" s="38"/>
      <c r="B24" s="156"/>
      <c r="C24" s="156"/>
      <c r="D24" s="156"/>
      <c r="E24" s="156"/>
      <c r="F24" s="156"/>
      <c r="G24" s="156"/>
      <c r="H24" s="156"/>
      <c r="I24" s="156"/>
      <c r="J24" s="156"/>
      <c r="K24" s="156"/>
      <c r="L24" s="156"/>
      <c r="M24" s="156"/>
    </row>
    <row r="25">
      <c r="A25" s="44"/>
      <c r="B25" s="172"/>
      <c r="C25" s="172"/>
      <c r="D25" s="172"/>
      <c r="E25" s="172"/>
      <c r="F25" s="172"/>
      <c r="G25" s="172"/>
      <c r="H25" s="172"/>
      <c r="I25" s="172"/>
      <c r="J25" s="172"/>
      <c r="K25" s="172"/>
      <c r="L25" s="172"/>
      <c r="M25" s="172"/>
    </row>
    <row r="26">
      <c r="A26" s="152" t="s">
        <v>49</v>
      </c>
      <c r="B26" s="181" t="s">
        <v>205</v>
      </c>
      <c r="M26" s="23"/>
    </row>
    <row r="27">
      <c r="A27" s="38"/>
      <c r="B27" s="278" t="s">
        <v>214</v>
      </c>
      <c r="M27" s="23"/>
    </row>
    <row r="28">
      <c r="A28" s="44"/>
      <c r="B28" s="286" t="s">
        <v>137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7"/>
    </row>
    <row r="29">
      <c r="A29" s="152" t="s">
        <v>51</v>
      </c>
      <c r="B29" s="181" t="s">
        <v>224</v>
      </c>
      <c r="M29" s="23"/>
    </row>
    <row r="30">
      <c r="A30" s="38"/>
      <c r="B30" s="278" t="s">
        <v>229</v>
      </c>
      <c r="M30" s="23"/>
    </row>
    <row r="31">
      <c r="A31" s="44"/>
      <c r="B31" s="301">
        <v>108.0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7"/>
    </row>
    <row r="32">
      <c r="A32" s="152" t="s">
        <v>59</v>
      </c>
      <c r="B32" s="270" t="s">
        <v>239</v>
      </c>
      <c r="C32" s="208" t="s">
        <v>157</v>
      </c>
      <c r="D32" s="208" t="s">
        <v>157</v>
      </c>
      <c r="E32" s="270" t="s">
        <v>239</v>
      </c>
      <c r="F32" s="208" t="s">
        <v>157</v>
      </c>
      <c r="G32" s="208" t="s">
        <v>157</v>
      </c>
      <c r="H32" s="270" t="s">
        <v>239</v>
      </c>
      <c r="I32" s="208" t="s">
        <v>157</v>
      </c>
      <c r="J32" s="227"/>
      <c r="K32" s="208" t="s">
        <v>157</v>
      </c>
      <c r="L32" s="270" t="s">
        <v>239</v>
      </c>
      <c r="M32" s="208" t="s">
        <v>157</v>
      </c>
    </row>
    <row r="33">
      <c r="A33" s="38"/>
      <c r="B33" s="194" t="s">
        <v>243</v>
      </c>
      <c r="C33" s="213" t="s">
        <v>165</v>
      </c>
      <c r="D33" s="213" t="s">
        <v>165</v>
      </c>
      <c r="E33" s="194" t="s">
        <v>244</v>
      </c>
      <c r="F33" s="213" t="s">
        <v>165</v>
      </c>
      <c r="G33" s="213" t="s">
        <v>165</v>
      </c>
      <c r="H33" s="239" t="s">
        <v>245</v>
      </c>
      <c r="I33" s="213" t="s">
        <v>165</v>
      </c>
      <c r="J33" s="234"/>
      <c r="K33" s="213" t="s">
        <v>165</v>
      </c>
      <c r="L33" s="194" t="s">
        <v>232</v>
      </c>
      <c r="M33" s="213" t="s">
        <v>165</v>
      </c>
    </row>
    <row r="34">
      <c r="A34" s="44"/>
      <c r="B34" s="312">
        <v>318.0</v>
      </c>
      <c r="C34" s="221" t="s">
        <v>249</v>
      </c>
      <c r="D34" s="221" t="s">
        <v>249</v>
      </c>
      <c r="E34" s="313">
        <v>209.0</v>
      </c>
      <c r="F34" s="221" t="s">
        <v>249</v>
      </c>
      <c r="G34" s="221" t="s">
        <v>249</v>
      </c>
      <c r="H34" s="312">
        <v>300.0</v>
      </c>
      <c r="I34" s="221" t="s">
        <v>249</v>
      </c>
      <c r="J34" s="240"/>
      <c r="K34" s="221" t="s">
        <v>249</v>
      </c>
      <c r="L34" s="313">
        <v>314.0</v>
      </c>
      <c r="M34" s="221" t="s">
        <v>249</v>
      </c>
    </row>
    <row r="35">
      <c r="A35" s="152" t="s">
        <v>64</v>
      </c>
      <c r="B35" s="208" t="s">
        <v>157</v>
      </c>
      <c r="C35" s="270" t="s">
        <v>239</v>
      </c>
      <c r="D35" s="208" t="s">
        <v>157</v>
      </c>
      <c r="E35" s="208" t="s">
        <v>157</v>
      </c>
      <c r="F35" s="270" t="s">
        <v>239</v>
      </c>
      <c r="G35" s="208" t="s">
        <v>157</v>
      </c>
      <c r="H35" s="208" t="s">
        <v>157</v>
      </c>
      <c r="I35" s="270" t="s">
        <v>239</v>
      </c>
      <c r="J35" s="208" t="s">
        <v>157</v>
      </c>
      <c r="K35" s="270" t="s">
        <v>239</v>
      </c>
      <c r="L35" s="208" t="s">
        <v>157</v>
      </c>
      <c r="M35" s="158"/>
    </row>
    <row r="36">
      <c r="A36" s="38"/>
      <c r="B36" s="213" t="s">
        <v>165</v>
      </c>
      <c r="C36" s="194" t="s">
        <v>243</v>
      </c>
      <c r="D36" s="213" t="s">
        <v>165</v>
      </c>
      <c r="E36" s="213" t="s">
        <v>165</v>
      </c>
      <c r="F36" s="194" t="s">
        <v>244</v>
      </c>
      <c r="G36" s="213" t="s">
        <v>165</v>
      </c>
      <c r="H36" s="213" t="s">
        <v>165</v>
      </c>
      <c r="I36" s="239" t="s">
        <v>245</v>
      </c>
      <c r="J36" s="213" t="s">
        <v>165</v>
      </c>
      <c r="K36" s="194" t="s">
        <v>232</v>
      </c>
      <c r="L36" s="213" t="s">
        <v>165</v>
      </c>
      <c r="M36" s="168"/>
    </row>
    <row r="37">
      <c r="A37" s="44"/>
      <c r="B37" s="221" t="s">
        <v>249</v>
      </c>
      <c r="C37" s="312">
        <v>318.0</v>
      </c>
      <c r="D37" s="221" t="s">
        <v>249</v>
      </c>
      <c r="E37" s="221" t="s">
        <v>249</v>
      </c>
      <c r="F37" s="313">
        <v>209.0</v>
      </c>
      <c r="G37" s="221" t="s">
        <v>249</v>
      </c>
      <c r="H37" s="221" t="s">
        <v>249</v>
      </c>
      <c r="I37" s="312">
        <v>300.0</v>
      </c>
      <c r="J37" s="221" t="s">
        <v>249</v>
      </c>
      <c r="K37" s="313">
        <v>314.0</v>
      </c>
      <c r="L37" s="221" t="s">
        <v>249</v>
      </c>
      <c r="M37" s="202"/>
    </row>
    <row r="38">
      <c r="A38" s="152" t="s">
        <v>66</v>
      </c>
      <c r="B38" s="156"/>
      <c r="C38" s="156"/>
      <c r="D38" s="270" t="s">
        <v>239</v>
      </c>
      <c r="E38" s="156"/>
      <c r="F38" s="156"/>
      <c r="G38" s="270" t="s">
        <v>239</v>
      </c>
      <c r="H38" s="156"/>
      <c r="I38" s="156"/>
      <c r="J38" s="270" t="s">
        <v>239</v>
      </c>
      <c r="K38" s="227"/>
      <c r="L38" s="156"/>
      <c r="M38" s="270" t="s">
        <v>239</v>
      </c>
    </row>
    <row r="39">
      <c r="A39" s="38"/>
      <c r="B39" s="156"/>
      <c r="C39" s="156"/>
      <c r="D39" s="194" t="s">
        <v>244</v>
      </c>
      <c r="E39" s="156"/>
      <c r="F39" s="156"/>
      <c r="G39" s="194" t="s">
        <v>243</v>
      </c>
      <c r="H39" s="156"/>
      <c r="I39" s="156"/>
      <c r="J39" s="194" t="s">
        <v>245</v>
      </c>
      <c r="K39" s="234"/>
      <c r="L39" s="156"/>
      <c r="M39" s="194" t="s">
        <v>232</v>
      </c>
    </row>
    <row r="40">
      <c r="A40" s="44"/>
      <c r="B40" s="172"/>
      <c r="C40" s="172"/>
      <c r="D40" s="313">
        <v>209.0</v>
      </c>
      <c r="E40" s="172"/>
      <c r="F40" s="172"/>
      <c r="G40" s="313">
        <v>318.0</v>
      </c>
      <c r="H40" s="172"/>
      <c r="I40" s="172"/>
      <c r="J40" s="312">
        <v>300.0</v>
      </c>
      <c r="K40" s="240"/>
      <c r="L40" s="172"/>
      <c r="M40" s="313">
        <v>314.0</v>
      </c>
    </row>
    <row r="41">
      <c r="A41" s="147" t="s">
        <v>82</v>
      </c>
      <c r="B41" s="148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7"/>
    </row>
    <row r="42">
      <c r="A42" s="152" t="s">
        <v>39</v>
      </c>
      <c r="B42" s="327" t="s">
        <v>261</v>
      </c>
      <c r="M42" s="23"/>
    </row>
    <row r="43">
      <c r="A43" s="38"/>
      <c r="B43" s="333" t="s">
        <v>268</v>
      </c>
      <c r="M43" s="23"/>
    </row>
    <row r="44">
      <c r="A44" s="44"/>
      <c r="B44" s="340">
        <v>108.0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7"/>
    </row>
    <row r="45">
      <c r="A45" s="152" t="s">
        <v>49</v>
      </c>
      <c r="B45" s="327" t="s">
        <v>277</v>
      </c>
      <c r="M45" s="23"/>
    </row>
    <row r="46">
      <c r="A46" s="38"/>
      <c r="B46" s="350" t="s">
        <v>283</v>
      </c>
      <c r="M46" s="23"/>
    </row>
    <row r="47">
      <c r="A47" s="44"/>
      <c r="B47" s="340">
        <v>108.0</v>
      </c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7"/>
    </row>
    <row r="48">
      <c r="A48" s="152" t="s">
        <v>51</v>
      </c>
      <c r="B48" s="356" t="s">
        <v>287</v>
      </c>
      <c r="C48" s="208" t="s">
        <v>157</v>
      </c>
      <c r="D48" s="356" t="s">
        <v>287</v>
      </c>
      <c r="E48" s="208" t="s">
        <v>157</v>
      </c>
      <c r="F48" s="208" t="s">
        <v>157</v>
      </c>
      <c r="G48" s="208" t="s">
        <v>157</v>
      </c>
      <c r="H48" s="356" t="s">
        <v>287</v>
      </c>
      <c r="I48" s="208" t="s">
        <v>157</v>
      </c>
      <c r="J48" s="356" t="s">
        <v>287</v>
      </c>
      <c r="K48" s="208" t="s">
        <v>157</v>
      </c>
      <c r="L48" s="356" t="s">
        <v>287</v>
      </c>
      <c r="M48" s="208" t="s">
        <v>157</v>
      </c>
    </row>
    <row r="49">
      <c r="A49" s="38"/>
      <c r="B49" s="361" t="s">
        <v>215</v>
      </c>
      <c r="C49" s="213" t="s">
        <v>165</v>
      </c>
      <c r="D49" s="362" t="s">
        <v>53</v>
      </c>
      <c r="E49" s="213" t="s">
        <v>165</v>
      </c>
      <c r="F49" s="213" t="s">
        <v>165</v>
      </c>
      <c r="G49" s="213" t="s">
        <v>165</v>
      </c>
      <c r="H49" s="363" t="s">
        <v>292</v>
      </c>
      <c r="I49" s="213" t="s">
        <v>165</v>
      </c>
      <c r="J49" s="363" t="s">
        <v>202</v>
      </c>
      <c r="K49" s="213" t="s">
        <v>165</v>
      </c>
      <c r="L49" s="363" t="s">
        <v>166</v>
      </c>
      <c r="M49" s="213" t="s">
        <v>165</v>
      </c>
    </row>
    <row r="50">
      <c r="A50" s="44"/>
      <c r="B50" s="368">
        <v>101.0</v>
      </c>
      <c r="C50" s="221" t="s">
        <v>171</v>
      </c>
      <c r="D50" s="369">
        <v>300.0</v>
      </c>
      <c r="E50" s="221" t="s">
        <v>171</v>
      </c>
      <c r="F50" s="221" t="s">
        <v>171</v>
      </c>
      <c r="G50" s="221" t="s">
        <v>171</v>
      </c>
      <c r="H50" s="368" t="s">
        <v>497</v>
      </c>
      <c r="I50" s="221" t="s">
        <v>171</v>
      </c>
      <c r="J50" s="368">
        <v>314.0</v>
      </c>
      <c r="K50" s="221" t="s">
        <v>171</v>
      </c>
      <c r="L50" s="368">
        <v>209.0</v>
      </c>
      <c r="M50" s="221" t="s">
        <v>171</v>
      </c>
    </row>
    <row r="51">
      <c r="A51" s="152" t="s">
        <v>59</v>
      </c>
      <c r="B51" s="208" t="s">
        <v>157</v>
      </c>
      <c r="C51" s="208" t="s">
        <v>157</v>
      </c>
      <c r="D51" s="208" t="s">
        <v>157</v>
      </c>
      <c r="E51" s="373" t="s">
        <v>287</v>
      </c>
      <c r="F51" s="208" t="s">
        <v>157</v>
      </c>
      <c r="G51" s="356" t="s">
        <v>287</v>
      </c>
      <c r="H51" s="208" t="s">
        <v>157</v>
      </c>
      <c r="I51" s="356" t="s">
        <v>287</v>
      </c>
      <c r="J51" s="208" t="s">
        <v>157</v>
      </c>
      <c r="K51" s="356" t="s">
        <v>287</v>
      </c>
      <c r="L51" s="208" t="s">
        <v>157</v>
      </c>
      <c r="M51" s="208" t="s">
        <v>157</v>
      </c>
    </row>
    <row r="52">
      <c r="A52" s="38"/>
      <c r="B52" s="213" t="s">
        <v>165</v>
      </c>
      <c r="C52" s="213" t="s">
        <v>165</v>
      </c>
      <c r="D52" s="213" t="s">
        <v>165</v>
      </c>
      <c r="E52" s="362" t="s">
        <v>53</v>
      </c>
      <c r="F52" s="213" t="s">
        <v>165</v>
      </c>
      <c r="G52" s="363" t="s">
        <v>215</v>
      </c>
      <c r="H52" s="213" t="s">
        <v>165</v>
      </c>
      <c r="I52" s="363" t="s">
        <v>202</v>
      </c>
      <c r="J52" s="213" t="s">
        <v>165</v>
      </c>
      <c r="K52" s="363" t="s">
        <v>292</v>
      </c>
      <c r="L52" s="213" t="s">
        <v>165</v>
      </c>
      <c r="M52" s="213" t="s">
        <v>165</v>
      </c>
    </row>
    <row r="53">
      <c r="A53" s="44"/>
      <c r="B53" s="221" t="s">
        <v>171</v>
      </c>
      <c r="C53" s="221" t="s">
        <v>171</v>
      </c>
      <c r="D53" s="221" t="s">
        <v>171</v>
      </c>
      <c r="E53" s="369">
        <v>300.0</v>
      </c>
      <c r="F53" s="221" t="s">
        <v>171</v>
      </c>
      <c r="G53" s="368">
        <v>101.0</v>
      </c>
      <c r="H53" s="221" t="s">
        <v>171</v>
      </c>
      <c r="I53" s="368">
        <v>314.0</v>
      </c>
      <c r="J53" s="221" t="s">
        <v>171</v>
      </c>
      <c r="K53" s="368" t="s">
        <v>497</v>
      </c>
      <c r="L53" s="221" t="s">
        <v>171</v>
      </c>
      <c r="M53" s="221" t="s">
        <v>171</v>
      </c>
    </row>
    <row r="54">
      <c r="A54" s="152" t="s">
        <v>64</v>
      </c>
      <c r="B54" s="208" t="s">
        <v>157</v>
      </c>
      <c r="C54" s="356" t="s">
        <v>287</v>
      </c>
      <c r="D54" s="208" t="s">
        <v>157</v>
      </c>
      <c r="E54" s="208" t="s">
        <v>157</v>
      </c>
      <c r="F54" s="356" t="s">
        <v>287</v>
      </c>
      <c r="G54" s="208" t="s">
        <v>157</v>
      </c>
      <c r="H54" s="208" t="s">
        <v>157</v>
      </c>
      <c r="I54" s="208" t="s">
        <v>157</v>
      </c>
      <c r="J54" s="208" t="s">
        <v>157</v>
      </c>
      <c r="K54" s="208" t="s">
        <v>157</v>
      </c>
      <c r="L54" s="208" t="s">
        <v>157</v>
      </c>
      <c r="M54" s="356" t="s">
        <v>287</v>
      </c>
    </row>
    <row r="55">
      <c r="A55" s="38"/>
      <c r="B55" s="213" t="s">
        <v>165</v>
      </c>
      <c r="C55" s="361" t="s">
        <v>215</v>
      </c>
      <c r="D55" s="213" t="s">
        <v>165</v>
      </c>
      <c r="E55" s="213" t="s">
        <v>165</v>
      </c>
      <c r="F55" s="363" t="s">
        <v>166</v>
      </c>
      <c r="G55" s="213" t="s">
        <v>165</v>
      </c>
      <c r="H55" s="213" t="s">
        <v>165</v>
      </c>
      <c r="I55" s="213" t="s">
        <v>165</v>
      </c>
      <c r="J55" s="213" t="s">
        <v>165</v>
      </c>
      <c r="K55" s="213" t="s">
        <v>165</v>
      </c>
      <c r="L55" s="213" t="s">
        <v>165</v>
      </c>
      <c r="M55" s="362" t="s">
        <v>53</v>
      </c>
    </row>
    <row r="56">
      <c r="A56" s="44"/>
      <c r="B56" s="221" t="s">
        <v>171</v>
      </c>
      <c r="C56" s="368">
        <v>101.0</v>
      </c>
      <c r="D56" s="221" t="s">
        <v>171</v>
      </c>
      <c r="E56" s="221" t="s">
        <v>171</v>
      </c>
      <c r="F56" s="368" t="s">
        <v>498</v>
      </c>
      <c r="G56" s="221" t="s">
        <v>171</v>
      </c>
      <c r="H56" s="221" t="s">
        <v>171</v>
      </c>
      <c r="I56" s="221" t="s">
        <v>171</v>
      </c>
      <c r="J56" s="221" t="s">
        <v>171</v>
      </c>
      <c r="K56" s="221" t="s">
        <v>171</v>
      </c>
      <c r="L56" s="221" t="s">
        <v>171</v>
      </c>
      <c r="M56" s="368">
        <v>300.0</v>
      </c>
    </row>
    <row r="57">
      <c r="A57" s="152" t="s">
        <v>66</v>
      </c>
      <c r="B57" s="230"/>
      <c r="C57" s="230"/>
      <c r="D57" s="230"/>
      <c r="E57" s="230"/>
      <c r="F57" s="230"/>
      <c r="G57" s="230"/>
      <c r="H57" s="156"/>
      <c r="I57" s="63"/>
      <c r="J57" s="156"/>
      <c r="K57" s="158"/>
      <c r="L57" s="63"/>
      <c r="M57" s="156"/>
    </row>
    <row r="58">
      <c r="A58" s="38"/>
      <c r="B58" s="230"/>
      <c r="C58" s="230"/>
      <c r="D58" s="230"/>
      <c r="E58" s="230"/>
      <c r="F58" s="230"/>
      <c r="G58" s="230"/>
      <c r="H58" s="156"/>
      <c r="I58" s="69"/>
      <c r="J58" s="156"/>
      <c r="K58" s="393"/>
      <c r="L58" s="69"/>
      <c r="M58" s="156"/>
    </row>
    <row r="59">
      <c r="A59" s="44"/>
      <c r="B59" s="243"/>
      <c r="C59" s="243"/>
      <c r="D59" s="243"/>
      <c r="E59" s="243"/>
      <c r="F59" s="243"/>
      <c r="G59" s="243"/>
      <c r="H59" s="172"/>
      <c r="I59" s="76"/>
      <c r="J59" s="172"/>
      <c r="K59" s="174"/>
      <c r="L59" s="76"/>
      <c r="M59" s="172"/>
    </row>
    <row r="60">
      <c r="A60" s="147" t="s">
        <v>86</v>
      </c>
      <c r="B60" s="148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7"/>
    </row>
    <row r="61">
      <c r="A61" s="152" t="s">
        <v>39</v>
      </c>
      <c r="B61" s="396" t="s">
        <v>85</v>
      </c>
      <c r="M61" s="23"/>
    </row>
    <row r="62">
      <c r="A62" s="38"/>
      <c r="M62" s="23"/>
    </row>
    <row r="63">
      <c r="A63" s="44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7"/>
    </row>
    <row r="64">
      <c r="A64" s="152" t="s">
        <v>49</v>
      </c>
      <c r="B64" s="179" t="s">
        <v>315</v>
      </c>
      <c r="M64" s="23"/>
    </row>
    <row r="65">
      <c r="A65" s="38"/>
      <c r="B65" s="187" t="s">
        <v>285</v>
      </c>
      <c r="M65" s="23"/>
    </row>
    <row r="66">
      <c r="A66" s="44"/>
      <c r="B66" s="196">
        <v>108.0</v>
      </c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7"/>
    </row>
    <row r="67">
      <c r="A67" s="152" t="s">
        <v>51</v>
      </c>
      <c r="B67" s="179" t="s">
        <v>323</v>
      </c>
      <c r="M67" s="23"/>
    </row>
    <row r="68">
      <c r="A68" s="38"/>
      <c r="B68" s="420" t="s">
        <v>283</v>
      </c>
      <c r="M68" s="23"/>
    </row>
    <row r="69">
      <c r="A69" s="44"/>
      <c r="B69" s="225">
        <v>108.0</v>
      </c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7"/>
    </row>
    <row r="70">
      <c r="A70" s="152" t="s">
        <v>59</v>
      </c>
      <c r="B70" s="231" t="s">
        <v>331</v>
      </c>
      <c r="C70" s="208" t="s">
        <v>157</v>
      </c>
      <c r="D70" s="208" t="s">
        <v>157</v>
      </c>
      <c r="E70" s="231" t="s">
        <v>331</v>
      </c>
      <c r="F70" s="208" t="s">
        <v>157</v>
      </c>
      <c r="G70" s="208" t="s">
        <v>157</v>
      </c>
      <c r="H70" s="231" t="s">
        <v>331</v>
      </c>
      <c r="I70" s="208" t="s">
        <v>157</v>
      </c>
      <c r="J70" s="231" t="s">
        <v>331</v>
      </c>
      <c r="K70" s="208" t="s">
        <v>157</v>
      </c>
      <c r="L70" s="231" t="s">
        <v>331</v>
      </c>
      <c r="M70" s="208" t="s">
        <v>157</v>
      </c>
    </row>
    <row r="71">
      <c r="A71" s="38"/>
      <c r="B71" s="235" t="s">
        <v>283</v>
      </c>
      <c r="C71" s="213" t="s">
        <v>165</v>
      </c>
      <c r="D71" s="213" t="s">
        <v>165</v>
      </c>
      <c r="E71" s="236" t="s">
        <v>229</v>
      </c>
      <c r="F71" s="213" t="s">
        <v>165</v>
      </c>
      <c r="G71" s="213" t="s">
        <v>165</v>
      </c>
      <c r="H71" s="236" t="s">
        <v>54</v>
      </c>
      <c r="I71" s="213" t="s">
        <v>165</v>
      </c>
      <c r="J71" s="279" t="s">
        <v>338</v>
      </c>
      <c r="K71" s="213" t="s">
        <v>165</v>
      </c>
      <c r="L71" s="236" t="s">
        <v>232</v>
      </c>
      <c r="M71" s="213" t="s">
        <v>165</v>
      </c>
    </row>
    <row r="72">
      <c r="A72" s="44"/>
      <c r="B72" s="244">
        <v>303.0</v>
      </c>
      <c r="C72" s="221" t="s">
        <v>343</v>
      </c>
      <c r="D72" s="221" t="s">
        <v>343</v>
      </c>
      <c r="E72" s="244">
        <v>320.0</v>
      </c>
      <c r="F72" s="221" t="s">
        <v>343</v>
      </c>
      <c r="G72" s="221" t="s">
        <v>343</v>
      </c>
      <c r="H72" s="442">
        <v>101.0</v>
      </c>
      <c r="I72" s="221" t="s">
        <v>343</v>
      </c>
      <c r="J72" s="244">
        <v>318.0</v>
      </c>
      <c r="K72" s="221" t="s">
        <v>343</v>
      </c>
      <c r="L72" s="244">
        <v>300.0</v>
      </c>
      <c r="M72" s="221" t="s">
        <v>343</v>
      </c>
    </row>
    <row r="73">
      <c r="A73" s="152" t="s">
        <v>64</v>
      </c>
      <c r="B73" s="208" t="s">
        <v>157</v>
      </c>
      <c r="C73" s="231" t="s">
        <v>331</v>
      </c>
      <c r="D73" s="208" t="s">
        <v>157</v>
      </c>
      <c r="E73" s="208" t="s">
        <v>157</v>
      </c>
      <c r="F73" s="231" t="s">
        <v>331</v>
      </c>
      <c r="G73" s="208" t="s">
        <v>157</v>
      </c>
      <c r="H73" s="208" t="s">
        <v>157</v>
      </c>
      <c r="I73" s="231" t="s">
        <v>331</v>
      </c>
      <c r="J73" s="208" t="s">
        <v>157</v>
      </c>
      <c r="K73" s="231" t="s">
        <v>331</v>
      </c>
      <c r="L73" s="208" t="s">
        <v>157</v>
      </c>
      <c r="M73" s="231" t="s">
        <v>331</v>
      </c>
    </row>
    <row r="74">
      <c r="A74" s="38"/>
      <c r="B74" s="213" t="s">
        <v>165</v>
      </c>
      <c r="C74" s="235" t="s">
        <v>283</v>
      </c>
      <c r="D74" s="213" t="s">
        <v>165</v>
      </c>
      <c r="E74" s="213" t="s">
        <v>165</v>
      </c>
      <c r="F74" s="235" t="s">
        <v>179</v>
      </c>
      <c r="G74" s="213" t="s">
        <v>165</v>
      </c>
      <c r="H74" s="213" t="s">
        <v>165</v>
      </c>
      <c r="I74" s="236" t="s">
        <v>338</v>
      </c>
      <c r="J74" s="213" t="s">
        <v>165</v>
      </c>
      <c r="K74" s="279" t="s">
        <v>54</v>
      </c>
      <c r="L74" s="213" t="s">
        <v>165</v>
      </c>
      <c r="M74" s="236" t="s">
        <v>232</v>
      </c>
    </row>
    <row r="75">
      <c r="A75" s="44"/>
      <c r="B75" s="221" t="s">
        <v>343</v>
      </c>
      <c r="C75" s="244">
        <v>303.0</v>
      </c>
      <c r="D75" s="221" t="s">
        <v>343</v>
      </c>
      <c r="E75" s="221" t="s">
        <v>343</v>
      </c>
      <c r="F75" s="442">
        <v>321.0</v>
      </c>
      <c r="G75" s="221" t="s">
        <v>343</v>
      </c>
      <c r="H75" s="221" t="s">
        <v>343</v>
      </c>
      <c r="I75" s="244">
        <v>318.0</v>
      </c>
      <c r="J75" s="221" t="s">
        <v>343</v>
      </c>
      <c r="K75" s="442">
        <v>101.0</v>
      </c>
      <c r="L75" s="221" t="s">
        <v>343</v>
      </c>
      <c r="M75" s="244">
        <v>300.0</v>
      </c>
    </row>
    <row r="76">
      <c r="A76" s="152" t="s">
        <v>66</v>
      </c>
      <c r="B76" s="156"/>
      <c r="C76" s="156"/>
      <c r="D76" s="231" t="s">
        <v>331</v>
      </c>
      <c r="E76" s="63"/>
      <c r="F76" s="156"/>
      <c r="G76" s="231" t="s">
        <v>331</v>
      </c>
      <c r="H76" s="156"/>
      <c r="I76" s="63"/>
      <c r="J76" s="63"/>
      <c r="K76" s="156"/>
      <c r="L76" s="156"/>
      <c r="M76" s="156"/>
    </row>
    <row r="77">
      <c r="A77" s="38"/>
      <c r="B77" s="156"/>
      <c r="C77" s="156"/>
      <c r="D77" s="236" t="s">
        <v>54</v>
      </c>
      <c r="E77" s="69"/>
      <c r="F77" s="156"/>
      <c r="G77" s="235" t="s">
        <v>179</v>
      </c>
      <c r="H77" s="156"/>
      <c r="I77" s="69"/>
      <c r="J77" s="69"/>
      <c r="K77" s="156"/>
      <c r="L77" s="156"/>
      <c r="M77" s="156"/>
    </row>
    <row r="78">
      <c r="A78" s="44"/>
      <c r="B78" s="172"/>
      <c r="C78" s="172"/>
      <c r="D78" s="456" t="s">
        <v>350</v>
      </c>
      <c r="E78" s="76"/>
      <c r="F78" s="172"/>
      <c r="G78" s="244" t="s">
        <v>351</v>
      </c>
      <c r="H78" s="172"/>
      <c r="I78" s="76"/>
      <c r="J78" s="76"/>
      <c r="K78" s="172"/>
      <c r="L78" s="172"/>
      <c r="M78" s="172"/>
    </row>
    <row r="79">
      <c r="A79" s="147" t="s">
        <v>92</v>
      </c>
      <c r="B79" s="148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7"/>
    </row>
    <row r="80">
      <c r="A80" s="152" t="s">
        <v>39</v>
      </c>
      <c r="B80" s="460" t="s">
        <v>352</v>
      </c>
      <c r="M80" s="23"/>
    </row>
    <row r="81">
      <c r="A81" s="38"/>
      <c r="B81" s="463" t="s">
        <v>354</v>
      </c>
      <c r="M81" s="23"/>
    </row>
    <row r="82">
      <c r="A82" s="44"/>
      <c r="B82" s="466">
        <v>108.0</v>
      </c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7"/>
    </row>
    <row r="83">
      <c r="A83" s="152" t="s">
        <v>49</v>
      </c>
      <c r="B83" s="469" t="s">
        <v>356</v>
      </c>
      <c r="M83" s="23"/>
    </row>
    <row r="84">
      <c r="A84" s="38"/>
      <c r="B84" s="472" t="s">
        <v>354</v>
      </c>
      <c r="M84" s="23"/>
    </row>
    <row r="85">
      <c r="A85" s="44"/>
      <c r="B85" s="466">
        <v>108.0</v>
      </c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7"/>
    </row>
    <row r="86">
      <c r="A86" s="152" t="s">
        <v>51</v>
      </c>
      <c r="B86" s="418" t="s">
        <v>366</v>
      </c>
      <c r="C86" s="418" t="s">
        <v>366</v>
      </c>
      <c r="D86" s="156"/>
      <c r="E86" s="156"/>
      <c r="F86" s="418" t="s">
        <v>366</v>
      </c>
      <c r="G86" s="143"/>
      <c r="H86" s="293"/>
      <c r="I86" s="418" t="s">
        <v>366</v>
      </c>
      <c r="J86" s="156"/>
      <c r="K86" s="158"/>
      <c r="L86" s="418" t="s">
        <v>366</v>
      </c>
      <c r="M86" s="158"/>
    </row>
    <row r="87">
      <c r="A87" s="38"/>
      <c r="B87" s="477" t="s">
        <v>354</v>
      </c>
      <c r="C87" s="477" t="s">
        <v>167</v>
      </c>
      <c r="D87" s="156"/>
      <c r="E87" s="156"/>
      <c r="F87" s="477" t="s">
        <v>370</v>
      </c>
      <c r="G87" s="143"/>
      <c r="H87" s="478"/>
      <c r="I87" s="477" t="s">
        <v>338</v>
      </c>
      <c r="J87" s="156"/>
      <c r="K87" s="393"/>
      <c r="L87" s="477" t="s">
        <v>179</v>
      </c>
      <c r="M87" s="393"/>
    </row>
    <row r="88">
      <c r="A88" s="44"/>
      <c r="B88" s="483" t="s">
        <v>373</v>
      </c>
      <c r="C88" s="484">
        <v>303.0</v>
      </c>
      <c r="D88" s="172"/>
      <c r="E88" s="172"/>
      <c r="F88" s="483">
        <v>320.0</v>
      </c>
      <c r="G88" s="143"/>
      <c r="H88" s="485"/>
      <c r="I88" s="483">
        <v>461.0</v>
      </c>
      <c r="J88" s="172"/>
      <c r="K88" s="174"/>
      <c r="L88" s="483">
        <v>318.0</v>
      </c>
      <c r="M88" s="174"/>
    </row>
    <row r="89">
      <c r="A89" s="152" t="s">
        <v>59</v>
      </c>
      <c r="B89" s="158"/>
      <c r="C89" s="156"/>
      <c r="D89" s="156"/>
      <c r="E89" s="418" t="s">
        <v>366</v>
      </c>
      <c r="F89" s="156"/>
      <c r="G89" s="487" t="s">
        <v>366</v>
      </c>
      <c r="H89" s="159"/>
      <c r="I89" s="158"/>
      <c r="J89" s="418" t="s">
        <v>366</v>
      </c>
      <c r="K89" s="230"/>
      <c r="L89" s="158"/>
      <c r="M89" s="418" t="s">
        <v>366</v>
      </c>
    </row>
    <row r="90">
      <c r="A90" s="38"/>
      <c r="B90" s="488"/>
      <c r="C90" s="156"/>
      <c r="D90" s="156"/>
      <c r="E90" s="477" t="s">
        <v>370</v>
      </c>
      <c r="F90" s="156"/>
      <c r="G90" s="489" t="s">
        <v>167</v>
      </c>
      <c r="H90" s="159"/>
      <c r="I90" s="393"/>
      <c r="J90" s="477" t="s">
        <v>338</v>
      </c>
      <c r="K90" s="230"/>
      <c r="L90" s="393"/>
      <c r="M90" s="477" t="s">
        <v>179</v>
      </c>
    </row>
    <row r="91">
      <c r="A91" s="44"/>
      <c r="B91" s="202"/>
      <c r="C91" s="172"/>
      <c r="D91" s="172"/>
      <c r="E91" s="483">
        <v>320.0</v>
      </c>
      <c r="F91" s="172"/>
      <c r="G91" s="446">
        <v>303.0</v>
      </c>
      <c r="H91" s="175"/>
      <c r="I91" s="174"/>
      <c r="J91" s="483">
        <v>461.0</v>
      </c>
      <c r="K91" s="243"/>
      <c r="L91" s="174"/>
      <c r="M91" s="483">
        <v>318.0</v>
      </c>
    </row>
    <row r="92">
      <c r="A92" s="152" t="s">
        <v>64</v>
      </c>
      <c r="B92" s="158"/>
      <c r="C92" s="158"/>
      <c r="D92" s="418" t="s">
        <v>366</v>
      </c>
      <c r="E92" s="158"/>
      <c r="F92" s="156"/>
      <c r="G92" s="158"/>
      <c r="H92" s="418" t="s">
        <v>366</v>
      </c>
      <c r="I92" s="158"/>
      <c r="J92" s="158"/>
      <c r="K92" s="418" t="s">
        <v>366</v>
      </c>
      <c r="L92" s="158"/>
      <c r="M92" s="158"/>
    </row>
    <row r="93">
      <c r="A93" s="38"/>
      <c r="B93" s="393"/>
      <c r="C93" s="393"/>
      <c r="D93" s="477" t="s">
        <v>370</v>
      </c>
      <c r="E93" s="393"/>
      <c r="F93" s="156"/>
      <c r="G93" s="393"/>
      <c r="H93" s="477" t="s">
        <v>167</v>
      </c>
      <c r="I93" s="393"/>
      <c r="J93" s="393"/>
      <c r="K93" s="477" t="s">
        <v>179</v>
      </c>
      <c r="L93" s="393"/>
      <c r="M93" s="393"/>
    </row>
    <row r="94">
      <c r="A94" s="44"/>
      <c r="B94" s="174"/>
      <c r="C94" s="174"/>
      <c r="D94" s="483">
        <v>320.0</v>
      </c>
      <c r="E94" s="174"/>
      <c r="F94" s="172"/>
      <c r="G94" s="174"/>
      <c r="H94" s="483">
        <v>303.0</v>
      </c>
      <c r="I94" s="174"/>
      <c r="J94" s="174"/>
      <c r="K94" s="483">
        <v>318.0</v>
      </c>
      <c r="L94" s="174"/>
      <c r="M94" s="174"/>
    </row>
    <row r="95">
      <c r="A95" s="152" t="s">
        <v>66</v>
      </c>
      <c r="B95" s="230"/>
      <c r="C95" s="230"/>
      <c r="D95" s="230"/>
      <c r="E95" s="230"/>
      <c r="F95" s="230"/>
      <c r="G95" s="230"/>
      <c r="H95" s="156"/>
      <c r="I95" s="158"/>
      <c r="J95" s="156"/>
      <c r="K95" s="158"/>
      <c r="L95" s="158"/>
      <c r="M95" s="227"/>
    </row>
    <row r="96">
      <c r="A96" s="38"/>
      <c r="B96" s="230"/>
      <c r="C96" s="230"/>
      <c r="D96" s="230"/>
      <c r="E96" s="230"/>
      <c r="F96" s="230"/>
      <c r="G96" s="230"/>
      <c r="H96" s="156"/>
      <c r="I96" s="393"/>
      <c r="J96" s="156"/>
      <c r="K96" s="393"/>
      <c r="L96" s="393"/>
      <c r="M96" s="234"/>
    </row>
    <row r="97">
      <c r="A97" s="44"/>
      <c r="B97" s="243"/>
      <c r="C97" s="243"/>
      <c r="D97" s="243"/>
      <c r="E97" s="243"/>
      <c r="F97" s="243"/>
      <c r="G97" s="243"/>
      <c r="H97" s="172"/>
      <c r="I97" s="174"/>
      <c r="J97" s="172"/>
      <c r="K97" s="174"/>
      <c r="L97" s="174"/>
      <c r="M97" s="240"/>
    </row>
    <row r="98">
      <c r="A98" s="147" t="s">
        <v>103</v>
      </c>
      <c r="B98" s="148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7"/>
    </row>
    <row r="99">
      <c r="A99" s="152" t="s">
        <v>39</v>
      </c>
      <c r="B99" s="396" t="s">
        <v>85</v>
      </c>
      <c r="M99" s="23"/>
    </row>
    <row r="100">
      <c r="A100" s="38"/>
      <c r="M100" s="23"/>
    </row>
    <row r="101">
      <c r="A101" s="44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7"/>
    </row>
    <row r="102">
      <c r="A102" s="152" t="s">
        <v>49</v>
      </c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</row>
    <row r="103">
      <c r="A103" s="38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</row>
    <row r="104">
      <c r="A104" s="44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</row>
    <row r="105">
      <c r="A105" s="152" t="s">
        <v>51</v>
      </c>
      <c r="B105" s="230"/>
      <c r="C105" s="230"/>
      <c r="D105" s="230"/>
      <c r="E105" s="230"/>
      <c r="F105" s="230"/>
      <c r="G105" s="230"/>
      <c r="H105" s="156"/>
      <c r="I105" s="158"/>
      <c r="J105" s="156"/>
      <c r="K105" s="158"/>
      <c r="L105" s="156"/>
      <c r="M105" s="156"/>
    </row>
    <row r="106">
      <c r="A106" s="38"/>
      <c r="B106" s="230"/>
      <c r="C106" s="230"/>
      <c r="D106" s="230"/>
      <c r="E106" s="230"/>
      <c r="F106" s="230"/>
      <c r="G106" s="230"/>
      <c r="H106" s="156"/>
      <c r="I106" s="393"/>
      <c r="J106" s="156"/>
      <c r="K106" s="393"/>
      <c r="L106" s="156"/>
      <c r="M106" s="156"/>
    </row>
    <row r="107">
      <c r="A107" s="44"/>
      <c r="B107" s="243"/>
      <c r="C107" s="243"/>
      <c r="D107" s="243"/>
      <c r="E107" s="243"/>
      <c r="F107" s="243"/>
      <c r="G107" s="243"/>
      <c r="H107" s="172"/>
      <c r="I107" s="174"/>
      <c r="J107" s="172"/>
      <c r="K107" s="174"/>
      <c r="L107" s="172"/>
      <c r="M107" s="172"/>
    </row>
    <row r="108">
      <c r="A108" s="152" t="s">
        <v>59</v>
      </c>
      <c r="B108" s="230"/>
      <c r="C108" s="230"/>
      <c r="D108" s="230"/>
      <c r="E108" s="230"/>
      <c r="F108" s="230"/>
      <c r="G108" s="230"/>
      <c r="H108" s="156"/>
      <c r="I108" s="158"/>
      <c r="J108" s="156"/>
      <c r="K108" s="158"/>
      <c r="L108" s="156"/>
      <c r="M108" s="156"/>
    </row>
    <row r="109">
      <c r="A109" s="38"/>
      <c r="B109" s="230"/>
      <c r="C109" s="230"/>
      <c r="D109" s="230"/>
      <c r="E109" s="230"/>
      <c r="F109" s="230"/>
      <c r="G109" s="230"/>
      <c r="H109" s="156"/>
      <c r="I109" s="393"/>
      <c r="J109" s="156"/>
      <c r="K109" s="393"/>
      <c r="L109" s="156"/>
      <c r="M109" s="156"/>
    </row>
    <row r="110">
      <c r="A110" s="44"/>
      <c r="B110" s="243"/>
      <c r="C110" s="243"/>
      <c r="D110" s="243"/>
      <c r="E110" s="243"/>
      <c r="F110" s="243"/>
      <c r="G110" s="243"/>
      <c r="H110" s="172"/>
      <c r="I110" s="174"/>
      <c r="J110" s="172"/>
      <c r="K110" s="174"/>
      <c r="L110" s="172"/>
      <c r="M110" s="172"/>
    </row>
    <row r="111">
      <c r="A111" s="152" t="s">
        <v>64</v>
      </c>
      <c r="B111" s="230"/>
      <c r="C111" s="230"/>
      <c r="D111" s="230"/>
      <c r="E111" s="230"/>
      <c r="F111" s="230"/>
      <c r="G111" s="230"/>
      <c r="H111" s="156"/>
      <c r="I111" s="158"/>
      <c r="J111" s="156"/>
      <c r="K111" s="158"/>
      <c r="L111" s="156"/>
      <c r="M111" s="156"/>
    </row>
    <row r="112">
      <c r="A112" s="38"/>
      <c r="B112" s="230"/>
      <c r="C112" s="230"/>
      <c r="D112" s="230"/>
      <c r="E112" s="230"/>
      <c r="F112" s="230"/>
      <c r="G112" s="230"/>
      <c r="H112" s="156"/>
      <c r="I112" s="393"/>
      <c r="J112" s="156"/>
      <c r="K112" s="393"/>
      <c r="L112" s="156"/>
      <c r="M112" s="156"/>
    </row>
    <row r="113">
      <c r="A113" s="44"/>
      <c r="B113" s="243"/>
      <c r="C113" s="243"/>
      <c r="D113" s="243"/>
      <c r="E113" s="243"/>
      <c r="F113" s="243"/>
      <c r="G113" s="243"/>
      <c r="H113" s="172"/>
      <c r="I113" s="174"/>
      <c r="J113" s="172"/>
      <c r="K113" s="174"/>
      <c r="L113" s="172"/>
      <c r="M113" s="172"/>
    </row>
    <row r="114">
      <c r="A114" s="152" t="s">
        <v>66</v>
      </c>
      <c r="B114" s="230"/>
      <c r="C114" s="230"/>
      <c r="D114" s="230"/>
      <c r="E114" s="230"/>
      <c r="F114" s="230"/>
      <c r="G114" s="230"/>
      <c r="H114" s="156"/>
      <c r="I114" s="158"/>
      <c r="J114" s="156"/>
      <c r="K114" s="158"/>
      <c r="L114" s="156"/>
      <c r="M114" s="156"/>
    </row>
    <row r="115">
      <c r="A115" s="38"/>
      <c r="B115" s="230"/>
      <c r="C115" s="230"/>
      <c r="D115" s="230"/>
      <c r="E115" s="230"/>
      <c r="F115" s="230"/>
      <c r="G115" s="230"/>
      <c r="H115" s="156"/>
      <c r="I115" s="393"/>
      <c r="J115" s="156"/>
      <c r="K115" s="393"/>
      <c r="L115" s="156"/>
      <c r="M115" s="156"/>
    </row>
    <row r="116">
      <c r="A116" s="44"/>
      <c r="B116" s="243"/>
      <c r="C116" s="243"/>
      <c r="D116" s="243"/>
      <c r="E116" s="243"/>
      <c r="F116" s="243"/>
      <c r="G116" s="243"/>
      <c r="H116" s="172"/>
      <c r="I116" s="174"/>
      <c r="J116" s="172"/>
      <c r="K116" s="174"/>
      <c r="L116" s="172"/>
      <c r="M116" s="172"/>
    </row>
  </sheetData>
  <mergeCells count="76"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A42:A44"/>
    <mergeCell ref="A45:A47"/>
    <mergeCell ref="A48:A50"/>
    <mergeCell ref="A51:A53"/>
    <mergeCell ref="A67:A69"/>
    <mergeCell ref="A70:A72"/>
    <mergeCell ref="A73:A75"/>
    <mergeCell ref="A76:A78"/>
    <mergeCell ref="A80:A82"/>
    <mergeCell ref="A83:A85"/>
    <mergeCell ref="A86:A88"/>
    <mergeCell ref="A111:A113"/>
    <mergeCell ref="A114:A116"/>
    <mergeCell ref="A89:A91"/>
    <mergeCell ref="A92:A94"/>
    <mergeCell ref="A95:A97"/>
    <mergeCell ref="A99:A101"/>
    <mergeCell ref="A102:A104"/>
    <mergeCell ref="A105:A107"/>
    <mergeCell ref="A108:A110"/>
    <mergeCell ref="B83:M83"/>
    <mergeCell ref="B84:M84"/>
    <mergeCell ref="B85:M85"/>
    <mergeCell ref="B98:M98"/>
    <mergeCell ref="B99:M101"/>
    <mergeCell ref="B67:M67"/>
    <mergeCell ref="B68:M68"/>
    <mergeCell ref="B69:M69"/>
    <mergeCell ref="B79:M79"/>
    <mergeCell ref="B80:M80"/>
    <mergeCell ref="B81:M81"/>
    <mergeCell ref="B82:M82"/>
    <mergeCell ref="B6:M6"/>
    <mergeCell ref="B7:M7"/>
    <mergeCell ref="A1:A2"/>
    <mergeCell ref="B1:M1"/>
    <mergeCell ref="B3:M3"/>
    <mergeCell ref="A4:A6"/>
    <mergeCell ref="B4:M4"/>
    <mergeCell ref="B5:M5"/>
    <mergeCell ref="A7:A9"/>
    <mergeCell ref="B8:M8"/>
    <mergeCell ref="B9:M9"/>
    <mergeCell ref="B22:M22"/>
    <mergeCell ref="B26:M26"/>
    <mergeCell ref="B27:M27"/>
    <mergeCell ref="B28:M28"/>
    <mergeCell ref="B29:M29"/>
    <mergeCell ref="B46:M46"/>
    <mergeCell ref="B47:M47"/>
    <mergeCell ref="B30:M30"/>
    <mergeCell ref="B31:M31"/>
    <mergeCell ref="B41:M41"/>
    <mergeCell ref="B42:M42"/>
    <mergeCell ref="B43:M43"/>
    <mergeCell ref="B44:M44"/>
    <mergeCell ref="B45:M45"/>
    <mergeCell ref="A61:A63"/>
    <mergeCell ref="A64:A66"/>
    <mergeCell ref="A54:A56"/>
    <mergeCell ref="A57:A59"/>
    <mergeCell ref="B60:M60"/>
    <mergeCell ref="B61:M63"/>
    <mergeCell ref="B64:M64"/>
    <mergeCell ref="B65:M65"/>
    <mergeCell ref="B66:M66"/>
  </mergeCells>
  <conditionalFormatting sqref="A1:A21 B1:M1 B3:M21 A23:G40 H23:H37 I23:I34 J23:L40 M23:M37 I36:I40 A42:B59 C42:C56 D42:D59 E42:E56 F42:G59 H42:H56 I42:L59 M42:M53 M57:M59 C58:C59 E58:E59 H58:H59 A61:A78 B61:B69 C61:C72 D61:D75 E61:E69 F61:F72 G61:G76 H61:I75 J61:J69 K61:M75 B73:B78 E73:E75 J73:J75 C76:C78 G78 A80:A97 B80:C94 D80:D91 E80:E90 F80:F87 G80:G94 H80:H91 I80:I97 J80:J94 K80:K91 L80:L85 M80:M88 F89:F94 L89:L97 E92:E94 M92:M94 D95:D97 K95:K97 H96:H97 A99:B116 C99:C107 D99:D116 E99:E110 F99:H107 I99:I116 J99:J107 K99:M116 C109:C113 F109:G110 H109:H113 J111:J116 E112:G113 C115:C116 E115:H116">
    <cfRule type="expression" dxfId="0" priority="1">
      <formula>REGEXMATCH(A1, "(^\s+)|(\s+$)")</formula>
    </cfRule>
  </conditionalFormatting>
  <conditionalFormatting sqref="A1:A21 B1:M1 B3:M21 A23:G40 H23:H37 I23:I34 J23:L40 M23:M37 I36:I40 A42:B59 C42:C56 D42:D59 E42:E56 F42:G59 H42:H56 I42:L59 M42:M53 M57:M59 C58:C59 E58:E59 H58:H59 A61:A78 B61:B69 C61:C72 D61:D75 E61:E69 F61:F72 G61:G76 H61:I75 J61:J69 K61:M75 B73:B78 E73:E75 J73:J75 C76:C78 G78 A80:A97 B80:C94 D80:D91 E80:E90 F80:F87 G80:G94 H80:H91 I80:I97 J80:J94 K80:K91 L80:L85 M80:M88 F89:F94 L89:L97 E92:E94 M92:M94 D95:D97 K95:K97 H96:H97 A99:B116 C99:C107 D99:D116 E99:E110 F99:H107 I99:I116 J99:J107 K99:M116 C109:C113 F109:G110 H109:H113 J111:J116 E112:G113 C115:C116 E115:H116">
    <cfRule type="expression" dxfId="0" priority="2">
      <formula>REGEXMATCH(A1, "[а-яА-Я]")</formula>
    </cfRule>
  </conditionalFormatting>
  <conditionalFormatting sqref="A1:A21 B1:M1 B3:M21 A23:G40 H23:H37 I23:I34 J23:L40 M23:M37 I36:I40 A42:B59 C42:C56 D42:D59 E42:E56 F42:G59 H42:H56 I42:L59 M42:M53 M57:M59 C58:C59 E58:E59 H58:H59 A61:A78 B61:B69 C61:C72 D61:D75 E61:E69 F61:F72 G61:G76 H61:I75 J61:J69 K61:M75 B73:B78 E73:E75 J73:J75 C76:C78 G78 A80:A97 B80:C94 D80:D91 E80:E90 F80:F87 G80:G94 H80:H91 I80:I97 J80:J94 K80:K91 L80:L85 M80:M88 F89:F94 L89:L97 E92:E94 M92:M94 D95:D97 K95:K97 H96:H97 A99:B116 C99:C107 D99:D116 E99:E110 F99:H107 I99:I116 J99:J107 K99:M116 C109:C113 F109:G110 H109:H113 J111:J116 E112:G113 C115:C116 E115:H116">
    <cfRule type="expression" dxfId="0" priority="3">
      <formula>REGEXMATCH(A1, "\s{2,}")</formula>
    </cfRule>
  </conditionalFormatting>
  <conditionalFormatting sqref="A1:A21 B1:M1 B3:M21 A23:G40 H23:H37 I23:I34 J23:L40 M23:M37 I36:I40 A42:B59 C42:C56 D42:D59 E42:E56 F42:G59 H42:H56 I42:L59 M42:M53 M57:M59 C58:C59 E58:E59 H58:H59 A61:A78 B61:B69 C61:C72 D61:D75 E61:E69 F61:F72 G61:G76 H61:I75 J61:J69 K61:M75 B73:B78 E73:E75 J73:J75 C76:C78 G78 A80:A97 B80:C94 D80:D91 E80:E90 F80:F87 G80:G94 H80:H91 I80:I97 J80:J94 K80:K91 L80:L85 M80:M88 F89:F94 L89:L97 E92:E94 M92:M94 D95:D97 K95:K97 H96:H97 A99:B116 C99:C107 D99:D116 E99:E110 F99:H107 I99:I116 J99:J107 K99:M116 C109:C113 F109:G110 H109:H113 J111:J116 E112:G113 C115:C116 E115:H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2" width="28.25"/>
    <col customWidth="1" min="3" max="3" width="27.5"/>
    <col customWidth="1" min="4" max="4" width="29.38"/>
    <col customWidth="1" min="5" max="6" width="27.13"/>
    <col customWidth="1" min="7" max="8" width="29.38"/>
    <col customWidth="1" min="9" max="10" width="28.13"/>
    <col customWidth="1" min="11" max="12" width="26.38"/>
  </cols>
  <sheetData>
    <row r="1">
      <c r="A1" s="138"/>
      <c r="B1" s="139" t="s">
        <v>111</v>
      </c>
      <c r="C1" s="3"/>
      <c r="D1" s="3"/>
      <c r="E1" s="3"/>
      <c r="F1" s="3"/>
      <c r="G1" s="3"/>
      <c r="H1" s="3"/>
      <c r="I1" s="3"/>
      <c r="J1" s="3"/>
      <c r="K1" s="3"/>
      <c r="L1" s="4"/>
    </row>
    <row r="2">
      <c r="A2" s="44"/>
      <c r="B2" s="144" t="s">
        <v>114</v>
      </c>
      <c r="C2" s="144" t="s">
        <v>115</v>
      </c>
      <c r="D2" s="144" t="s">
        <v>116</v>
      </c>
      <c r="E2" s="144" t="s">
        <v>117</v>
      </c>
      <c r="F2" s="144" t="s">
        <v>118</v>
      </c>
      <c r="G2" s="144" t="s">
        <v>119</v>
      </c>
      <c r="H2" s="144" t="s">
        <v>120</v>
      </c>
      <c r="I2" s="144" t="s">
        <v>121</v>
      </c>
      <c r="J2" s="144" t="s">
        <v>122</v>
      </c>
      <c r="K2" s="144" t="s">
        <v>123</v>
      </c>
      <c r="L2" s="144" t="s">
        <v>124</v>
      </c>
    </row>
    <row r="3">
      <c r="A3" s="147" t="s">
        <v>38</v>
      </c>
      <c r="B3" s="148"/>
      <c r="C3" s="46"/>
      <c r="D3" s="46"/>
      <c r="E3" s="46"/>
      <c r="F3" s="46"/>
      <c r="G3" s="46"/>
      <c r="H3" s="46"/>
      <c r="I3" s="46"/>
      <c r="J3" s="46"/>
      <c r="K3" s="46"/>
      <c r="L3" s="47"/>
    </row>
    <row r="4">
      <c r="A4" s="154" t="s">
        <v>130</v>
      </c>
      <c r="B4" s="328" t="s">
        <v>289</v>
      </c>
      <c r="D4" s="23"/>
      <c r="E4" s="156"/>
      <c r="F4" s="156"/>
      <c r="G4" s="157" t="s">
        <v>131</v>
      </c>
      <c r="H4" s="23"/>
      <c r="I4" s="158"/>
      <c r="J4" s="159"/>
      <c r="K4" s="156"/>
      <c r="L4" s="156"/>
    </row>
    <row r="5">
      <c r="A5" s="23"/>
      <c r="B5" s="365" t="s">
        <v>294</v>
      </c>
      <c r="D5" s="23"/>
      <c r="E5" s="156"/>
      <c r="F5" s="156"/>
      <c r="G5" s="167" t="s">
        <v>136</v>
      </c>
      <c r="H5" s="23"/>
      <c r="I5" s="168"/>
      <c r="J5" s="159"/>
      <c r="K5" s="156"/>
      <c r="L5" s="156"/>
    </row>
    <row r="6">
      <c r="A6" s="47"/>
      <c r="B6" s="371" t="s">
        <v>499</v>
      </c>
      <c r="C6" s="46"/>
      <c r="D6" s="47"/>
      <c r="E6" s="172"/>
      <c r="F6" s="172"/>
      <c r="G6" s="173" t="s">
        <v>137</v>
      </c>
      <c r="H6" s="47"/>
      <c r="I6" s="174"/>
      <c r="J6" s="175"/>
      <c r="K6" s="172"/>
      <c r="L6" s="172"/>
    </row>
    <row r="7">
      <c r="A7" s="154" t="s">
        <v>145</v>
      </c>
      <c r="B7" s="156"/>
      <c r="C7" s="156"/>
      <c r="D7" s="156"/>
      <c r="E7" s="156"/>
      <c r="F7" s="156"/>
      <c r="G7" s="184" t="s">
        <v>146</v>
      </c>
      <c r="H7" s="158"/>
      <c r="I7" s="180" t="s">
        <v>141</v>
      </c>
      <c r="J7" s="23"/>
      <c r="K7" s="185" t="s">
        <v>147</v>
      </c>
      <c r="L7" s="158"/>
    </row>
    <row r="8">
      <c r="A8" s="23"/>
      <c r="B8" s="156"/>
      <c r="C8" s="156"/>
      <c r="D8" s="156"/>
      <c r="E8" s="156"/>
      <c r="F8" s="156"/>
      <c r="G8" s="192" t="s">
        <v>152</v>
      </c>
      <c r="H8" s="168"/>
      <c r="I8" s="188" t="s">
        <v>45</v>
      </c>
      <c r="J8" s="23"/>
      <c r="K8" s="193" t="s">
        <v>153</v>
      </c>
      <c r="L8" s="154"/>
    </row>
    <row r="9">
      <c r="A9" s="47"/>
      <c r="B9" s="172"/>
      <c r="C9" s="172"/>
      <c r="D9" s="172"/>
      <c r="E9" s="172"/>
      <c r="F9" s="172"/>
      <c r="G9" s="201">
        <v>209.0</v>
      </c>
      <c r="H9" s="202"/>
      <c r="I9" s="203" t="s">
        <v>155</v>
      </c>
      <c r="J9" s="47"/>
      <c r="K9" s="204">
        <v>111.0</v>
      </c>
      <c r="L9" s="174"/>
    </row>
    <row r="10">
      <c r="A10" s="154" t="s">
        <v>162</v>
      </c>
      <c r="B10" s="179" t="s">
        <v>163</v>
      </c>
      <c r="D10" s="23"/>
      <c r="E10" s="156"/>
      <c r="F10" s="156"/>
      <c r="G10" s="159"/>
      <c r="H10" s="184" t="s">
        <v>146</v>
      </c>
      <c r="I10" s="210" t="s">
        <v>160</v>
      </c>
      <c r="J10" s="159"/>
      <c r="K10" s="185" t="s">
        <v>164</v>
      </c>
      <c r="L10" s="156"/>
    </row>
    <row r="11">
      <c r="A11" s="23"/>
      <c r="B11" s="218" t="s">
        <v>134</v>
      </c>
      <c r="D11" s="23"/>
      <c r="E11" s="156"/>
      <c r="F11" s="156"/>
      <c r="G11" s="159"/>
      <c r="H11" s="192" t="s">
        <v>152</v>
      </c>
      <c r="I11" s="216" t="s">
        <v>150</v>
      </c>
      <c r="J11" s="159"/>
      <c r="K11" s="219" t="s">
        <v>153</v>
      </c>
      <c r="L11" s="156"/>
    </row>
    <row r="12">
      <c r="A12" s="47"/>
      <c r="B12" s="225">
        <v>106.0</v>
      </c>
      <c r="C12" s="46"/>
      <c r="D12" s="47"/>
      <c r="E12" s="172"/>
      <c r="F12" s="172"/>
      <c r="G12" s="175"/>
      <c r="H12" s="201">
        <v>209.0</v>
      </c>
      <c r="I12" s="224" t="s">
        <v>500</v>
      </c>
      <c r="J12" s="175"/>
      <c r="K12" s="204">
        <v>111.0</v>
      </c>
      <c r="L12" s="172"/>
    </row>
    <row r="13">
      <c r="A13" s="154" t="s">
        <v>174</v>
      </c>
      <c r="B13" s="231" t="s">
        <v>175</v>
      </c>
      <c r="C13" s="231" t="s">
        <v>175</v>
      </c>
      <c r="D13" s="156"/>
      <c r="E13" s="156"/>
      <c r="F13" s="156"/>
      <c r="G13" s="159"/>
      <c r="H13" s="159"/>
      <c r="I13" s="159"/>
      <c r="J13" s="210" t="s">
        <v>160</v>
      </c>
      <c r="K13" s="185" t="s">
        <v>164</v>
      </c>
      <c r="L13" s="156"/>
    </row>
    <row r="14">
      <c r="A14" s="23"/>
      <c r="B14" s="235" t="s">
        <v>178</v>
      </c>
      <c r="C14" s="236" t="s">
        <v>179</v>
      </c>
      <c r="D14" s="156"/>
      <c r="E14" s="156"/>
      <c r="F14" s="156"/>
      <c r="G14" s="159"/>
      <c r="H14" s="159"/>
      <c r="I14" s="159"/>
      <c r="J14" s="216" t="s">
        <v>150</v>
      </c>
      <c r="K14" s="219" t="s">
        <v>153</v>
      </c>
      <c r="L14" s="156"/>
    </row>
    <row r="15">
      <c r="A15" s="47"/>
      <c r="B15" s="244">
        <v>314.0</v>
      </c>
      <c r="C15" s="244">
        <v>318.0</v>
      </c>
      <c r="D15" s="172"/>
      <c r="E15" s="172"/>
      <c r="F15" s="172"/>
      <c r="G15" s="175"/>
      <c r="H15" s="175"/>
      <c r="I15" s="175"/>
      <c r="J15" s="224">
        <v>461.0</v>
      </c>
      <c r="K15" s="204">
        <v>111.0</v>
      </c>
      <c r="L15" s="172"/>
    </row>
    <row r="16">
      <c r="A16" s="154" t="s">
        <v>185</v>
      </c>
      <c r="B16" s="247" t="s">
        <v>186</v>
      </c>
      <c r="C16" s="156"/>
      <c r="D16" s="231" t="s">
        <v>175</v>
      </c>
      <c r="E16" s="156"/>
      <c r="F16" s="156"/>
      <c r="G16" s="156"/>
      <c r="H16" s="156"/>
      <c r="I16" s="156"/>
      <c r="J16" s="156"/>
      <c r="K16" s="248" t="s">
        <v>187</v>
      </c>
      <c r="L16" s="156"/>
    </row>
    <row r="17">
      <c r="A17" s="23"/>
      <c r="B17" s="249" t="s">
        <v>188</v>
      </c>
      <c r="C17" s="156"/>
      <c r="D17" s="236" t="s">
        <v>179</v>
      </c>
      <c r="E17" s="156"/>
      <c r="F17" s="156"/>
      <c r="G17" s="156"/>
      <c r="H17" s="156"/>
      <c r="I17" s="156"/>
      <c r="J17" s="156"/>
      <c r="K17" s="250" t="s">
        <v>189</v>
      </c>
      <c r="L17" s="156"/>
    </row>
    <row r="18">
      <c r="A18" s="47"/>
      <c r="B18" s="251">
        <v>314.0</v>
      </c>
      <c r="C18" s="172"/>
      <c r="D18" s="244">
        <v>318.0</v>
      </c>
      <c r="E18" s="172"/>
      <c r="F18" s="172"/>
      <c r="G18" s="172"/>
      <c r="H18" s="172"/>
      <c r="I18" s="172"/>
      <c r="J18" s="172"/>
      <c r="K18" s="252" t="s">
        <v>190</v>
      </c>
      <c r="L18" s="172"/>
    </row>
    <row r="19">
      <c r="A19" s="154" t="s">
        <v>192</v>
      </c>
      <c r="B19" s="156"/>
      <c r="C19" s="247" t="s">
        <v>186</v>
      </c>
      <c r="D19" s="156"/>
      <c r="E19" s="156"/>
      <c r="F19" s="156"/>
      <c r="G19" s="156"/>
      <c r="H19" s="156"/>
      <c r="I19" s="156"/>
      <c r="J19" s="156"/>
      <c r="K19" s="248" t="s">
        <v>193</v>
      </c>
      <c r="L19" s="156"/>
    </row>
    <row r="20">
      <c r="A20" s="23"/>
      <c r="B20" s="156"/>
      <c r="C20" s="249" t="s">
        <v>188</v>
      </c>
      <c r="D20" s="156"/>
      <c r="E20" s="156"/>
      <c r="F20" s="156"/>
      <c r="G20" s="156"/>
      <c r="H20" s="156"/>
      <c r="I20" s="156"/>
      <c r="J20" s="156"/>
      <c r="K20" s="250" t="s">
        <v>189</v>
      </c>
      <c r="L20" s="156"/>
    </row>
    <row r="21">
      <c r="A21" s="47"/>
      <c r="B21" s="172"/>
      <c r="C21" s="251">
        <v>314.0</v>
      </c>
      <c r="D21" s="172"/>
      <c r="E21" s="172"/>
      <c r="F21" s="172"/>
      <c r="G21" s="172"/>
      <c r="H21" s="172"/>
      <c r="I21" s="172"/>
      <c r="J21" s="172"/>
      <c r="K21" s="252" t="s">
        <v>195</v>
      </c>
      <c r="L21" s="172"/>
    </row>
    <row r="22">
      <c r="A22" s="149" t="s">
        <v>74</v>
      </c>
      <c r="B22" s="148"/>
      <c r="C22" s="46"/>
      <c r="D22" s="46"/>
      <c r="E22" s="46"/>
      <c r="F22" s="46"/>
      <c r="G22" s="46"/>
      <c r="H22" s="46"/>
      <c r="I22" s="46"/>
      <c r="J22" s="46"/>
      <c r="K22" s="46"/>
      <c r="L22" s="47"/>
    </row>
    <row r="23">
      <c r="A23" s="154" t="s">
        <v>130</v>
      </c>
      <c r="B23" s="63"/>
      <c r="C23" s="63"/>
      <c r="D23" s="63"/>
      <c r="E23" s="228"/>
      <c r="F23" s="156"/>
      <c r="G23" s="156"/>
      <c r="H23" s="156"/>
      <c r="I23" s="156"/>
      <c r="J23" s="156"/>
      <c r="K23" s="156"/>
      <c r="L23" s="156"/>
    </row>
    <row r="24">
      <c r="A24" s="23"/>
      <c r="B24" s="69"/>
      <c r="C24" s="69"/>
      <c r="D24" s="69"/>
      <c r="E24" s="161"/>
      <c r="F24" s="156"/>
      <c r="G24" s="156"/>
      <c r="H24" s="156"/>
      <c r="I24" s="156"/>
      <c r="J24" s="156"/>
      <c r="K24" s="156"/>
      <c r="L24" s="156"/>
    </row>
    <row r="25">
      <c r="A25" s="47"/>
      <c r="B25" s="76"/>
      <c r="C25" s="76"/>
      <c r="D25" s="76"/>
      <c r="E25" s="177"/>
      <c r="F25" s="172"/>
      <c r="G25" s="172"/>
      <c r="H25" s="172"/>
      <c r="I25" s="172"/>
      <c r="J25" s="172"/>
      <c r="K25" s="172"/>
      <c r="L25" s="172"/>
    </row>
    <row r="26">
      <c r="A26" s="163" t="s">
        <v>145</v>
      </c>
      <c r="B26" s="228"/>
      <c r="C26" s="228"/>
      <c r="D26" s="228"/>
      <c r="E26" s="156"/>
      <c r="F26" s="156"/>
      <c r="G26" s="156"/>
      <c r="H26" s="273" t="s">
        <v>209</v>
      </c>
      <c r="I26" s="228"/>
      <c r="J26" s="156"/>
      <c r="K26" s="274"/>
      <c r="L26" s="63"/>
    </row>
    <row r="27">
      <c r="B27" s="161"/>
      <c r="C27" s="161"/>
      <c r="D27" s="161"/>
      <c r="E27" s="156"/>
      <c r="F27" s="156"/>
      <c r="G27" s="156"/>
      <c r="H27" s="282" t="s">
        <v>219</v>
      </c>
      <c r="I27" s="161"/>
      <c r="J27" s="156"/>
      <c r="K27" s="283"/>
      <c r="L27" s="69"/>
    </row>
    <row r="28">
      <c r="A28" s="46"/>
      <c r="B28" s="177"/>
      <c r="C28" s="177"/>
      <c r="D28" s="177"/>
      <c r="E28" s="172"/>
      <c r="F28" s="172"/>
      <c r="G28" s="172"/>
      <c r="H28" s="204">
        <v>316.0</v>
      </c>
      <c r="I28" s="177"/>
      <c r="J28" s="172"/>
      <c r="K28" s="291"/>
      <c r="L28" s="76"/>
    </row>
    <row r="29">
      <c r="A29" s="154" t="s">
        <v>162</v>
      </c>
      <c r="B29" s="156"/>
      <c r="C29" s="156"/>
      <c r="D29" s="156"/>
      <c r="E29" s="156"/>
      <c r="F29" s="156"/>
      <c r="G29" s="182" t="s">
        <v>209</v>
      </c>
      <c r="H29" s="156"/>
      <c r="I29" s="156"/>
      <c r="J29" s="156"/>
      <c r="K29" s="293"/>
      <c r="L29" s="294" t="s">
        <v>227</v>
      </c>
    </row>
    <row r="30">
      <c r="A30" s="23"/>
      <c r="B30" s="156"/>
      <c r="C30" s="156"/>
      <c r="D30" s="156"/>
      <c r="E30" s="156"/>
      <c r="F30" s="156"/>
      <c r="G30" s="259" t="s">
        <v>219</v>
      </c>
      <c r="H30" s="156"/>
      <c r="I30" s="156"/>
      <c r="J30" s="156"/>
      <c r="K30" s="298"/>
      <c r="L30" s="299" t="s">
        <v>236</v>
      </c>
    </row>
    <row r="31">
      <c r="A31" s="47"/>
      <c r="B31" s="172"/>
      <c r="C31" s="172"/>
      <c r="D31" s="172"/>
      <c r="E31" s="172"/>
      <c r="F31" s="172"/>
      <c r="G31" s="204">
        <v>316.0</v>
      </c>
      <c r="H31" s="172"/>
      <c r="I31" s="172"/>
      <c r="J31" s="172"/>
      <c r="K31" s="303"/>
      <c r="L31" s="304">
        <v>317.0</v>
      </c>
    </row>
    <row r="32">
      <c r="A32" s="152" t="s">
        <v>174</v>
      </c>
      <c r="B32" s="156"/>
      <c r="C32" s="156"/>
      <c r="D32" s="156"/>
      <c r="E32" s="306" t="s">
        <v>240</v>
      </c>
      <c r="F32" s="23"/>
      <c r="G32" s="155" t="s">
        <v>241</v>
      </c>
      <c r="J32" s="23"/>
      <c r="K32" s="63"/>
      <c r="L32" s="294" t="s">
        <v>227</v>
      </c>
    </row>
    <row r="33">
      <c r="A33" s="38"/>
      <c r="B33" s="156"/>
      <c r="C33" s="156"/>
      <c r="D33" s="156"/>
      <c r="E33" s="309" t="s">
        <v>246</v>
      </c>
      <c r="F33" s="23"/>
      <c r="G33" s="310" t="s">
        <v>247</v>
      </c>
      <c r="J33" s="23"/>
      <c r="K33" s="69"/>
      <c r="L33" s="299" t="s">
        <v>236</v>
      </c>
    </row>
    <row r="34">
      <c r="A34" s="44"/>
      <c r="B34" s="172"/>
      <c r="C34" s="172"/>
      <c r="D34" s="172"/>
      <c r="E34" s="315" t="s">
        <v>250</v>
      </c>
      <c r="F34" s="47"/>
      <c r="G34" s="316" t="s">
        <v>137</v>
      </c>
      <c r="H34" s="46"/>
      <c r="I34" s="46"/>
      <c r="J34" s="47"/>
      <c r="K34" s="76"/>
      <c r="L34" s="304">
        <v>317.0</v>
      </c>
    </row>
    <row r="35">
      <c r="A35" s="154" t="s">
        <v>185</v>
      </c>
      <c r="B35" s="156"/>
      <c r="C35" s="156"/>
      <c r="D35" s="156"/>
      <c r="E35" s="306" t="s">
        <v>240</v>
      </c>
      <c r="F35" s="23"/>
      <c r="G35" s="134"/>
      <c r="H35" s="158"/>
      <c r="I35" s="228"/>
      <c r="J35" s="156"/>
      <c r="K35" s="248" t="s">
        <v>187</v>
      </c>
      <c r="L35" s="156"/>
    </row>
    <row r="36">
      <c r="A36" s="23"/>
      <c r="B36" s="156"/>
      <c r="C36" s="156"/>
      <c r="D36" s="156"/>
      <c r="E36" s="309" t="s">
        <v>246</v>
      </c>
      <c r="F36" s="23"/>
      <c r="G36" s="211"/>
      <c r="H36" s="154"/>
      <c r="I36" s="161"/>
      <c r="J36" s="156"/>
      <c r="K36" s="250" t="s">
        <v>189</v>
      </c>
      <c r="L36" s="156"/>
    </row>
    <row r="37">
      <c r="A37" s="47"/>
      <c r="B37" s="172"/>
      <c r="C37" s="172"/>
      <c r="D37" s="172"/>
      <c r="E37" s="315" t="s">
        <v>250</v>
      </c>
      <c r="F37" s="47"/>
      <c r="G37" s="226"/>
      <c r="H37" s="202"/>
      <c r="I37" s="177"/>
      <c r="J37" s="172"/>
      <c r="K37" s="252" t="s">
        <v>255</v>
      </c>
      <c r="L37" s="172"/>
    </row>
    <row r="38">
      <c r="A38" s="154" t="s">
        <v>192</v>
      </c>
      <c r="B38" s="156"/>
      <c r="C38" s="156"/>
      <c r="D38" s="156"/>
      <c r="E38" s="156"/>
      <c r="F38" s="156"/>
      <c r="G38" s="158"/>
      <c r="H38" s="63"/>
      <c r="I38" s="228"/>
      <c r="J38" s="63"/>
      <c r="K38" s="248" t="s">
        <v>187</v>
      </c>
      <c r="L38" s="156"/>
    </row>
    <row r="39">
      <c r="A39" s="23"/>
      <c r="B39" s="156"/>
      <c r="C39" s="156"/>
      <c r="D39" s="156"/>
      <c r="E39" s="156"/>
      <c r="F39" s="156"/>
      <c r="G39" s="154"/>
      <c r="H39" s="69"/>
      <c r="I39" s="161"/>
      <c r="J39" s="69"/>
      <c r="K39" s="250" t="s">
        <v>189</v>
      </c>
      <c r="L39" s="156"/>
    </row>
    <row r="40">
      <c r="A40" s="47"/>
      <c r="B40" s="172"/>
      <c r="C40" s="172"/>
      <c r="D40" s="172"/>
      <c r="E40" s="172"/>
      <c r="F40" s="172"/>
      <c r="G40" s="202"/>
      <c r="H40" s="76"/>
      <c r="I40" s="177"/>
      <c r="J40" s="76"/>
      <c r="K40" s="252" t="s">
        <v>259</v>
      </c>
      <c r="L40" s="172"/>
    </row>
    <row r="41">
      <c r="A41" s="149" t="s">
        <v>82</v>
      </c>
      <c r="B41" s="148"/>
      <c r="C41" s="46"/>
      <c r="D41" s="46"/>
      <c r="E41" s="46"/>
      <c r="F41" s="46"/>
      <c r="G41" s="46"/>
      <c r="H41" s="46"/>
      <c r="I41" s="46"/>
      <c r="J41" s="46"/>
      <c r="K41" s="46"/>
      <c r="L41" s="47"/>
    </row>
    <row r="42">
      <c r="A42" s="154" t="s">
        <v>130</v>
      </c>
      <c r="B42" s="156"/>
      <c r="C42" s="156"/>
      <c r="D42" s="156"/>
      <c r="E42" s="156"/>
      <c r="F42" s="156"/>
      <c r="G42" s="328" t="s">
        <v>262</v>
      </c>
      <c r="J42" s="23"/>
      <c r="K42" s="274"/>
      <c r="L42" s="329" t="s">
        <v>263</v>
      </c>
    </row>
    <row r="43">
      <c r="A43" s="23"/>
      <c r="B43" s="156"/>
      <c r="C43" s="156"/>
      <c r="D43" s="156"/>
      <c r="E43" s="156"/>
      <c r="F43" s="156"/>
      <c r="G43" s="334" t="s">
        <v>269</v>
      </c>
      <c r="J43" s="23"/>
      <c r="K43" s="283"/>
      <c r="L43" s="335" t="s">
        <v>270</v>
      </c>
    </row>
    <row r="44">
      <c r="A44" s="47"/>
      <c r="B44" s="172"/>
      <c r="C44" s="172"/>
      <c r="D44" s="172"/>
      <c r="E44" s="172"/>
      <c r="F44" s="172"/>
      <c r="G44" s="341">
        <v>106.0</v>
      </c>
      <c r="H44" s="46"/>
      <c r="I44" s="46"/>
      <c r="J44" s="47"/>
      <c r="K44" s="291"/>
      <c r="L44" s="342">
        <v>104.0</v>
      </c>
    </row>
    <row r="45">
      <c r="A45" s="154" t="s">
        <v>145</v>
      </c>
      <c r="B45" s="156"/>
      <c r="C45" s="156"/>
      <c r="D45" s="156"/>
      <c r="E45" s="156"/>
      <c r="F45" s="156"/>
      <c r="G45" s="247" t="s">
        <v>278</v>
      </c>
      <c r="H45" s="158"/>
      <c r="I45" s="182" t="s">
        <v>209</v>
      </c>
      <c r="J45" s="247" t="s">
        <v>278</v>
      </c>
      <c r="K45" s="274"/>
      <c r="L45" s="329" t="s">
        <v>263</v>
      </c>
    </row>
    <row r="46">
      <c r="A46" s="23"/>
      <c r="B46" s="156"/>
      <c r="C46" s="156"/>
      <c r="D46" s="156"/>
      <c r="E46" s="156"/>
      <c r="F46" s="156"/>
      <c r="G46" s="337" t="s">
        <v>284</v>
      </c>
      <c r="H46" s="168"/>
      <c r="I46" s="259" t="s">
        <v>219</v>
      </c>
      <c r="J46" s="249" t="s">
        <v>150</v>
      </c>
      <c r="K46" s="283"/>
      <c r="L46" s="351" t="s">
        <v>270</v>
      </c>
    </row>
    <row r="47">
      <c r="A47" s="47"/>
      <c r="B47" s="172"/>
      <c r="C47" s="172"/>
      <c r="D47" s="172"/>
      <c r="E47" s="172"/>
      <c r="F47" s="172"/>
      <c r="G47" s="251">
        <v>318.0</v>
      </c>
      <c r="H47" s="174"/>
      <c r="I47" s="204" t="s">
        <v>501</v>
      </c>
      <c r="J47" s="251">
        <v>316.0</v>
      </c>
      <c r="K47" s="291"/>
      <c r="L47" s="342">
        <v>104.0</v>
      </c>
    </row>
    <row r="48">
      <c r="A48" s="154" t="s">
        <v>162</v>
      </c>
      <c r="B48" s="328" t="s">
        <v>289</v>
      </c>
      <c r="D48" s="23"/>
      <c r="E48" s="63"/>
      <c r="F48" s="63"/>
      <c r="G48" s="254"/>
      <c r="H48" s="247" t="s">
        <v>278</v>
      </c>
      <c r="I48" s="247" t="s">
        <v>278</v>
      </c>
      <c r="J48" s="182" t="s">
        <v>209</v>
      </c>
      <c r="K48" s="63"/>
      <c r="L48" s="156"/>
    </row>
    <row r="49">
      <c r="A49" s="23"/>
      <c r="B49" s="365" t="s">
        <v>294</v>
      </c>
      <c r="D49" s="23"/>
      <c r="E49" s="69"/>
      <c r="F49" s="69"/>
      <c r="G49" s="254"/>
      <c r="H49" s="337" t="s">
        <v>284</v>
      </c>
      <c r="I49" s="249" t="s">
        <v>150</v>
      </c>
      <c r="J49" s="259" t="s">
        <v>219</v>
      </c>
      <c r="K49" s="69"/>
      <c r="L49" s="156"/>
    </row>
    <row r="50">
      <c r="A50" s="47"/>
      <c r="B50" s="371">
        <v>105.0</v>
      </c>
      <c r="C50" s="46"/>
      <c r="D50" s="47"/>
      <c r="E50" s="76"/>
      <c r="F50" s="76"/>
      <c r="G50" s="372"/>
      <c r="H50" s="251">
        <v>318.0</v>
      </c>
      <c r="I50" s="251">
        <v>316.0</v>
      </c>
      <c r="J50" s="204" t="s">
        <v>502</v>
      </c>
      <c r="K50" s="76"/>
      <c r="L50" s="172"/>
    </row>
    <row r="51">
      <c r="A51" s="154" t="s">
        <v>174</v>
      </c>
      <c r="B51" s="63"/>
      <c r="C51" s="63"/>
      <c r="D51" s="247" t="s">
        <v>186</v>
      </c>
      <c r="E51" s="63"/>
      <c r="F51" s="254"/>
      <c r="G51" s="159"/>
      <c r="H51" s="158"/>
      <c r="I51" s="63"/>
      <c r="J51" s="182" t="s">
        <v>209</v>
      </c>
      <c r="K51" s="63"/>
      <c r="L51" s="156"/>
    </row>
    <row r="52">
      <c r="A52" s="23"/>
      <c r="B52" s="69"/>
      <c r="C52" s="69"/>
      <c r="D52" s="249" t="s">
        <v>301</v>
      </c>
      <c r="E52" s="69"/>
      <c r="F52" s="254"/>
      <c r="G52" s="159"/>
      <c r="H52" s="168"/>
      <c r="I52" s="69"/>
      <c r="J52" s="259" t="s">
        <v>219</v>
      </c>
      <c r="K52" s="69"/>
      <c r="L52" s="156"/>
    </row>
    <row r="53">
      <c r="A53" s="47"/>
      <c r="B53" s="76"/>
      <c r="C53" s="76"/>
      <c r="D53" s="251" t="s">
        <v>503</v>
      </c>
      <c r="E53" s="76"/>
      <c r="F53" s="254"/>
      <c r="G53" s="175"/>
      <c r="H53" s="174"/>
      <c r="I53" s="76"/>
      <c r="J53" s="204" t="s">
        <v>504</v>
      </c>
      <c r="K53" s="76"/>
      <c r="L53" s="172"/>
    </row>
    <row r="54">
      <c r="A54" s="154" t="s">
        <v>185</v>
      </c>
      <c r="B54" s="63"/>
      <c r="C54" s="63"/>
      <c r="D54" s="63"/>
      <c r="F54" s="380" t="s">
        <v>303</v>
      </c>
      <c r="G54" s="159"/>
      <c r="H54" s="158"/>
      <c r="I54" s="63"/>
      <c r="J54" s="156"/>
      <c r="K54" s="248" t="s">
        <v>187</v>
      </c>
      <c r="L54" s="156"/>
    </row>
    <row r="55">
      <c r="A55" s="23"/>
      <c r="B55" s="69"/>
      <c r="C55" s="69"/>
      <c r="D55" s="69"/>
      <c r="F55" s="384" t="s">
        <v>202</v>
      </c>
      <c r="G55" s="159"/>
      <c r="H55" s="168"/>
      <c r="I55" s="69"/>
      <c r="J55" s="156"/>
      <c r="K55" s="250" t="s">
        <v>189</v>
      </c>
      <c r="L55" s="156"/>
    </row>
    <row r="56">
      <c r="A56" s="47"/>
      <c r="B56" s="76"/>
      <c r="C56" s="76"/>
      <c r="D56" s="76"/>
      <c r="E56" s="388"/>
      <c r="F56" s="389">
        <v>318.0</v>
      </c>
      <c r="G56" s="175"/>
      <c r="H56" s="174"/>
      <c r="I56" s="76"/>
      <c r="J56" s="172"/>
      <c r="K56" s="252" t="s">
        <v>306</v>
      </c>
      <c r="L56" s="172"/>
    </row>
    <row r="57">
      <c r="A57" s="154" t="s">
        <v>192</v>
      </c>
      <c r="B57" s="156"/>
      <c r="C57" s="156"/>
      <c r="D57" s="156"/>
      <c r="E57" s="391" t="s">
        <v>303</v>
      </c>
      <c r="F57" s="156"/>
      <c r="G57" s="156"/>
      <c r="H57" s="156"/>
      <c r="I57" s="156"/>
      <c r="J57" s="156"/>
      <c r="K57" s="248" t="s">
        <v>193</v>
      </c>
      <c r="L57" s="156"/>
    </row>
    <row r="58">
      <c r="A58" s="23"/>
      <c r="B58" s="156"/>
      <c r="C58" s="156"/>
      <c r="D58" s="359"/>
      <c r="E58" s="394" t="s">
        <v>202</v>
      </c>
      <c r="F58" s="156"/>
      <c r="G58" s="156"/>
      <c r="H58" s="156"/>
      <c r="I58" s="156"/>
      <c r="J58" s="156"/>
      <c r="K58" s="250" t="s">
        <v>189</v>
      </c>
      <c r="L58" s="156"/>
    </row>
    <row r="59">
      <c r="A59" s="47"/>
      <c r="B59" s="172"/>
      <c r="C59" s="172"/>
      <c r="D59" s="172"/>
      <c r="E59" s="389">
        <v>318.0</v>
      </c>
      <c r="F59" s="172"/>
      <c r="G59" s="172"/>
      <c r="H59" s="172"/>
      <c r="I59" s="172"/>
      <c r="J59" s="172"/>
      <c r="K59" s="252" t="s">
        <v>311</v>
      </c>
      <c r="L59" s="172"/>
    </row>
    <row r="60">
      <c r="A60" s="149" t="s">
        <v>86</v>
      </c>
      <c r="B60" s="148"/>
      <c r="C60" s="46"/>
      <c r="D60" s="46"/>
      <c r="E60" s="46"/>
      <c r="F60" s="46"/>
      <c r="G60" s="46"/>
      <c r="H60" s="46"/>
      <c r="I60" s="46"/>
      <c r="J60" s="46"/>
      <c r="K60" s="46"/>
      <c r="L60" s="47"/>
    </row>
    <row r="61">
      <c r="A61" s="154" t="s">
        <v>130</v>
      </c>
      <c r="B61" s="397" t="s">
        <v>85</v>
      </c>
      <c r="L61" s="23"/>
    </row>
    <row r="62">
      <c r="A62" s="23"/>
      <c r="L62" s="23"/>
    </row>
    <row r="63">
      <c r="A63" s="47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7"/>
    </row>
    <row r="64">
      <c r="A64" s="154" t="s">
        <v>145</v>
      </c>
      <c r="B64" s="156"/>
      <c r="C64" s="156"/>
      <c r="D64" s="156"/>
      <c r="E64" s="156"/>
      <c r="F64" s="156"/>
      <c r="G64" s="400" t="s">
        <v>316</v>
      </c>
      <c r="H64" s="23"/>
      <c r="I64" s="401" t="s">
        <v>317</v>
      </c>
      <c r="J64" s="23"/>
      <c r="K64" s="402" t="s">
        <v>318</v>
      </c>
      <c r="L64" s="403" t="s">
        <v>319</v>
      </c>
    </row>
    <row r="65">
      <c r="A65" s="23"/>
      <c r="B65" s="156"/>
      <c r="C65" s="156"/>
      <c r="D65" s="156"/>
      <c r="E65" s="156"/>
      <c r="F65" s="156"/>
      <c r="G65" s="406" t="s">
        <v>45</v>
      </c>
      <c r="H65" s="23"/>
      <c r="I65" s="407" t="s">
        <v>320</v>
      </c>
      <c r="J65" s="23"/>
      <c r="K65" s="263" t="s">
        <v>218</v>
      </c>
      <c r="L65" s="408" t="s">
        <v>321</v>
      </c>
    </row>
    <row r="66">
      <c r="A66" s="47"/>
      <c r="B66" s="172"/>
      <c r="C66" s="172"/>
      <c r="D66" s="172"/>
      <c r="E66" s="172"/>
      <c r="F66" s="172"/>
      <c r="G66" s="409">
        <v>107.0</v>
      </c>
      <c r="H66" s="47"/>
      <c r="I66" s="410" t="s">
        <v>137</v>
      </c>
      <c r="J66" s="47"/>
      <c r="K66" s="200">
        <v>103.0</v>
      </c>
      <c r="L66" s="411" t="s">
        <v>505</v>
      </c>
    </row>
    <row r="67">
      <c r="A67" s="154" t="s">
        <v>162</v>
      </c>
      <c r="B67" s="414" t="s">
        <v>324</v>
      </c>
      <c r="F67" s="23"/>
      <c r="G67" s="63"/>
      <c r="H67" s="415" t="s">
        <v>325</v>
      </c>
      <c r="I67" s="63"/>
      <c r="J67" s="416" t="s">
        <v>326</v>
      </c>
      <c r="K67" s="417" t="s">
        <v>327</v>
      </c>
      <c r="L67" s="403" t="s">
        <v>319</v>
      </c>
    </row>
    <row r="68">
      <c r="A68" s="23"/>
      <c r="B68" s="422" t="s">
        <v>329</v>
      </c>
      <c r="F68" s="23"/>
      <c r="G68" s="69"/>
      <c r="H68" s="423" t="s">
        <v>200</v>
      </c>
      <c r="I68" s="69"/>
      <c r="J68" s="424" t="s">
        <v>166</v>
      </c>
      <c r="K68" s="425" t="s">
        <v>329</v>
      </c>
      <c r="L68" s="426" t="s">
        <v>330</v>
      </c>
    </row>
    <row r="69">
      <c r="A69" s="47"/>
      <c r="B69" s="429" t="s">
        <v>506</v>
      </c>
      <c r="C69" s="46"/>
      <c r="D69" s="46"/>
      <c r="E69" s="46"/>
      <c r="F69" s="47"/>
      <c r="G69" s="76"/>
      <c r="H69" s="430">
        <v>317.0</v>
      </c>
      <c r="I69" s="76"/>
      <c r="J69" s="431" t="s">
        <v>507</v>
      </c>
      <c r="K69" s="432">
        <v>105.0</v>
      </c>
      <c r="L69" s="411" t="s">
        <v>508</v>
      </c>
    </row>
    <row r="70">
      <c r="A70" s="154" t="s">
        <v>174</v>
      </c>
      <c r="B70" s="358" t="s">
        <v>333</v>
      </c>
      <c r="F70" s="23"/>
      <c r="G70" s="415" t="s">
        <v>325</v>
      </c>
      <c r="H70" s="63"/>
      <c r="I70" s="416" t="s">
        <v>326</v>
      </c>
      <c r="J70" s="63"/>
      <c r="K70" s="402" t="s">
        <v>334</v>
      </c>
      <c r="L70" s="435" t="s">
        <v>335</v>
      </c>
    </row>
    <row r="71">
      <c r="A71" s="23"/>
      <c r="B71" s="439" t="s">
        <v>340</v>
      </c>
      <c r="F71" s="23"/>
      <c r="G71" s="423" t="s">
        <v>200</v>
      </c>
      <c r="H71" s="69"/>
      <c r="I71" s="424" t="s">
        <v>166</v>
      </c>
      <c r="J71" s="69"/>
      <c r="K71" s="285" t="s">
        <v>215</v>
      </c>
      <c r="L71" s="320" t="s">
        <v>341</v>
      </c>
    </row>
    <row r="72">
      <c r="A72" s="47"/>
      <c r="B72" s="444">
        <v>108.0</v>
      </c>
      <c r="C72" s="46"/>
      <c r="D72" s="46"/>
      <c r="E72" s="46"/>
      <c r="F72" s="47"/>
      <c r="G72" s="430">
        <v>317.0</v>
      </c>
      <c r="H72" s="76"/>
      <c r="I72" s="431" t="s">
        <v>507</v>
      </c>
      <c r="J72" s="76"/>
      <c r="K72" s="200">
        <v>209.0</v>
      </c>
      <c r="L72" s="445" t="s">
        <v>509</v>
      </c>
    </row>
    <row r="73">
      <c r="A73" s="154" t="s">
        <v>185</v>
      </c>
      <c r="B73" s="358" t="s">
        <v>346</v>
      </c>
      <c r="F73" s="23"/>
      <c r="G73" s="159"/>
      <c r="H73" s="448"/>
      <c r="I73" s="305"/>
      <c r="J73" s="305"/>
      <c r="K73" s="449"/>
      <c r="L73" s="435" t="s">
        <v>347</v>
      </c>
    </row>
    <row r="74">
      <c r="A74" s="23"/>
      <c r="B74" s="439" t="s">
        <v>340</v>
      </c>
      <c r="F74" s="23"/>
      <c r="G74" s="159"/>
      <c r="H74" s="168"/>
      <c r="I74" s="156"/>
      <c r="J74" s="156"/>
      <c r="K74" s="237"/>
      <c r="L74" s="450" t="s">
        <v>348</v>
      </c>
    </row>
    <row r="75">
      <c r="A75" s="47"/>
      <c r="B75" s="444">
        <v>108.0</v>
      </c>
      <c r="C75" s="46"/>
      <c r="D75" s="46"/>
      <c r="E75" s="46"/>
      <c r="F75" s="47"/>
      <c r="G75" s="175"/>
      <c r="H75" s="174"/>
      <c r="I75" s="172"/>
      <c r="J75" s="172"/>
      <c r="K75" s="202"/>
      <c r="L75" s="445" t="s">
        <v>510</v>
      </c>
    </row>
    <row r="76">
      <c r="A76" s="154" t="s">
        <v>192</v>
      </c>
      <c r="B76" s="156"/>
      <c r="C76" s="156"/>
      <c r="D76" s="156"/>
      <c r="E76" s="156"/>
      <c r="F76" s="156"/>
      <c r="G76" s="159"/>
      <c r="H76" s="158"/>
      <c r="I76" s="156"/>
      <c r="J76" s="156"/>
      <c r="K76" s="160"/>
      <c r="L76" s="156"/>
    </row>
    <row r="77">
      <c r="A77" s="23"/>
      <c r="B77" s="156"/>
      <c r="C77" s="156"/>
      <c r="D77" s="156"/>
      <c r="E77" s="156"/>
      <c r="F77" s="156"/>
      <c r="G77" s="159"/>
      <c r="H77" s="168"/>
      <c r="I77" s="156"/>
      <c r="J77" s="156"/>
      <c r="K77" s="169"/>
      <c r="L77" s="156"/>
    </row>
    <row r="78">
      <c r="A78" s="47"/>
      <c r="B78" s="172"/>
      <c r="C78" s="172"/>
      <c r="D78" s="172"/>
      <c r="E78" s="172"/>
      <c r="F78" s="172"/>
      <c r="G78" s="175"/>
      <c r="H78" s="174"/>
      <c r="I78" s="172"/>
      <c r="J78" s="172"/>
      <c r="K78" s="176"/>
      <c r="L78" s="172"/>
    </row>
    <row r="79">
      <c r="A79" s="149" t="s">
        <v>92</v>
      </c>
      <c r="B79" s="148"/>
      <c r="C79" s="46"/>
      <c r="D79" s="46"/>
      <c r="E79" s="46"/>
      <c r="F79" s="46"/>
      <c r="G79" s="46"/>
      <c r="H79" s="46"/>
      <c r="I79" s="46"/>
      <c r="J79" s="46"/>
      <c r="K79" s="46"/>
      <c r="L79" s="47"/>
    </row>
    <row r="80">
      <c r="A80" s="154" t="s">
        <v>130</v>
      </c>
      <c r="B80" s="159"/>
      <c r="C80" s="159"/>
      <c r="D80" s="159"/>
      <c r="E80" s="230"/>
      <c r="F80" s="230"/>
      <c r="G80" s="159"/>
      <c r="H80" s="159"/>
      <c r="I80" s="230"/>
      <c r="J80" s="230"/>
      <c r="K80" s="230"/>
      <c r="L80" s="230"/>
    </row>
    <row r="81">
      <c r="A81" s="23"/>
      <c r="B81" s="159"/>
      <c r="C81" s="159"/>
      <c r="D81" s="159"/>
      <c r="E81" s="230"/>
      <c r="F81" s="230"/>
      <c r="G81" s="159"/>
      <c r="H81" s="159"/>
      <c r="I81" s="230"/>
      <c r="J81" s="230"/>
      <c r="K81" s="230"/>
      <c r="L81" s="230"/>
    </row>
    <row r="82">
      <c r="A82" s="47"/>
      <c r="B82" s="175"/>
      <c r="C82" s="175"/>
      <c r="D82" s="175"/>
      <c r="E82" s="243"/>
      <c r="F82" s="243"/>
      <c r="G82" s="175"/>
      <c r="H82" s="175"/>
      <c r="I82" s="243"/>
      <c r="J82" s="243"/>
      <c r="K82" s="243"/>
      <c r="L82" s="243"/>
    </row>
    <row r="83">
      <c r="A83" s="154" t="s">
        <v>145</v>
      </c>
      <c r="B83" s="159"/>
      <c r="C83" s="159"/>
      <c r="D83" s="159"/>
      <c r="E83" s="230"/>
      <c r="F83" s="230"/>
      <c r="G83" s="159"/>
      <c r="H83" s="159"/>
      <c r="I83" s="230"/>
      <c r="J83" s="230"/>
      <c r="K83" s="158"/>
      <c r="L83" s="158"/>
    </row>
    <row r="84">
      <c r="A84" s="23"/>
      <c r="B84" s="159"/>
      <c r="C84" s="159"/>
      <c r="D84" s="159"/>
      <c r="E84" s="230"/>
      <c r="F84" s="230"/>
      <c r="G84" s="159"/>
      <c r="H84" s="159"/>
      <c r="I84" s="230"/>
      <c r="J84" s="230"/>
      <c r="K84" s="154"/>
      <c r="L84" s="154"/>
    </row>
    <row r="85">
      <c r="A85" s="47"/>
      <c r="B85" s="175"/>
      <c r="C85" s="175"/>
      <c r="D85" s="175"/>
      <c r="E85" s="243"/>
      <c r="F85" s="243"/>
      <c r="G85" s="175"/>
      <c r="H85" s="175"/>
      <c r="I85" s="243"/>
      <c r="J85" s="243"/>
      <c r="K85" s="174"/>
      <c r="L85" s="174"/>
    </row>
    <row r="86">
      <c r="A86" s="154" t="s">
        <v>162</v>
      </c>
      <c r="B86" s="230"/>
      <c r="C86" s="230"/>
      <c r="D86" s="230"/>
      <c r="E86" s="156"/>
      <c r="F86" s="156"/>
      <c r="G86" s="230"/>
      <c r="H86" s="230"/>
      <c r="I86" s="156"/>
      <c r="J86" s="156"/>
      <c r="K86" s="158"/>
      <c r="L86" s="158"/>
    </row>
    <row r="87">
      <c r="A87" s="23"/>
      <c r="B87" s="230"/>
      <c r="C87" s="230"/>
      <c r="D87" s="230"/>
      <c r="E87" s="156"/>
      <c r="F87" s="156"/>
      <c r="G87" s="230"/>
      <c r="H87" s="230"/>
      <c r="I87" s="156"/>
      <c r="J87" s="156"/>
      <c r="K87" s="154"/>
      <c r="L87" s="154"/>
    </row>
    <row r="88">
      <c r="A88" s="47"/>
      <c r="B88" s="243"/>
      <c r="C88" s="243"/>
      <c r="D88" s="243"/>
      <c r="E88" s="172"/>
      <c r="F88" s="172"/>
      <c r="G88" s="243"/>
      <c r="H88" s="243"/>
      <c r="I88" s="172"/>
      <c r="J88" s="172"/>
      <c r="K88" s="174"/>
      <c r="L88" s="174"/>
    </row>
    <row r="89">
      <c r="A89" s="154" t="s">
        <v>174</v>
      </c>
      <c r="B89" s="230"/>
      <c r="C89" s="230"/>
      <c r="D89" s="230"/>
      <c r="E89" s="156"/>
      <c r="F89" s="156"/>
      <c r="G89" s="230"/>
      <c r="H89" s="230"/>
      <c r="I89" s="156"/>
      <c r="J89" s="156"/>
      <c r="K89" s="230"/>
      <c r="L89" s="230"/>
    </row>
    <row r="90">
      <c r="A90" s="23"/>
      <c r="B90" s="230"/>
      <c r="C90" s="230"/>
      <c r="D90" s="230"/>
      <c r="E90" s="156"/>
      <c r="F90" s="156"/>
      <c r="G90" s="230"/>
      <c r="H90" s="230"/>
      <c r="I90" s="156"/>
      <c r="J90" s="156"/>
      <c r="K90" s="230"/>
      <c r="L90" s="230"/>
    </row>
    <row r="91">
      <c r="A91" s="47"/>
      <c r="B91" s="243"/>
      <c r="C91" s="243"/>
      <c r="D91" s="243"/>
      <c r="E91" s="172"/>
      <c r="F91" s="172"/>
      <c r="G91" s="243"/>
      <c r="H91" s="243"/>
      <c r="I91" s="172"/>
      <c r="J91" s="172"/>
      <c r="K91" s="243"/>
      <c r="L91" s="243"/>
    </row>
    <row r="92">
      <c r="A92" s="154" t="s">
        <v>185</v>
      </c>
      <c r="B92" s="230"/>
      <c r="C92" s="230"/>
      <c r="D92" s="230"/>
      <c r="E92" s="230"/>
      <c r="F92" s="230"/>
      <c r="G92" s="230"/>
      <c r="H92" s="230"/>
      <c r="I92" s="230"/>
      <c r="J92" s="230"/>
      <c r="K92" s="230"/>
      <c r="L92" s="230"/>
    </row>
    <row r="93">
      <c r="A93" s="23"/>
      <c r="B93" s="230"/>
      <c r="C93" s="230"/>
      <c r="D93" s="230"/>
      <c r="E93" s="230"/>
      <c r="F93" s="230"/>
      <c r="G93" s="230"/>
      <c r="H93" s="230"/>
      <c r="I93" s="230"/>
      <c r="J93" s="230"/>
      <c r="K93" s="230"/>
      <c r="L93" s="230"/>
    </row>
    <row r="94">
      <c r="A94" s="47"/>
      <c r="B94" s="243"/>
      <c r="C94" s="243"/>
      <c r="D94" s="243"/>
      <c r="E94" s="243"/>
      <c r="F94" s="243"/>
      <c r="G94" s="243"/>
      <c r="H94" s="243"/>
      <c r="I94" s="243"/>
      <c r="J94" s="243"/>
      <c r="K94" s="243"/>
      <c r="L94" s="243"/>
    </row>
    <row r="95">
      <c r="A95" s="154" t="s">
        <v>192</v>
      </c>
      <c r="B95" s="230"/>
      <c r="C95" s="230"/>
      <c r="D95" s="230"/>
      <c r="E95" s="230"/>
      <c r="F95" s="230"/>
      <c r="G95" s="230"/>
      <c r="H95" s="230"/>
      <c r="I95" s="227"/>
      <c r="J95" s="156"/>
      <c r="K95" s="230"/>
      <c r="L95" s="230"/>
    </row>
    <row r="96">
      <c r="A96" s="23"/>
      <c r="B96" s="230"/>
      <c r="C96" s="230"/>
      <c r="D96" s="230"/>
      <c r="E96" s="230"/>
      <c r="F96" s="230"/>
      <c r="G96" s="230"/>
      <c r="H96" s="230"/>
      <c r="I96" s="234"/>
      <c r="J96" s="156"/>
      <c r="K96" s="230"/>
      <c r="L96" s="230"/>
    </row>
    <row r="97">
      <c r="A97" s="47"/>
      <c r="B97" s="243"/>
      <c r="C97" s="243"/>
      <c r="D97" s="243"/>
      <c r="E97" s="243"/>
      <c r="F97" s="243"/>
      <c r="G97" s="243"/>
      <c r="H97" s="243"/>
      <c r="I97" s="240"/>
      <c r="J97" s="172"/>
      <c r="K97" s="243"/>
      <c r="L97" s="243"/>
    </row>
    <row r="98">
      <c r="A98" s="149" t="s">
        <v>103</v>
      </c>
      <c r="B98" s="148"/>
      <c r="C98" s="46"/>
      <c r="D98" s="46"/>
      <c r="E98" s="46"/>
      <c r="F98" s="46"/>
      <c r="G98" s="46"/>
      <c r="H98" s="46"/>
      <c r="I98" s="46"/>
      <c r="J98" s="46"/>
      <c r="K98" s="46"/>
      <c r="L98" s="47"/>
    </row>
    <row r="99">
      <c r="A99" s="154" t="s">
        <v>130</v>
      </c>
      <c r="B99" s="396" t="s">
        <v>85</v>
      </c>
      <c r="L99" s="23"/>
    </row>
    <row r="100">
      <c r="A100" s="23"/>
      <c r="L100" s="23"/>
    </row>
    <row r="101">
      <c r="A101" s="47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7"/>
    </row>
    <row r="102">
      <c r="A102" s="154" t="s">
        <v>145</v>
      </c>
      <c r="B102" s="156"/>
      <c r="C102" s="156"/>
      <c r="D102" s="156"/>
      <c r="E102" s="506" t="s">
        <v>386</v>
      </c>
      <c r="F102" s="23"/>
      <c r="G102" s="156"/>
      <c r="H102" s="156"/>
      <c r="I102" s="156"/>
      <c r="J102" s="156"/>
      <c r="K102" s="156"/>
      <c r="L102" s="63"/>
    </row>
    <row r="103">
      <c r="A103" s="23"/>
      <c r="B103" s="156"/>
      <c r="C103" s="156"/>
      <c r="D103" s="156"/>
      <c r="E103" s="509" t="s">
        <v>387</v>
      </c>
      <c r="F103" s="23"/>
      <c r="G103" s="156"/>
      <c r="H103" s="156"/>
      <c r="I103" s="156"/>
      <c r="J103" s="156"/>
      <c r="K103" s="156"/>
      <c r="L103" s="69"/>
    </row>
    <row r="104">
      <c r="A104" s="47"/>
      <c r="B104" s="172"/>
      <c r="C104" s="172"/>
      <c r="D104" s="172"/>
      <c r="E104" s="510" t="s">
        <v>388</v>
      </c>
      <c r="F104" s="47"/>
      <c r="G104" s="172"/>
      <c r="H104" s="172"/>
      <c r="I104" s="172"/>
      <c r="J104" s="172"/>
      <c r="K104" s="172"/>
      <c r="L104" s="76"/>
    </row>
    <row r="105">
      <c r="A105" s="154" t="s">
        <v>162</v>
      </c>
      <c r="B105" s="156"/>
      <c r="C105" s="156"/>
      <c r="D105" s="156"/>
      <c r="E105" s="506" t="s">
        <v>386</v>
      </c>
      <c r="F105" s="23"/>
      <c r="G105" s="156"/>
      <c r="H105" s="156"/>
      <c r="I105" s="156"/>
      <c r="J105" s="156"/>
      <c r="K105" s="156"/>
      <c r="L105" s="63"/>
    </row>
    <row r="106">
      <c r="A106" s="23"/>
      <c r="B106" s="156"/>
      <c r="C106" s="156"/>
      <c r="D106" s="156"/>
      <c r="E106" s="509" t="s">
        <v>387</v>
      </c>
      <c r="F106" s="23"/>
      <c r="G106" s="156"/>
      <c r="H106" s="156"/>
      <c r="I106" s="156"/>
      <c r="J106" s="156"/>
      <c r="K106" s="156"/>
      <c r="L106" s="69"/>
    </row>
    <row r="107">
      <c r="A107" s="47"/>
      <c r="B107" s="172"/>
      <c r="C107" s="172"/>
      <c r="D107" s="172"/>
      <c r="E107" s="510" t="s">
        <v>388</v>
      </c>
      <c r="F107" s="47"/>
      <c r="G107" s="172"/>
      <c r="H107" s="172"/>
      <c r="I107" s="172"/>
      <c r="J107" s="172"/>
      <c r="K107" s="172"/>
      <c r="L107" s="76"/>
    </row>
    <row r="108">
      <c r="A108" s="154" t="s">
        <v>174</v>
      </c>
      <c r="B108" s="156"/>
      <c r="C108" s="156"/>
      <c r="D108" s="156"/>
      <c r="E108" s="512" t="s">
        <v>389</v>
      </c>
      <c r="F108" s="512" t="s">
        <v>389</v>
      </c>
      <c r="G108" s="156"/>
      <c r="H108" s="156"/>
      <c r="I108" s="156"/>
      <c r="J108" s="156"/>
      <c r="K108" s="156"/>
      <c r="L108" s="156"/>
    </row>
    <row r="109">
      <c r="A109" s="23"/>
      <c r="B109" s="156"/>
      <c r="C109" s="156"/>
      <c r="D109" s="156"/>
      <c r="E109" s="513" t="s">
        <v>387</v>
      </c>
      <c r="F109" s="513" t="s">
        <v>390</v>
      </c>
      <c r="G109" s="156"/>
      <c r="H109" s="156"/>
      <c r="I109" s="156"/>
      <c r="J109" s="156"/>
      <c r="K109" s="156"/>
      <c r="L109" s="156"/>
    </row>
    <row r="110">
      <c r="A110" s="47"/>
      <c r="B110" s="172"/>
      <c r="C110" s="172"/>
      <c r="D110" s="172"/>
      <c r="E110" s="514" t="s">
        <v>391</v>
      </c>
      <c r="F110" s="514" t="s">
        <v>392</v>
      </c>
      <c r="G110" s="172"/>
      <c r="H110" s="172"/>
      <c r="I110" s="172"/>
      <c r="J110" s="172"/>
      <c r="K110" s="172"/>
      <c r="L110" s="172"/>
    </row>
    <row r="111">
      <c r="A111" s="154" t="s">
        <v>185</v>
      </c>
      <c r="B111" s="156"/>
      <c r="C111" s="156"/>
      <c r="D111" s="156"/>
      <c r="E111" s="512" t="s">
        <v>389</v>
      </c>
      <c r="F111" s="512" t="s">
        <v>389</v>
      </c>
      <c r="G111" s="156"/>
      <c r="H111" s="156"/>
      <c r="I111" s="156"/>
      <c r="J111" s="156"/>
      <c r="K111" s="156"/>
      <c r="L111" s="156"/>
    </row>
    <row r="112">
      <c r="A112" s="23"/>
      <c r="B112" s="156"/>
      <c r="C112" s="156"/>
      <c r="D112" s="156"/>
      <c r="E112" s="513" t="s">
        <v>387</v>
      </c>
      <c r="F112" s="513" t="s">
        <v>390</v>
      </c>
      <c r="G112" s="156"/>
      <c r="H112" s="156"/>
      <c r="I112" s="156"/>
      <c r="J112" s="156"/>
      <c r="K112" s="156"/>
      <c r="L112" s="156"/>
    </row>
    <row r="113">
      <c r="A113" s="47"/>
      <c r="B113" s="172"/>
      <c r="C113" s="172"/>
      <c r="D113" s="172"/>
      <c r="E113" s="514" t="s">
        <v>391</v>
      </c>
      <c r="F113" s="514" t="s">
        <v>392</v>
      </c>
      <c r="G113" s="172"/>
      <c r="H113" s="172"/>
      <c r="I113" s="172"/>
      <c r="J113" s="172"/>
      <c r="K113" s="172"/>
      <c r="L113" s="172"/>
    </row>
    <row r="114">
      <c r="A114" s="154" t="s">
        <v>192</v>
      </c>
      <c r="B114" s="156"/>
      <c r="C114" s="156"/>
      <c r="D114" s="156"/>
      <c r="E114" s="156"/>
      <c r="F114" s="156"/>
      <c r="G114" s="156"/>
      <c r="H114" s="156"/>
      <c r="I114" s="156"/>
      <c r="J114" s="156"/>
      <c r="K114" s="156"/>
      <c r="L114" s="156"/>
    </row>
    <row r="115">
      <c r="A115" s="23"/>
      <c r="B115" s="156"/>
      <c r="C115" s="156"/>
      <c r="D115" s="156"/>
      <c r="E115" s="156"/>
      <c r="F115" s="156"/>
      <c r="G115" s="156"/>
      <c r="H115" s="156"/>
      <c r="I115" s="156"/>
      <c r="J115" s="156"/>
      <c r="K115" s="156"/>
      <c r="L115" s="156"/>
    </row>
    <row r="116">
      <c r="A116" s="47"/>
      <c r="B116" s="172"/>
      <c r="C116" s="172"/>
      <c r="D116" s="172"/>
      <c r="E116" s="172"/>
      <c r="F116" s="172"/>
      <c r="G116" s="172"/>
      <c r="H116" s="172"/>
      <c r="I116" s="172"/>
      <c r="J116" s="172"/>
      <c r="K116" s="172"/>
      <c r="L116" s="172"/>
    </row>
  </sheetData>
  <mergeCells count="94">
    <mergeCell ref="A32:A34"/>
    <mergeCell ref="E32:F32"/>
    <mergeCell ref="E33:F33"/>
    <mergeCell ref="E34:F34"/>
    <mergeCell ref="E35:F35"/>
    <mergeCell ref="E36:F36"/>
    <mergeCell ref="E37:F37"/>
    <mergeCell ref="A45:A47"/>
    <mergeCell ref="A48:A50"/>
    <mergeCell ref="B48:D48"/>
    <mergeCell ref="B49:D49"/>
    <mergeCell ref="B50:D50"/>
    <mergeCell ref="A51:A53"/>
    <mergeCell ref="A54:A56"/>
    <mergeCell ref="G66:H66"/>
    <mergeCell ref="I66:J66"/>
    <mergeCell ref="A57:A59"/>
    <mergeCell ref="B60:L60"/>
    <mergeCell ref="A61:A63"/>
    <mergeCell ref="B61:L63"/>
    <mergeCell ref="A64:A66"/>
    <mergeCell ref="G64:H64"/>
    <mergeCell ref="I64:J64"/>
    <mergeCell ref="B73:F73"/>
    <mergeCell ref="B74:F74"/>
    <mergeCell ref="B75:F75"/>
    <mergeCell ref="B79:L79"/>
    <mergeCell ref="A67:A69"/>
    <mergeCell ref="B67:F67"/>
    <mergeCell ref="B68:F68"/>
    <mergeCell ref="B69:F69"/>
    <mergeCell ref="B70:F70"/>
    <mergeCell ref="B71:F71"/>
    <mergeCell ref="B72:F72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E105:F105"/>
    <mergeCell ref="E106:F106"/>
    <mergeCell ref="E107:F107"/>
    <mergeCell ref="A92:A94"/>
    <mergeCell ref="A95:A97"/>
    <mergeCell ref="B98:L98"/>
    <mergeCell ref="B99:L101"/>
    <mergeCell ref="E102:F102"/>
    <mergeCell ref="E103:F103"/>
    <mergeCell ref="E104:F104"/>
    <mergeCell ref="G6:H6"/>
    <mergeCell ref="I7:J7"/>
    <mergeCell ref="I8:J8"/>
    <mergeCell ref="I9:J9"/>
    <mergeCell ref="A1:A2"/>
    <mergeCell ref="B1:L1"/>
    <mergeCell ref="B3:L3"/>
    <mergeCell ref="A4:A6"/>
    <mergeCell ref="B4:D4"/>
    <mergeCell ref="G4:H4"/>
    <mergeCell ref="G5:H5"/>
    <mergeCell ref="B5:D5"/>
    <mergeCell ref="B6:D6"/>
    <mergeCell ref="A7:A9"/>
    <mergeCell ref="A10:A12"/>
    <mergeCell ref="B10:D10"/>
    <mergeCell ref="B11:D11"/>
    <mergeCell ref="B12:D12"/>
    <mergeCell ref="G32:J32"/>
    <mergeCell ref="G33:J33"/>
    <mergeCell ref="G34:J34"/>
    <mergeCell ref="A13:A15"/>
    <mergeCell ref="A16:A18"/>
    <mergeCell ref="A19:A21"/>
    <mergeCell ref="B22:L22"/>
    <mergeCell ref="A23:A25"/>
    <mergeCell ref="A26:A28"/>
    <mergeCell ref="A29:A31"/>
    <mergeCell ref="A35:A37"/>
    <mergeCell ref="A38:A40"/>
    <mergeCell ref="B41:L41"/>
    <mergeCell ref="A42:A44"/>
    <mergeCell ref="G42:J42"/>
    <mergeCell ref="G43:J43"/>
    <mergeCell ref="G44:J44"/>
    <mergeCell ref="G65:H65"/>
    <mergeCell ref="I65:J65"/>
  </mergeCells>
  <conditionalFormatting sqref="A1:A18 B1:C21 D1:D12 E1:H21 I1:J6 K1:L21 J10:J12 I13:I21 D14:D15 D17:D21 J17:J18 J20:J21 A23:A34 B23:I40 J23:J34 K23:L40 J36:J40 A42:F59 G42:J56 K42:L59 J58:J59 A61:A75 B61:H78 I61:J75 K61:L78 J77:J78 A80:D88 G80:H88 K80:L97 J84:J85 J87:J88 B90:B91 D90:F91 H90:J91 B93:B94 D93:F94 H93:J94 B96:B97 D96:H97 J96:J97 A99:D107 E99:F113 G99:H101 I99:J107 K99:L116 G103:H104 G106:H107 B109:B110 D109:D110 G109:H110 I111:J116 B112:B113 D112:D113 G112:H113 B115:B116 D115:H116">
    <cfRule type="expression" dxfId="0" priority="1">
      <formula>REGEXMATCH(A1, "(^\s+)|(\s+$)")</formula>
    </cfRule>
  </conditionalFormatting>
  <conditionalFormatting sqref="A1:A18 B1:C21 D1:D12 E1:H21 I1:J6 K1:L21 J10:J12 I13:I21 D14:D15 D17:D21 J17:J18 J20:J21 A23:A34 B23:I40 J23:J34 K23:L40 J36:J40 A42:F59 G42:J56 K42:L59 J58:J59 A61:A75 B61:H78 I61:J75 K61:L78 J77:J78 A80:D88 G80:H88 K80:L97 J84:J85 J87:J88 B90:B91 D90:F91 H90:J91 B93:B94 D93:F94 H93:J94 B96:B97 D96:H97 J96:J97 A99:D107 E99:F113 G99:H101 I99:J107 K99:L116 G103:H104 G106:H107 B109:B110 D109:D110 G109:H110 I111:J116 B112:B113 D112:D113 G112:H113 B115:B116 D115:H116">
    <cfRule type="expression" dxfId="0" priority="2">
      <formula>REGEXMATCH(A1, "[а-яА-Я]")</formula>
    </cfRule>
  </conditionalFormatting>
  <conditionalFormatting sqref="A1:A18 B1:C21 D1:D12 E1:H21 I1:J6 K1:L21 J10:J12 I13:I21 D14:D15 D17:D21 J17:J18 J20:J21 A23:A34 B23:I40 J23:J34 K23:L40 J36:J40 A42:F59 G42:J56 K42:L59 J58:J59 A61:A75 B61:H78 I61:J75 K61:L78 J77:J78 A80:D88 G80:H88 K80:L97 J84:J85 J87:J88 B90:B91 D90:F91 H90:J91 B93:B94 D93:F94 H93:J94 B96:B97 D96:H97 J96:J97 A99:D107 E99:F113 G99:H101 I99:J107 K99:L116 G103:H104 G106:H107 B109:B110 D109:D110 G109:H110 I111:J116 B112:B113 D112:D113 G112:H113 B115:B116 D115:H116">
    <cfRule type="expression" dxfId="0" priority="3">
      <formula>REGEXMATCH(A1, "\s{2,}")</formula>
    </cfRule>
  </conditionalFormatting>
  <conditionalFormatting sqref="A1:A18 B1:C21 D1:D12 E1:H21 I1:J6 K1:L21 J10:J12 I13:I21 D14:D15 D17:D21 J17:J18 J20:J21 A23:A34 B23:I40 J23:J34 K23:L40 J36:J40 A42:F59 G42:J56 K42:L59 J58:J59 A61:A75 B61:H78 I61:J75 K61:L78 J77:J78 A80:D88 G80:H88 K80:L97 J84:J85 J87:J88 B90:B91 D90:F91 H90:J91 B93:B94 D93:F94 H93:J94 B96:B97 D96:H97 J96:J97 A99:D107 E99:F113 G99:H101 I99:J107 K99:L116 G103:H104 G106:H107 B109:B110 D109:D110 G109:H110 I111:J116 B112:B113 D112:D113 G112:H113 B115:B116 D115:H116">
    <cfRule type="expression" dxfId="0" priority="4">
      <formula>REGEXMATCH(A1, "(\S\()|(\)\S)")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1.63"/>
    <col customWidth="1" min="2" max="2" width="28.13"/>
    <col customWidth="1" min="3" max="3" width="27.38"/>
    <col customWidth="1" min="4" max="4" width="34.0"/>
    <col customWidth="1" min="5" max="5" width="26.38"/>
    <col customWidth="1" min="6" max="6" width="30.13"/>
    <col customWidth="1" min="7" max="7" width="26.38"/>
    <col customWidth="1" min="8" max="8" width="11.63"/>
  </cols>
  <sheetData>
    <row r="1">
      <c r="A1" s="138"/>
      <c r="B1" s="137" t="s">
        <v>2</v>
      </c>
      <c r="C1" s="3"/>
      <c r="D1" s="3"/>
      <c r="E1" s="3"/>
      <c r="F1" s="3"/>
      <c r="G1" s="4"/>
    </row>
    <row r="2">
      <c r="A2" s="44"/>
      <c r="B2" s="144" t="s">
        <v>31</v>
      </c>
      <c r="C2" s="144" t="s">
        <v>32</v>
      </c>
      <c r="D2" s="144" t="s">
        <v>33</v>
      </c>
      <c r="E2" s="144" t="s">
        <v>125</v>
      </c>
      <c r="F2" s="145" t="s">
        <v>36</v>
      </c>
      <c r="G2" s="144" t="s">
        <v>37</v>
      </c>
    </row>
    <row r="3">
      <c r="A3" s="147" t="s">
        <v>38</v>
      </c>
      <c r="B3" s="148"/>
      <c r="C3" s="46"/>
      <c r="D3" s="46"/>
      <c r="E3" s="46"/>
      <c r="F3" s="46"/>
      <c r="G3" s="47"/>
    </row>
    <row r="4">
      <c r="A4" s="152" t="s">
        <v>39</v>
      </c>
      <c r="B4" s="156"/>
      <c r="C4" s="156"/>
      <c r="D4" s="156"/>
      <c r="E4" s="156"/>
      <c r="F4" s="156"/>
      <c r="G4" s="63"/>
      <c r="H4" s="610"/>
    </row>
    <row r="5">
      <c r="A5" s="38"/>
      <c r="B5" s="156"/>
      <c r="C5" s="156"/>
      <c r="D5" s="156"/>
      <c r="E5" s="156"/>
      <c r="F5" s="156"/>
      <c r="G5" s="69"/>
      <c r="H5" s="610"/>
    </row>
    <row r="6">
      <c r="A6" s="44"/>
      <c r="B6" s="172"/>
      <c r="C6" s="172"/>
      <c r="D6" s="172"/>
      <c r="E6" s="172"/>
      <c r="F6" s="172"/>
      <c r="G6" s="76"/>
      <c r="H6" s="610"/>
    </row>
    <row r="7">
      <c r="A7" s="152" t="s">
        <v>49</v>
      </c>
      <c r="B7" s="156"/>
      <c r="C7" s="156"/>
      <c r="D7" s="156"/>
      <c r="E7" s="156"/>
      <c r="F7" s="247" t="s">
        <v>265</v>
      </c>
      <c r="G7" s="186" t="s">
        <v>148</v>
      </c>
      <c r="H7" s="610"/>
    </row>
    <row r="8">
      <c r="A8" s="38"/>
      <c r="B8" s="156"/>
      <c r="C8" s="156"/>
      <c r="D8" s="156"/>
      <c r="E8" s="156"/>
      <c r="F8" s="337" t="s">
        <v>272</v>
      </c>
      <c r="G8" s="194" t="s">
        <v>154</v>
      </c>
      <c r="H8" s="610"/>
    </row>
    <row r="9">
      <c r="A9" s="44"/>
      <c r="B9" s="172"/>
      <c r="C9" s="172"/>
      <c r="D9" s="172"/>
      <c r="E9" s="172"/>
      <c r="F9" s="344" t="s">
        <v>511</v>
      </c>
      <c r="G9" s="206" t="s">
        <v>512</v>
      </c>
      <c r="H9" s="610"/>
    </row>
    <row r="10">
      <c r="A10" s="152" t="s">
        <v>51</v>
      </c>
      <c r="B10" s="156"/>
      <c r="C10" s="156"/>
      <c r="D10" s="156"/>
      <c r="E10" s="156"/>
      <c r="F10" s="247" t="s">
        <v>265</v>
      </c>
      <c r="G10" s="186" t="s">
        <v>148</v>
      </c>
      <c r="H10" s="610"/>
    </row>
    <row r="11">
      <c r="A11" s="38"/>
      <c r="B11" s="156"/>
      <c r="C11" s="156"/>
      <c r="D11" s="156"/>
      <c r="E11" s="156"/>
      <c r="F11" s="337" t="s">
        <v>272</v>
      </c>
      <c r="G11" s="194" t="s">
        <v>154</v>
      </c>
      <c r="H11" s="610"/>
    </row>
    <row r="12">
      <c r="A12" s="44"/>
      <c r="B12" s="172"/>
      <c r="C12" s="172"/>
      <c r="D12" s="172"/>
      <c r="E12" s="172"/>
      <c r="F12" s="344" t="s">
        <v>513</v>
      </c>
      <c r="G12" s="206" t="s">
        <v>512</v>
      </c>
      <c r="H12" s="610"/>
    </row>
    <row r="13">
      <c r="A13" s="152" t="s">
        <v>59</v>
      </c>
      <c r="B13" s="156"/>
      <c r="C13" s="156"/>
      <c r="D13" s="156"/>
      <c r="E13" s="232"/>
      <c r="F13" s="233" t="s">
        <v>176</v>
      </c>
      <c r="G13" s="186" t="s">
        <v>177</v>
      </c>
      <c r="H13" s="610"/>
    </row>
    <row r="14">
      <c r="A14" s="38"/>
      <c r="B14" s="156"/>
      <c r="C14" s="156"/>
      <c r="D14" s="156"/>
      <c r="E14" s="237"/>
      <c r="F14" s="238" t="s">
        <v>180</v>
      </c>
      <c r="G14" s="239" t="s">
        <v>181</v>
      </c>
      <c r="H14" s="610"/>
    </row>
    <row r="15">
      <c r="A15" s="44"/>
      <c r="B15" s="172"/>
      <c r="C15" s="172"/>
      <c r="D15" s="172"/>
      <c r="E15" s="245"/>
      <c r="F15" s="246" t="s">
        <v>183</v>
      </c>
      <c r="G15" s="206" t="s">
        <v>512</v>
      </c>
      <c r="H15" s="610"/>
    </row>
    <row r="16">
      <c r="A16" s="152" t="s">
        <v>64</v>
      </c>
      <c r="B16" s="156"/>
      <c r="C16" s="156"/>
      <c r="D16" s="156"/>
      <c r="E16" s="232"/>
      <c r="F16" s="233" t="s">
        <v>176</v>
      </c>
      <c r="G16" s="186" t="s">
        <v>177</v>
      </c>
      <c r="H16" s="610"/>
    </row>
    <row r="17">
      <c r="A17" s="38"/>
      <c r="B17" s="156"/>
      <c r="C17" s="156"/>
      <c r="D17" s="156"/>
      <c r="E17" s="237"/>
      <c r="F17" s="238" t="s">
        <v>180</v>
      </c>
      <c r="G17" s="239" t="s">
        <v>181</v>
      </c>
      <c r="H17" s="610"/>
    </row>
    <row r="18">
      <c r="A18" s="44"/>
      <c r="B18" s="172"/>
      <c r="C18" s="172"/>
      <c r="D18" s="172"/>
      <c r="E18" s="245"/>
      <c r="F18" s="246" t="s">
        <v>183</v>
      </c>
      <c r="G18" s="206" t="s">
        <v>512</v>
      </c>
      <c r="H18" s="610"/>
    </row>
    <row r="19">
      <c r="A19" s="152" t="s">
        <v>66</v>
      </c>
      <c r="B19" s="156"/>
      <c r="C19" s="156"/>
      <c r="D19" s="156"/>
      <c r="E19" s="63"/>
      <c r="F19" s="156"/>
      <c r="G19" s="156"/>
      <c r="H19" s="610"/>
    </row>
    <row r="20">
      <c r="A20" s="38"/>
      <c r="B20" s="156"/>
      <c r="C20" s="156"/>
      <c r="D20" s="156"/>
      <c r="E20" s="69"/>
      <c r="F20" s="156"/>
      <c r="G20" s="156"/>
      <c r="H20" s="610"/>
    </row>
    <row r="21">
      <c r="A21" s="44"/>
      <c r="B21" s="172"/>
      <c r="C21" s="172"/>
      <c r="D21" s="172"/>
      <c r="E21" s="76"/>
      <c r="F21" s="172"/>
      <c r="G21" s="172"/>
      <c r="H21" s="610"/>
    </row>
    <row r="22">
      <c r="A22" s="147" t="s">
        <v>74</v>
      </c>
      <c r="B22" s="148"/>
      <c r="C22" s="46"/>
      <c r="D22" s="46"/>
      <c r="E22" s="46"/>
      <c r="F22" s="46"/>
      <c r="G22" s="47"/>
    </row>
    <row r="23">
      <c r="A23" s="152" t="s">
        <v>39</v>
      </c>
      <c r="B23" s="156"/>
      <c r="C23" s="156"/>
      <c r="D23" s="156"/>
      <c r="E23" s="183" t="s">
        <v>198</v>
      </c>
      <c r="F23" s="228"/>
      <c r="G23" s="156"/>
      <c r="H23" s="610"/>
    </row>
    <row r="24">
      <c r="A24" s="38"/>
      <c r="B24" s="156"/>
      <c r="C24" s="156"/>
      <c r="D24" s="156"/>
      <c r="E24" s="263" t="s">
        <v>203</v>
      </c>
      <c r="F24" s="161"/>
      <c r="G24" s="156"/>
      <c r="H24" s="610"/>
    </row>
    <row r="25">
      <c r="A25" s="44"/>
      <c r="B25" s="172"/>
      <c r="C25" s="172"/>
      <c r="D25" s="241"/>
      <c r="E25" s="200">
        <v>460.0</v>
      </c>
      <c r="F25" s="177"/>
      <c r="G25" s="172"/>
      <c r="H25" s="610"/>
    </row>
    <row r="26">
      <c r="A26" s="152" t="s">
        <v>49</v>
      </c>
      <c r="B26" s="275" t="s">
        <v>210</v>
      </c>
      <c r="C26" s="23"/>
      <c r="D26" s="156"/>
      <c r="E26" s="183" t="s">
        <v>211</v>
      </c>
      <c r="F26" s="276" t="s">
        <v>212</v>
      </c>
      <c r="G26" s="277" t="s">
        <v>213</v>
      </c>
      <c r="H26" s="610"/>
    </row>
    <row r="27">
      <c r="A27" s="38"/>
      <c r="B27" s="284" t="s">
        <v>220</v>
      </c>
      <c r="C27" s="23"/>
      <c r="D27" s="156"/>
      <c r="E27" s="285" t="s">
        <v>221</v>
      </c>
      <c r="F27" s="250" t="s">
        <v>222</v>
      </c>
      <c r="G27" s="192" t="s">
        <v>79</v>
      </c>
      <c r="H27" s="610"/>
    </row>
    <row r="28">
      <c r="A28" s="44"/>
      <c r="B28" s="292">
        <v>321.0</v>
      </c>
      <c r="C28" s="47"/>
      <c r="D28" s="241"/>
      <c r="E28" s="200">
        <v>460.0</v>
      </c>
      <c r="F28" s="252" t="s">
        <v>223</v>
      </c>
      <c r="G28" s="201">
        <v>111.0</v>
      </c>
      <c r="H28" s="610"/>
    </row>
    <row r="29">
      <c r="A29" s="152" t="s">
        <v>51</v>
      </c>
      <c r="B29" s="63"/>
      <c r="C29" s="63"/>
      <c r="D29" s="228"/>
      <c r="E29" s="63"/>
      <c r="F29" s="276" t="s">
        <v>212</v>
      </c>
      <c r="G29" s="277" t="s">
        <v>228</v>
      </c>
      <c r="H29" s="610"/>
    </row>
    <row r="30">
      <c r="A30" s="38"/>
      <c r="B30" s="69"/>
      <c r="C30" s="69"/>
      <c r="D30" s="161"/>
      <c r="E30" s="69"/>
      <c r="F30" s="250" t="s">
        <v>237</v>
      </c>
      <c r="G30" s="192" t="s">
        <v>201</v>
      </c>
      <c r="H30" s="610"/>
    </row>
    <row r="31">
      <c r="A31" s="44"/>
      <c r="B31" s="76"/>
      <c r="C31" s="76"/>
      <c r="D31" s="172"/>
      <c r="E31" s="76"/>
      <c r="F31" s="252" t="s">
        <v>238</v>
      </c>
      <c r="G31" s="201">
        <v>111.0</v>
      </c>
      <c r="H31" s="610"/>
    </row>
    <row r="32">
      <c r="A32" s="152" t="s">
        <v>59</v>
      </c>
      <c r="B32" s="307" t="s">
        <v>242</v>
      </c>
      <c r="C32" s="8"/>
      <c r="D32" s="156"/>
      <c r="E32" s="63"/>
      <c r="F32" s="156"/>
      <c r="G32" s="63"/>
      <c r="H32" s="610"/>
    </row>
    <row r="33">
      <c r="A33" s="38"/>
      <c r="B33" s="311" t="s">
        <v>248</v>
      </c>
      <c r="C33" s="23"/>
      <c r="D33" s="156"/>
      <c r="E33" s="69"/>
      <c r="F33" s="156"/>
      <c r="G33" s="69"/>
      <c r="H33" s="610"/>
    </row>
    <row r="34">
      <c r="A34" s="44"/>
      <c r="B34" s="317">
        <v>321.0</v>
      </c>
      <c r="C34" s="47"/>
      <c r="D34" s="172"/>
      <c r="E34" s="76"/>
      <c r="F34" s="172"/>
      <c r="G34" s="76"/>
      <c r="H34" s="610"/>
    </row>
    <row r="35">
      <c r="A35" s="152" t="s">
        <v>64</v>
      </c>
      <c r="B35" s="230"/>
      <c r="C35" s="156"/>
      <c r="D35" s="230"/>
      <c r="E35" s="156"/>
      <c r="F35" s="156"/>
      <c r="G35" s="156"/>
      <c r="H35" s="610"/>
    </row>
    <row r="36">
      <c r="A36" s="38"/>
      <c r="B36" s="230"/>
      <c r="C36" s="156"/>
      <c r="D36" s="230"/>
      <c r="E36" s="156"/>
      <c r="F36" s="156"/>
      <c r="G36" s="156"/>
      <c r="H36" s="610"/>
    </row>
    <row r="37">
      <c r="A37" s="44"/>
      <c r="B37" s="243"/>
      <c r="C37" s="172"/>
      <c r="D37" s="243"/>
      <c r="E37" s="172"/>
      <c r="F37" s="172"/>
      <c r="G37" s="172"/>
      <c r="H37" s="610"/>
    </row>
    <row r="38">
      <c r="A38" s="152" t="s">
        <v>66</v>
      </c>
      <c r="B38" s="63"/>
      <c r="C38" s="63"/>
      <c r="D38" s="228"/>
      <c r="E38" s="228"/>
      <c r="F38" s="207" t="s">
        <v>257</v>
      </c>
      <c r="G38" s="156"/>
    </row>
    <row r="39">
      <c r="A39" s="38"/>
      <c r="B39" s="69"/>
      <c r="C39" s="69"/>
      <c r="D39" s="161"/>
      <c r="E39" s="161"/>
      <c r="F39" s="214" t="s">
        <v>258</v>
      </c>
      <c r="G39" s="156"/>
    </row>
    <row r="40">
      <c r="A40" s="44"/>
      <c r="B40" s="76"/>
      <c r="C40" s="76"/>
      <c r="D40" s="177"/>
      <c r="E40" s="177"/>
      <c r="F40" s="325" t="s">
        <v>260</v>
      </c>
      <c r="G40" s="172"/>
    </row>
    <row r="41">
      <c r="A41" s="147" t="s">
        <v>82</v>
      </c>
      <c r="B41" s="148"/>
      <c r="C41" s="46"/>
      <c r="D41" s="46"/>
      <c r="E41" s="46"/>
      <c r="F41" s="46"/>
      <c r="G41" s="47"/>
    </row>
    <row r="42">
      <c r="A42" s="152" t="s">
        <v>39</v>
      </c>
      <c r="B42" s="228"/>
      <c r="C42" s="228"/>
      <c r="D42" s="228"/>
      <c r="E42" s="231" t="s">
        <v>264</v>
      </c>
      <c r="F42" s="247" t="s">
        <v>265</v>
      </c>
      <c r="G42" s="63"/>
      <c r="H42" s="610"/>
    </row>
    <row r="43">
      <c r="A43" s="38"/>
      <c r="B43" s="161"/>
      <c r="C43" s="161"/>
      <c r="D43" s="161"/>
      <c r="E43" s="336" t="s">
        <v>271</v>
      </c>
      <c r="F43" s="337" t="s">
        <v>272</v>
      </c>
      <c r="G43" s="69"/>
      <c r="H43" s="610"/>
    </row>
    <row r="44">
      <c r="A44" s="44"/>
      <c r="B44" s="177"/>
      <c r="C44" s="177"/>
      <c r="D44" s="177"/>
      <c r="E44" s="343" t="s">
        <v>137</v>
      </c>
      <c r="F44" s="344" t="s">
        <v>274</v>
      </c>
      <c r="G44" s="76"/>
      <c r="H44" s="610"/>
    </row>
    <row r="45">
      <c r="A45" s="152" t="s">
        <v>49</v>
      </c>
      <c r="B45" s="347" t="s">
        <v>279</v>
      </c>
      <c r="C45" s="23"/>
      <c r="D45" s="348" t="s">
        <v>280</v>
      </c>
      <c r="E45" s="231" t="s">
        <v>281</v>
      </c>
      <c r="F45" s="158"/>
      <c r="G45" s="349"/>
      <c r="H45" s="610"/>
    </row>
    <row r="46">
      <c r="A46" s="38"/>
      <c r="B46" s="352" t="s">
        <v>285</v>
      </c>
      <c r="C46" s="23"/>
      <c r="D46" s="353" t="s">
        <v>286</v>
      </c>
      <c r="E46" s="336" t="s">
        <v>271</v>
      </c>
      <c r="F46" s="168"/>
      <c r="G46" s="298"/>
      <c r="H46" s="610"/>
    </row>
    <row r="47">
      <c r="A47" s="44"/>
      <c r="B47" s="354">
        <v>321.0</v>
      </c>
      <c r="C47" s="47"/>
      <c r="D47" s="224" t="s">
        <v>514</v>
      </c>
      <c r="E47" s="343" t="s">
        <v>137</v>
      </c>
      <c r="F47" s="205"/>
      <c r="G47" s="355"/>
      <c r="H47" s="610"/>
    </row>
    <row r="48">
      <c r="A48" s="152" t="s">
        <v>51</v>
      </c>
      <c r="B48" s="358" t="s">
        <v>290</v>
      </c>
      <c r="C48" s="23"/>
      <c r="D48" s="348" t="s">
        <v>291</v>
      </c>
      <c r="E48" s="63"/>
      <c r="F48" s="233" t="s">
        <v>176</v>
      </c>
      <c r="G48" s="228"/>
      <c r="H48" s="610"/>
    </row>
    <row r="49">
      <c r="A49" s="38"/>
      <c r="B49" s="366" t="s">
        <v>295</v>
      </c>
      <c r="C49" s="23"/>
      <c r="D49" s="367" t="s">
        <v>78</v>
      </c>
      <c r="E49" s="69"/>
      <c r="F49" s="238" t="s">
        <v>296</v>
      </c>
      <c r="G49" s="161"/>
      <c r="H49" s="610"/>
    </row>
    <row r="50">
      <c r="A50" s="44"/>
      <c r="B50" s="173">
        <v>321.0</v>
      </c>
      <c r="C50" s="47"/>
      <c r="D50" s="224" t="s">
        <v>514</v>
      </c>
      <c r="E50" s="76"/>
      <c r="F50" s="246" t="s">
        <v>297</v>
      </c>
      <c r="G50" s="177"/>
      <c r="H50" s="610"/>
    </row>
    <row r="51">
      <c r="A51" s="152" t="s">
        <v>59</v>
      </c>
      <c r="B51" s="358" t="s">
        <v>299</v>
      </c>
      <c r="C51" s="23"/>
      <c r="D51" s="374" t="s">
        <v>300</v>
      </c>
      <c r="F51" s="228"/>
      <c r="G51" s="228"/>
      <c r="H51" s="610"/>
    </row>
    <row r="52">
      <c r="A52" s="38"/>
      <c r="B52" s="376" t="s">
        <v>169</v>
      </c>
      <c r="C52" s="23"/>
      <c r="D52" s="377" t="s">
        <v>286</v>
      </c>
      <c r="F52" s="161"/>
      <c r="G52" s="161"/>
      <c r="H52" s="610"/>
    </row>
    <row r="53">
      <c r="A53" s="44"/>
      <c r="B53" s="173">
        <v>321.0</v>
      </c>
      <c r="C53" s="47"/>
      <c r="D53" s="378">
        <v>303.0</v>
      </c>
      <c r="F53" s="177"/>
      <c r="G53" s="177"/>
      <c r="H53" s="610"/>
    </row>
    <row r="54">
      <c r="A54" s="152" t="s">
        <v>64</v>
      </c>
      <c r="B54" s="230"/>
      <c r="C54" s="156"/>
      <c r="D54" s="381" t="s">
        <v>304</v>
      </c>
      <c r="E54" s="382" t="s">
        <v>305</v>
      </c>
      <c r="F54" s="228"/>
      <c r="G54" s="228"/>
      <c r="H54" s="610"/>
    </row>
    <row r="55">
      <c r="A55" s="38"/>
      <c r="B55" s="230"/>
      <c r="C55" s="156"/>
      <c r="D55" s="385" t="s">
        <v>200</v>
      </c>
      <c r="E55" s="386" t="s">
        <v>253</v>
      </c>
      <c r="F55" s="161"/>
      <c r="G55" s="161"/>
      <c r="H55" s="610"/>
    </row>
    <row r="56">
      <c r="A56" s="44"/>
      <c r="B56" s="243"/>
      <c r="C56" s="172"/>
      <c r="D56" s="221">
        <v>303.0</v>
      </c>
      <c r="E56" s="390" t="s">
        <v>137</v>
      </c>
      <c r="F56" s="177"/>
      <c r="G56" s="177"/>
      <c r="H56" s="610"/>
    </row>
    <row r="57">
      <c r="A57" s="152" t="s">
        <v>66</v>
      </c>
      <c r="B57" s="228"/>
      <c r="C57" s="228"/>
      <c r="D57" s="228"/>
      <c r="E57" s="382" t="s">
        <v>307</v>
      </c>
      <c r="F57" s="392" t="s">
        <v>308</v>
      </c>
      <c r="G57" s="228"/>
      <c r="H57" s="610"/>
    </row>
    <row r="58">
      <c r="A58" s="38"/>
      <c r="B58" s="161"/>
      <c r="C58" s="161"/>
      <c r="D58" s="161"/>
      <c r="E58" s="386" t="s">
        <v>309</v>
      </c>
      <c r="F58" s="192" t="s">
        <v>310</v>
      </c>
      <c r="G58" s="161"/>
      <c r="H58" s="610"/>
    </row>
    <row r="59">
      <c r="A59" s="44"/>
      <c r="B59" s="177"/>
      <c r="C59" s="177"/>
      <c r="D59" s="177"/>
      <c r="E59" s="390">
        <v>102.0</v>
      </c>
      <c r="F59" s="395" t="s">
        <v>312</v>
      </c>
      <c r="G59" s="177"/>
      <c r="H59" s="610"/>
    </row>
    <row r="60">
      <c r="A60" s="147" t="s">
        <v>86</v>
      </c>
      <c r="B60" s="148"/>
      <c r="C60" s="46"/>
      <c r="D60" s="46"/>
      <c r="E60" s="46"/>
      <c r="F60" s="46"/>
      <c r="G60" s="47"/>
    </row>
    <row r="61">
      <c r="A61" s="152" t="s">
        <v>39</v>
      </c>
      <c r="B61" s="228"/>
      <c r="C61" s="228"/>
      <c r="D61" s="63"/>
      <c r="E61" s="228"/>
      <c r="F61" s="233" t="s">
        <v>176</v>
      </c>
      <c r="G61" s="228"/>
      <c r="H61" s="610"/>
    </row>
    <row r="62">
      <c r="A62" s="38"/>
      <c r="B62" s="161"/>
      <c r="C62" s="161"/>
      <c r="D62" s="69"/>
      <c r="E62" s="161"/>
      <c r="F62" s="238" t="s">
        <v>180</v>
      </c>
      <c r="G62" s="161"/>
      <c r="H62" s="610"/>
    </row>
    <row r="63">
      <c r="A63" s="44"/>
      <c r="B63" s="177"/>
      <c r="C63" s="177"/>
      <c r="D63" s="76"/>
      <c r="E63" s="177"/>
      <c r="F63" s="246" t="s">
        <v>313</v>
      </c>
      <c r="G63" s="177"/>
      <c r="H63" s="610"/>
    </row>
    <row r="64">
      <c r="A64" s="152" t="s">
        <v>49</v>
      </c>
      <c r="B64" s="230"/>
      <c r="C64" s="156"/>
      <c r="D64" s="63"/>
      <c r="E64" s="237"/>
      <c r="F64" s="233" t="s">
        <v>176</v>
      </c>
      <c r="G64" s="277" t="s">
        <v>213</v>
      </c>
      <c r="H64" s="610"/>
    </row>
    <row r="65">
      <c r="A65" s="38"/>
      <c r="B65" s="230"/>
      <c r="C65" s="156"/>
      <c r="D65" s="69"/>
      <c r="E65" s="237"/>
      <c r="F65" s="238" t="s">
        <v>180</v>
      </c>
      <c r="G65" s="192" t="s">
        <v>79</v>
      </c>
      <c r="H65" s="610"/>
    </row>
    <row r="66">
      <c r="A66" s="44"/>
      <c r="B66" s="243"/>
      <c r="C66" s="172"/>
      <c r="D66" s="76"/>
      <c r="E66" s="412"/>
      <c r="F66" s="246" t="s">
        <v>322</v>
      </c>
      <c r="G66" s="201">
        <v>301.0</v>
      </c>
      <c r="H66" s="610"/>
    </row>
    <row r="67">
      <c r="A67" s="152" t="s">
        <v>51</v>
      </c>
      <c r="B67" s="230"/>
      <c r="C67" s="156"/>
      <c r="D67" s="418" t="s">
        <v>328</v>
      </c>
      <c r="E67" s="237"/>
      <c r="F67" s="419"/>
      <c r="G67" s="277" t="s">
        <v>228</v>
      </c>
      <c r="H67" s="610"/>
    </row>
    <row r="68">
      <c r="A68" s="38"/>
      <c r="B68" s="230"/>
      <c r="C68" s="156"/>
      <c r="D68" s="427" t="s">
        <v>320</v>
      </c>
      <c r="E68" s="237"/>
      <c r="F68" s="237"/>
      <c r="G68" s="192" t="s">
        <v>201</v>
      </c>
      <c r="H68" s="610"/>
    </row>
    <row r="69">
      <c r="A69" s="44"/>
      <c r="B69" s="243"/>
      <c r="C69" s="172"/>
      <c r="D69" s="433" t="s">
        <v>137</v>
      </c>
      <c r="E69" s="412"/>
      <c r="F69" s="412"/>
      <c r="G69" s="201">
        <v>301.0</v>
      </c>
      <c r="H69" s="610"/>
    </row>
    <row r="70">
      <c r="A70" s="152" t="s">
        <v>59</v>
      </c>
      <c r="B70" s="230"/>
      <c r="C70" s="156"/>
      <c r="D70" s="436" t="s">
        <v>336</v>
      </c>
      <c r="E70" s="237"/>
      <c r="F70" s="419"/>
      <c r="G70" s="437" t="s">
        <v>337</v>
      </c>
      <c r="H70" s="610"/>
    </row>
    <row r="71">
      <c r="A71" s="38"/>
      <c r="B71" s="230"/>
      <c r="C71" s="156"/>
      <c r="D71" s="440" t="s">
        <v>219</v>
      </c>
      <c r="E71" s="237"/>
      <c r="F71" s="237"/>
      <c r="G71" s="441" t="s">
        <v>342</v>
      </c>
      <c r="H71" s="610"/>
    </row>
    <row r="72">
      <c r="A72" s="44"/>
      <c r="B72" s="243"/>
      <c r="C72" s="172"/>
      <c r="D72" s="446">
        <v>321.0</v>
      </c>
      <c r="E72" s="412"/>
      <c r="F72" s="412"/>
      <c r="G72" s="447" t="s">
        <v>345</v>
      </c>
      <c r="H72" s="610"/>
    </row>
    <row r="73">
      <c r="A73" s="152" t="s">
        <v>64</v>
      </c>
      <c r="B73" s="228"/>
      <c r="C73" s="228"/>
      <c r="D73" s="231" t="s">
        <v>264</v>
      </c>
      <c r="E73" s="237"/>
      <c r="F73" s="228"/>
      <c r="G73" s="63"/>
      <c r="H73" s="610"/>
    </row>
    <row r="74">
      <c r="A74" s="38"/>
      <c r="B74" s="161"/>
      <c r="C74" s="161"/>
      <c r="D74" s="451" t="s">
        <v>349</v>
      </c>
      <c r="E74" s="237"/>
      <c r="F74" s="161"/>
      <c r="G74" s="69"/>
      <c r="H74" s="610"/>
    </row>
    <row r="75">
      <c r="A75" s="44"/>
      <c r="B75" s="177"/>
      <c r="C75" s="177"/>
      <c r="D75" s="452" t="s">
        <v>137</v>
      </c>
      <c r="E75" s="412"/>
      <c r="F75" s="177"/>
      <c r="G75" s="76"/>
      <c r="H75" s="610"/>
    </row>
    <row r="76">
      <c r="A76" s="152" t="s">
        <v>66</v>
      </c>
      <c r="B76" s="156"/>
      <c r="C76" s="156"/>
      <c r="D76" s="453" t="s">
        <v>281</v>
      </c>
      <c r="E76" s="382" t="s">
        <v>307</v>
      </c>
      <c r="F76" s="293"/>
      <c r="G76" s="161"/>
      <c r="H76" s="610"/>
    </row>
    <row r="77">
      <c r="A77" s="38"/>
      <c r="B77" s="156"/>
      <c r="C77" s="156"/>
      <c r="D77" s="454" t="s">
        <v>168</v>
      </c>
      <c r="E77" s="386" t="s">
        <v>309</v>
      </c>
      <c r="F77" s="455"/>
      <c r="G77" s="161"/>
      <c r="H77" s="610"/>
    </row>
    <row r="78">
      <c r="A78" s="44"/>
      <c r="B78" s="172"/>
      <c r="C78" s="172"/>
      <c r="D78" s="458">
        <v>320.0</v>
      </c>
      <c r="E78" s="390" t="s">
        <v>515</v>
      </c>
      <c r="F78" s="303"/>
      <c r="G78" s="177"/>
      <c r="H78" s="610"/>
    </row>
    <row r="79">
      <c r="A79" s="147" t="s">
        <v>92</v>
      </c>
      <c r="B79" s="459"/>
      <c r="C79" s="3"/>
      <c r="D79" s="3"/>
      <c r="E79" s="3"/>
      <c r="F79" s="3"/>
      <c r="G79" s="4"/>
    </row>
    <row r="80">
      <c r="A80" s="152" t="s">
        <v>39</v>
      </c>
      <c r="B80" s="156"/>
      <c r="C80" s="156"/>
      <c r="D80" s="156"/>
      <c r="E80" s="156"/>
      <c r="F80" s="462" t="s">
        <v>212</v>
      </c>
      <c r="G80" s="63"/>
      <c r="H80" s="610"/>
    </row>
    <row r="81">
      <c r="A81" s="38"/>
      <c r="B81" s="156"/>
      <c r="C81" s="156"/>
      <c r="D81" s="156"/>
      <c r="E81" s="156"/>
      <c r="F81" s="465" t="s">
        <v>222</v>
      </c>
      <c r="G81" s="69"/>
      <c r="H81" s="610"/>
    </row>
    <row r="82">
      <c r="A82" s="44"/>
      <c r="B82" s="172"/>
      <c r="C82" s="172"/>
      <c r="D82" s="172"/>
      <c r="E82" s="172"/>
      <c r="F82" s="468" t="s">
        <v>355</v>
      </c>
      <c r="G82" s="76"/>
      <c r="H82" s="610"/>
    </row>
    <row r="83">
      <c r="A83" s="152" t="s">
        <v>49</v>
      </c>
      <c r="B83" s="347" t="s">
        <v>359</v>
      </c>
      <c r="C83" s="23"/>
      <c r="D83" s="471" t="s">
        <v>360</v>
      </c>
      <c r="E83" s="228"/>
      <c r="F83" s="462" t="s">
        <v>212</v>
      </c>
      <c r="G83" s="63"/>
      <c r="H83" s="610"/>
    </row>
    <row r="84">
      <c r="A84" s="38"/>
      <c r="B84" s="352" t="s">
        <v>218</v>
      </c>
      <c r="C84" s="23"/>
      <c r="D84" s="474" t="s">
        <v>321</v>
      </c>
      <c r="E84" s="161"/>
      <c r="F84" s="465" t="s">
        <v>222</v>
      </c>
      <c r="G84" s="69"/>
      <c r="H84" s="610"/>
    </row>
    <row r="85">
      <c r="A85" s="44"/>
      <c r="B85" s="475" t="s">
        <v>363</v>
      </c>
      <c r="C85" s="47"/>
      <c r="D85" s="200" t="s">
        <v>364</v>
      </c>
      <c r="E85" s="177"/>
      <c r="F85" s="468" t="s">
        <v>365</v>
      </c>
      <c r="G85" s="76"/>
      <c r="H85" s="610"/>
    </row>
    <row r="86">
      <c r="A86" s="152" t="s">
        <v>51</v>
      </c>
      <c r="B86" s="347" t="s">
        <v>368</v>
      </c>
      <c r="C86" s="23"/>
      <c r="D86" s="471" t="s">
        <v>369</v>
      </c>
      <c r="E86" s="63"/>
      <c r="F86" s="158"/>
      <c r="G86" s="232"/>
      <c r="H86" s="610"/>
    </row>
    <row r="87">
      <c r="A87" s="38"/>
      <c r="B87" s="480" t="s">
        <v>372</v>
      </c>
      <c r="C87" s="23"/>
      <c r="D87" s="481" t="s">
        <v>233</v>
      </c>
      <c r="E87" s="69"/>
      <c r="F87" s="168"/>
      <c r="G87" s="482"/>
      <c r="H87" s="610"/>
    </row>
    <row r="88">
      <c r="A88" s="44"/>
      <c r="B88" s="475" t="s">
        <v>363</v>
      </c>
      <c r="C88" s="47"/>
      <c r="D88" s="200" t="s">
        <v>374</v>
      </c>
      <c r="E88" s="76"/>
      <c r="F88" s="205"/>
      <c r="G88" s="412"/>
      <c r="H88" s="610"/>
    </row>
    <row r="89">
      <c r="A89" s="152" t="s">
        <v>59</v>
      </c>
      <c r="B89" s="159"/>
      <c r="C89" s="228"/>
      <c r="D89" s="228"/>
      <c r="E89" s="382" t="s">
        <v>305</v>
      </c>
      <c r="F89" s="207" t="s">
        <v>257</v>
      </c>
      <c r="H89" s="610"/>
    </row>
    <row r="90">
      <c r="A90" s="38"/>
      <c r="B90" s="159"/>
      <c r="C90" s="161"/>
      <c r="D90" s="161"/>
      <c r="E90" s="386" t="s">
        <v>253</v>
      </c>
      <c r="F90" s="214" t="s">
        <v>258</v>
      </c>
      <c r="H90" s="610"/>
    </row>
    <row r="91">
      <c r="A91" s="44"/>
      <c r="B91" s="175"/>
      <c r="C91" s="177"/>
      <c r="D91" s="177"/>
      <c r="E91" s="390" t="s">
        <v>137</v>
      </c>
      <c r="F91" s="491" t="s">
        <v>378</v>
      </c>
      <c r="H91" s="610"/>
    </row>
    <row r="92">
      <c r="A92" s="152" t="s">
        <v>64</v>
      </c>
      <c r="B92" s="159"/>
      <c r="C92" s="228"/>
      <c r="D92" s="156"/>
      <c r="E92" s="415" t="s">
        <v>380</v>
      </c>
      <c r="F92" s="156"/>
      <c r="G92" s="63"/>
      <c r="H92" s="610"/>
    </row>
    <row r="93">
      <c r="A93" s="38"/>
      <c r="B93" s="159"/>
      <c r="C93" s="161"/>
      <c r="D93" s="156"/>
      <c r="E93" s="423" t="s">
        <v>384</v>
      </c>
      <c r="F93" s="156"/>
      <c r="G93" s="69"/>
      <c r="H93" s="610"/>
    </row>
    <row r="94">
      <c r="A94" s="44"/>
      <c r="B94" s="175"/>
      <c r="C94" s="177"/>
      <c r="D94" s="172"/>
      <c r="E94" s="430" t="s">
        <v>137</v>
      </c>
      <c r="F94" s="172"/>
      <c r="G94" s="76"/>
      <c r="H94" s="610"/>
    </row>
    <row r="95">
      <c r="A95" s="154" t="s">
        <v>66</v>
      </c>
      <c r="B95" s="156"/>
      <c r="C95" s="156"/>
      <c r="D95" s="228"/>
      <c r="E95" s="63"/>
      <c r="F95" s="228"/>
      <c r="G95" s="63"/>
      <c r="H95" s="610"/>
    </row>
    <row r="96">
      <c r="A96" s="23"/>
      <c r="B96" s="156"/>
      <c r="C96" s="156"/>
      <c r="D96" s="161"/>
      <c r="E96" s="69"/>
      <c r="F96" s="161"/>
      <c r="G96" s="69"/>
      <c r="H96" s="610"/>
    </row>
    <row r="97">
      <c r="A97" s="47"/>
      <c r="B97" s="172"/>
      <c r="C97" s="172"/>
      <c r="D97" s="177"/>
      <c r="E97" s="76"/>
      <c r="F97" s="177"/>
      <c r="G97" s="76"/>
      <c r="H97" s="610"/>
    </row>
    <row r="98">
      <c r="A98" s="149" t="s">
        <v>103</v>
      </c>
      <c r="B98" s="148"/>
      <c r="C98" s="46"/>
      <c r="D98" s="46"/>
      <c r="E98" s="46"/>
      <c r="F98" s="46"/>
      <c r="G98" s="47"/>
    </row>
    <row r="99">
      <c r="A99" s="154" t="s">
        <v>39</v>
      </c>
      <c r="B99" s="156"/>
      <c r="C99" s="156"/>
      <c r="D99" s="156"/>
      <c r="E99" s="156"/>
      <c r="F99" s="156"/>
      <c r="G99" s="156"/>
      <c r="H99" s="610"/>
    </row>
    <row r="100">
      <c r="A100" s="23"/>
      <c r="B100" s="156"/>
      <c r="C100" s="156"/>
      <c r="D100" s="156"/>
      <c r="E100" s="156"/>
      <c r="F100" s="156"/>
      <c r="G100" s="156"/>
      <c r="H100" s="610"/>
    </row>
    <row r="101">
      <c r="A101" s="47"/>
      <c r="B101" s="172"/>
      <c r="C101" s="172"/>
      <c r="D101" s="172"/>
      <c r="E101" s="172"/>
      <c r="F101" s="172"/>
      <c r="G101" s="172"/>
      <c r="H101" s="610"/>
    </row>
    <row r="102">
      <c r="A102" s="154" t="s">
        <v>49</v>
      </c>
      <c r="B102" s="156"/>
      <c r="C102" s="156"/>
      <c r="D102" s="156"/>
      <c r="E102" s="232"/>
      <c r="F102" s="392" t="s">
        <v>308</v>
      </c>
      <c r="G102" s="507"/>
      <c r="H102" s="610"/>
    </row>
    <row r="103">
      <c r="A103" s="23"/>
      <c r="B103" s="156"/>
      <c r="C103" s="156"/>
      <c r="D103" s="156"/>
      <c r="E103" s="237"/>
      <c r="F103" s="192" t="s">
        <v>310</v>
      </c>
      <c r="G103" s="298"/>
      <c r="H103" s="610"/>
    </row>
    <row r="104">
      <c r="A104" s="47"/>
      <c r="B104" s="172"/>
      <c r="C104" s="172"/>
      <c r="D104" s="172"/>
      <c r="E104" s="412"/>
      <c r="F104" s="395" t="s">
        <v>223</v>
      </c>
      <c r="G104" s="355"/>
      <c r="H104" s="610"/>
    </row>
    <row r="105">
      <c r="A105" s="154" t="s">
        <v>51</v>
      </c>
      <c r="B105" s="156"/>
      <c r="C105" s="156"/>
      <c r="D105" s="156"/>
      <c r="E105" s="232"/>
      <c r="F105" s="511"/>
      <c r="G105" s="237"/>
      <c r="H105" s="610"/>
    </row>
    <row r="106">
      <c r="A106" s="23"/>
      <c r="B106" s="156"/>
      <c r="C106" s="156"/>
      <c r="D106" s="156"/>
      <c r="E106" s="237"/>
      <c r="F106" s="237"/>
      <c r="G106" s="237"/>
      <c r="H106" s="610"/>
    </row>
    <row r="107">
      <c r="A107" s="47"/>
      <c r="B107" s="172"/>
      <c r="C107" s="172"/>
      <c r="D107" s="172"/>
      <c r="E107" s="412"/>
      <c r="F107" s="205"/>
      <c r="G107" s="412"/>
      <c r="H107" s="610"/>
    </row>
    <row r="108">
      <c r="A108" s="154" t="s">
        <v>59</v>
      </c>
      <c r="B108" s="156"/>
      <c r="C108" s="156"/>
      <c r="D108" s="228"/>
      <c r="E108" s="156"/>
      <c r="F108" s="156"/>
      <c r="G108" s="232"/>
      <c r="H108" s="610"/>
    </row>
    <row r="109">
      <c r="A109" s="23"/>
      <c r="B109" s="156"/>
      <c r="C109" s="156"/>
      <c r="D109" s="161"/>
      <c r="E109" s="156"/>
      <c r="F109" s="156"/>
      <c r="G109" s="237"/>
      <c r="H109" s="610"/>
    </row>
    <row r="110">
      <c r="A110" s="47"/>
      <c r="B110" s="172"/>
      <c r="C110" s="172"/>
      <c r="D110" s="177"/>
      <c r="E110" s="172"/>
      <c r="F110" s="172"/>
      <c r="G110" s="412"/>
      <c r="H110" s="610"/>
    </row>
    <row r="111">
      <c r="A111" s="154" t="s">
        <v>64</v>
      </c>
      <c r="B111" s="156"/>
      <c r="C111" s="156"/>
      <c r="D111" s="228"/>
      <c r="E111" s="156"/>
      <c r="F111" s="156"/>
      <c r="G111" s="156"/>
      <c r="H111" s="610"/>
    </row>
    <row r="112">
      <c r="A112" s="23"/>
      <c r="B112" s="156"/>
      <c r="C112" s="156"/>
      <c r="D112" s="161"/>
      <c r="E112" s="156"/>
      <c r="F112" s="156"/>
      <c r="G112" s="156"/>
      <c r="H112" s="610"/>
    </row>
    <row r="113">
      <c r="A113" s="47"/>
      <c r="B113" s="172"/>
      <c r="C113" s="172"/>
      <c r="D113" s="177"/>
      <c r="E113" s="172"/>
      <c r="F113" s="172"/>
      <c r="G113" s="172"/>
      <c r="H113" s="610"/>
    </row>
    <row r="114">
      <c r="A114" s="154" t="s">
        <v>66</v>
      </c>
      <c r="B114" s="156"/>
      <c r="C114" s="156"/>
      <c r="D114" s="156"/>
      <c r="E114" s="156"/>
      <c r="F114" s="156"/>
      <c r="G114" s="156"/>
      <c r="H114" s="610"/>
    </row>
    <row r="115">
      <c r="A115" s="23"/>
      <c r="B115" s="156"/>
      <c r="C115" s="156"/>
      <c r="D115" s="156"/>
      <c r="E115" s="156"/>
      <c r="F115" s="156"/>
      <c r="G115" s="156"/>
      <c r="H115" s="610"/>
    </row>
    <row r="116">
      <c r="A116" s="47"/>
      <c r="B116" s="172"/>
      <c r="C116" s="172"/>
      <c r="D116" s="172"/>
      <c r="E116" s="172"/>
      <c r="F116" s="172"/>
      <c r="G116" s="172"/>
      <c r="H116" s="610"/>
    </row>
  </sheetData>
  <mergeCells count="65">
    <mergeCell ref="A51:A53"/>
    <mergeCell ref="B51:C51"/>
    <mergeCell ref="B52:C52"/>
    <mergeCell ref="B53:C53"/>
    <mergeCell ref="A54:A56"/>
    <mergeCell ref="A57:A59"/>
    <mergeCell ref="B60:G60"/>
    <mergeCell ref="A61:A63"/>
    <mergeCell ref="A64:A66"/>
    <mergeCell ref="A67:A69"/>
    <mergeCell ref="A70:A72"/>
    <mergeCell ref="A73:A75"/>
    <mergeCell ref="A76:A78"/>
    <mergeCell ref="B79:G79"/>
    <mergeCell ref="B87:C87"/>
    <mergeCell ref="B88:C88"/>
    <mergeCell ref="A80:A82"/>
    <mergeCell ref="A83:A85"/>
    <mergeCell ref="B83:C83"/>
    <mergeCell ref="B84:C84"/>
    <mergeCell ref="B85:C85"/>
    <mergeCell ref="A86:A88"/>
    <mergeCell ref="B86:C86"/>
    <mergeCell ref="A1:A2"/>
    <mergeCell ref="B1:G1"/>
    <mergeCell ref="B3:G3"/>
    <mergeCell ref="A4:A6"/>
    <mergeCell ref="A7:A9"/>
    <mergeCell ref="A10:A12"/>
    <mergeCell ref="A13:A15"/>
    <mergeCell ref="A16:A18"/>
    <mergeCell ref="A19:A21"/>
    <mergeCell ref="B22:G22"/>
    <mergeCell ref="A23:A25"/>
    <mergeCell ref="B26:C26"/>
    <mergeCell ref="B27:C27"/>
    <mergeCell ref="B28:C28"/>
    <mergeCell ref="A38:A40"/>
    <mergeCell ref="B41:G41"/>
    <mergeCell ref="A26:A28"/>
    <mergeCell ref="A29:A31"/>
    <mergeCell ref="A32:A34"/>
    <mergeCell ref="B32:C32"/>
    <mergeCell ref="B33:C33"/>
    <mergeCell ref="B34:C34"/>
    <mergeCell ref="A35:A37"/>
    <mergeCell ref="B49:C49"/>
    <mergeCell ref="B50:C50"/>
    <mergeCell ref="A42:A44"/>
    <mergeCell ref="A45:A47"/>
    <mergeCell ref="B45:C45"/>
    <mergeCell ref="B46:C46"/>
    <mergeCell ref="B47:C47"/>
    <mergeCell ref="A48:A50"/>
    <mergeCell ref="B48:C48"/>
    <mergeCell ref="A108:A110"/>
    <mergeCell ref="A111:A113"/>
    <mergeCell ref="A114:A116"/>
    <mergeCell ref="A89:A91"/>
    <mergeCell ref="A92:A94"/>
    <mergeCell ref="A95:A97"/>
    <mergeCell ref="B98:G98"/>
    <mergeCell ref="A99:A101"/>
    <mergeCell ref="A102:A104"/>
    <mergeCell ref="A105:A107"/>
  </mergeCells>
  <conditionalFormatting sqref="A1:A12 B1:C21 D1:D12 E1:E21 F1:F6 G1:G21 D16:D21 F16 F19:F21 A23:A31 B23:C40 E23:E40 F23:F25 G23:G40 D29:D40 F32:F37 A35:A37 B42:E59 G42:G59 A48:A53 F48 F50:F56 A61:A75 B61:E78 F61 G61:G78 F63 F67:F75 A80:A82 B80:B91 C80:C94 D80:D91 E80:E97 F80:F82 G80:G97 F85 D93:D97 F95:F97 C100:D101 E100:E107 G102:G116 C103:D104 C106:C107 D106:D113 C109:C110 E109:E110 C112:C113 E112:E113 C115:E116">
    <cfRule type="expression" dxfId="0" priority="1">
      <formula>REGEXMATCH(A1, "(^\s+)|(\s+$)")</formula>
    </cfRule>
  </conditionalFormatting>
  <conditionalFormatting sqref="A1:A12 B1:C21 D1:D12 E1:E21 F1:F6 G1:G21 D16:D21 F16 F19:F21 A23:A31 B23:C40 E23:E40 F23:F25 G23:G40 D29:D40 F32:F37 A35:A37 B42:E59 G42:G59 A48:A53 F48 F50:F56 A61:A75 B61:E78 F61 G61:G78 F63 F67:F75 A80:A82 B80:B91 C80:C94 D80:D91 E80:E97 F80:F82 G80:G97 F85 D93:D97 F95:F97 C100:D101 E100:E107 G102:G116 C103:D104 C106:C107 D106:D113 C109:C110 E109:E110 C112:C113 E112:E113 C115:E116">
    <cfRule type="expression" dxfId="0" priority="2">
      <formula>REGEXMATCH(A1, "[а-яА-Я]")</formula>
    </cfRule>
  </conditionalFormatting>
  <conditionalFormatting sqref="A1:A12 B1:C21 D1:D12 E1:E21 F1:F6 G1:G21 D16:D21 F16 F19:F21 A23:A31 B23:C40 E23:E40 F23:F25 G23:G40 D29:D40 F32:F37 A35:A37 B42:E59 G42:G59 A48:A53 F48 F50:F56 A61:A75 B61:E78 F61 G61:G78 F63 F67:F75 A80:A82 B80:B91 C80:C94 D80:D91 E80:E97 F80:F82 G80:G97 F85 D93:D97 F95:F97 C100:D101 E100:E107 G102:G116 C103:D104 C106:C107 D106:D113 C109:C110 E109:E110 C112:C113 E112:E113 C115:E116">
    <cfRule type="expression" dxfId="0" priority="3">
      <formula>REGEXMATCH(A1, "\s{2,}")</formula>
    </cfRule>
  </conditionalFormatting>
  <conditionalFormatting sqref="A1:A12 B1:C21 D1:D12 E1:E21 F1:F6 G1:G21 D16:D21 F16 F19:F21 A23:A31 B23:C40 E23:E40 F23:F25 G23:G40 D29:D40 F32:F37 A35:A37 B42:E59 G42:G59 A48:A53 F48 F50:F56 A61:A75 B61:E78 F61 G61:G78 F63 F67:F75 A80:A82 B80:B91 C80:C94 D80:D91 E80:E97 F80:F82 G80:G97 F85 D93:D97 F95:F97 C100:D101 E100:E107 G102:G116 C103:D104 C106:C107 D106:D113 C109:C110 E109:E110 C112:C113 E112:E113 C115:E116">
    <cfRule type="expression" dxfId="0" priority="4">
      <formula>REGEXMATCH(A1, "(\S\()|(\)\S)")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1.63"/>
    <col customWidth="1" min="2" max="13" width="23.75"/>
    <col customWidth="1" min="14" max="14" width="11.63"/>
    <col customWidth="1" min="15" max="15" width="23.75"/>
    <col customWidth="1" min="16" max="25" width="22.38"/>
    <col customWidth="1" min="26" max="26" width="11.63"/>
    <col customWidth="1" min="27" max="27" width="28.25"/>
    <col customWidth="1" min="28" max="28" width="27.5"/>
    <col customWidth="1" min="29" max="29" width="29.38"/>
    <col customWidth="1" min="30" max="31" width="27.13"/>
    <col customWidth="1" min="32" max="33" width="29.38"/>
    <col customWidth="1" min="34" max="35" width="28.13"/>
    <col customWidth="1" min="36" max="37" width="26.38"/>
    <col customWidth="1" min="38" max="38" width="11.63"/>
    <col customWidth="1" min="39" max="39" width="28.13"/>
    <col customWidth="1" min="40" max="40" width="27.38"/>
    <col customWidth="1" min="41" max="41" width="34.0"/>
    <col customWidth="1" min="42" max="42" width="26.38"/>
    <col customWidth="1" min="43" max="43" width="30.13"/>
    <col customWidth="1" min="44" max="44" width="26.38"/>
    <col customWidth="1" min="45" max="45" width="11.63"/>
    <col customWidth="1" min="46" max="47" width="28.38"/>
    <col customWidth="1" min="48" max="48" width="60.75"/>
    <col customWidth="1" min="49" max="49" width="92.5"/>
    <col customWidth="1" min="50" max="50" width="14.13"/>
    <col customWidth="1" min="51" max="51" width="12.88"/>
    <col customWidth="1" min="52" max="52" width="97.5"/>
    <col customWidth="1" min="53" max="86" width="12.88"/>
  </cols>
  <sheetData>
    <row r="1">
      <c r="A1" s="134"/>
      <c r="B1" s="135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136"/>
      <c r="O1" s="137" t="s">
        <v>1</v>
      </c>
      <c r="P1" s="3"/>
      <c r="Q1" s="3"/>
      <c r="R1" s="3"/>
      <c r="S1" s="3"/>
      <c r="T1" s="3"/>
      <c r="U1" s="3"/>
      <c r="V1" s="3"/>
      <c r="W1" s="3"/>
      <c r="X1" s="3"/>
      <c r="Y1" s="4"/>
      <c r="Z1" s="138"/>
      <c r="AA1" s="139" t="s">
        <v>111</v>
      </c>
      <c r="AB1" s="3"/>
      <c r="AC1" s="3"/>
      <c r="AD1" s="3"/>
      <c r="AE1" s="3"/>
      <c r="AF1" s="3"/>
      <c r="AG1" s="3"/>
      <c r="AH1" s="3"/>
      <c r="AI1" s="3"/>
      <c r="AJ1" s="3"/>
      <c r="AK1" s="4"/>
      <c r="AL1" s="138"/>
      <c r="AM1" s="137" t="s">
        <v>2</v>
      </c>
      <c r="AN1" s="3"/>
      <c r="AO1" s="3"/>
      <c r="AP1" s="3"/>
      <c r="AQ1" s="3"/>
      <c r="AR1" s="4"/>
      <c r="AS1" s="140"/>
      <c r="AT1" s="141" t="s">
        <v>112</v>
      </c>
      <c r="AU1" s="142" t="s">
        <v>113</v>
      </c>
      <c r="AV1" s="143"/>
      <c r="AW1" s="143"/>
      <c r="AX1" s="143"/>
      <c r="AY1" s="143"/>
      <c r="AZ1" s="143"/>
      <c r="BA1" s="143"/>
      <c r="BB1" s="143"/>
      <c r="BC1" s="143"/>
      <c r="BD1" s="143"/>
      <c r="BE1" s="143"/>
      <c r="BF1" s="143"/>
      <c r="BG1" s="143"/>
      <c r="BH1" s="143"/>
      <c r="BI1" s="143"/>
      <c r="BJ1" s="143"/>
      <c r="BK1" s="143"/>
      <c r="BL1" s="143"/>
      <c r="BM1" s="143"/>
      <c r="BN1" s="143"/>
      <c r="BO1" s="143"/>
      <c r="BP1" s="143"/>
      <c r="BQ1" s="143"/>
      <c r="BR1" s="143"/>
      <c r="BS1" s="143"/>
      <c r="BT1" s="143"/>
      <c r="BU1" s="143"/>
      <c r="BV1" s="143"/>
      <c r="BW1" s="143"/>
      <c r="BX1" s="143"/>
      <c r="BY1" s="143"/>
      <c r="BZ1" s="143"/>
      <c r="CA1" s="143"/>
      <c r="CB1" s="143"/>
      <c r="CC1" s="143"/>
      <c r="CD1" s="143"/>
      <c r="CE1" s="143"/>
      <c r="CF1" s="143"/>
      <c r="CG1" s="143"/>
      <c r="CH1" s="143"/>
    </row>
    <row r="2">
      <c r="A2" s="44"/>
      <c r="B2" s="144" t="s">
        <v>8</v>
      </c>
      <c r="C2" s="144" t="s">
        <v>9</v>
      </c>
      <c r="D2" s="144" t="s">
        <v>10</v>
      </c>
      <c r="E2" s="144" t="s">
        <v>11</v>
      </c>
      <c r="F2" s="144" t="s">
        <v>12</v>
      </c>
      <c r="G2" s="144" t="s">
        <v>13</v>
      </c>
      <c r="H2" s="144" t="s">
        <v>14</v>
      </c>
      <c r="I2" s="144" t="s">
        <v>15</v>
      </c>
      <c r="J2" s="144" t="s">
        <v>16</v>
      </c>
      <c r="K2" s="144" t="s">
        <v>17</v>
      </c>
      <c r="L2" s="144" t="s">
        <v>18</v>
      </c>
      <c r="M2" s="144" t="s">
        <v>19</v>
      </c>
      <c r="N2" s="47"/>
      <c r="O2" s="144" t="s">
        <v>20</v>
      </c>
      <c r="P2" s="144" t="s">
        <v>21</v>
      </c>
      <c r="Q2" s="144" t="s">
        <v>22</v>
      </c>
      <c r="R2" s="144" t="s">
        <v>23</v>
      </c>
      <c r="S2" s="144" t="s">
        <v>24</v>
      </c>
      <c r="T2" s="144" t="s">
        <v>25</v>
      </c>
      <c r="U2" s="144" t="s">
        <v>26</v>
      </c>
      <c r="V2" s="144" t="s">
        <v>27</v>
      </c>
      <c r="W2" s="144" t="s">
        <v>28</v>
      </c>
      <c r="X2" s="144" t="s">
        <v>29</v>
      </c>
      <c r="Y2" s="144" t="s">
        <v>30</v>
      </c>
      <c r="Z2" s="44"/>
      <c r="AA2" s="144" t="s">
        <v>114</v>
      </c>
      <c r="AB2" s="144" t="s">
        <v>115</v>
      </c>
      <c r="AC2" s="144" t="s">
        <v>116</v>
      </c>
      <c r="AD2" s="144" t="s">
        <v>117</v>
      </c>
      <c r="AE2" s="144" t="s">
        <v>118</v>
      </c>
      <c r="AF2" s="144" t="s">
        <v>119</v>
      </c>
      <c r="AG2" s="144" t="s">
        <v>120</v>
      </c>
      <c r="AH2" s="144" t="s">
        <v>121</v>
      </c>
      <c r="AI2" s="144" t="s">
        <v>122</v>
      </c>
      <c r="AJ2" s="144" t="s">
        <v>123</v>
      </c>
      <c r="AK2" s="144" t="s">
        <v>124</v>
      </c>
      <c r="AL2" s="44"/>
      <c r="AM2" s="144" t="s">
        <v>31</v>
      </c>
      <c r="AN2" s="144" t="s">
        <v>32</v>
      </c>
      <c r="AO2" s="144" t="s">
        <v>33</v>
      </c>
      <c r="AP2" s="144" t="s">
        <v>125</v>
      </c>
      <c r="AQ2" s="145" t="s">
        <v>36</v>
      </c>
      <c r="AR2" s="144" t="s">
        <v>37</v>
      </c>
      <c r="AS2" s="44"/>
      <c r="AT2" s="146" t="s">
        <v>126</v>
      </c>
      <c r="AU2" s="146" t="s">
        <v>126</v>
      </c>
      <c r="AV2" s="143"/>
      <c r="AW2" s="143"/>
      <c r="AX2" s="143"/>
      <c r="AY2" s="143"/>
      <c r="AZ2" s="143"/>
      <c r="BA2" s="143"/>
      <c r="BB2" s="143"/>
      <c r="BC2" s="143"/>
      <c r="BD2" s="143"/>
      <c r="BE2" s="143"/>
      <c r="BF2" s="143"/>
      <c r="BG2" s="143"/>
      <c r="BH2" s="143"/>
      <c r="BI2" s="143"/>
      <c r="BJ2" s="143"/>
      <c r="BK2" s="143"/>
      <c r="BL2" s="143"/>
      <c r="BM2" s="143"/>
      <c r="BN2" s="143"/>
      <c r="BO2" s="143"/>
      <c r="BP2" s="143"/>
      <c r="BQ2" s="143"/>
      <c r="BR2" s="143"/>
      <c r="BS2" s="143"/>
      <c r="BT2" s="143"/>
      <c r="BU2" s="143"/>
      <c r="BV2" s="143"/>
      <c r="BW2" s="143"/>
      <c r="BX2" s="143"/>
      <c r="BY2" s="143"/>
      <c r="BZ2" s="143"/>
      <c r="CA2" s="143"/>
      <c r="CB2" s="143"/>
      <c r="CC2" s="143"/>
      <c r="CD2" s="143"/>
      <c r="CE2" s="143"/>
      <c r="CF2" s="143"/>
      <c r="CG2" s="143"/>
      <c r="CH2" s="143"/>
    </row>
    <row r="3">
      <c r="A3" s="147" t="s">
        <v>38</v>
      </c>
      <c r="B3" s="148"/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149" t="s">
        <v>38</v>
      </c>
      <c r="O3" s="148"/>
      <c r="P3" s="46"/>
      <c r="Q3" s="46"/>
      <c r="R3" s="46"/>
      <c r="S3" s="46"/>
      <c r="T3" s="46"/>
      <c r="U3" s="46"/>
      <c r="V3" s="46"/>
      <c r="W3" s="46"/>
      <c r="X3" s="46"/>
      <c r="Y3" s="47"/>
      <c r="Z3" s="147" t="s">
        <v>38</v>
      </c>
      <c r="AA3" s="148"/>
      <c r="AB3" s="46"/>
      <c r="AC3" s="46"/>
      <c r="AD3" s="46"/>
      <c r="AE3" s="46"/>
      <c r="AF3" s="46"/>
      <c r="AG3" s="46"/>
      <c r="AH3" s="46"/>
      <c r="AI3" s="46"/>
      <c r="AJ3" s="46"/>
      <c r="AK3" s="47"/>
      <c r="AL3" s="147" t="s">
        <v>38</v>
      </c>
      <c r="AM3" s="148"/>
      <c r="AN3" s="46"/>
      <c r="AO3" s="46"/>
      <c r="AP3" s="46"/>
      <c r="AQ3" s="46"/>
      <c r="AR3" s="47"/>
      <c r="AS3" s="147" t="s">
        <v>38</v>
      </c>
      <c r="AT3" s="150"/>
      <c r="AU3" s="150"/>
      <c r="AV3" s="151"/>
      <c r="AW3" s="151"/>
      <c r="AX3" s="151"/>
      <c r="AY3" s="151"/>
      <c r="AZ3" s="151"/>
      <c r="BA3" s="151"/>
      <c r="BB3" s="151"/>
      <c r="BC3" s="151"/>
      <c r="BD3" s="151"/>
      <c r="BE3" s="151"/>
      <c r="BF3" s="151"/>
      <c r="BG3" s="151"/>
      <c r="BH3" s="151"/>
      <c r="BI3" s="151"/>
      <c r="BJ3" s="151"/>
      <c r="BK3" s="151"/>
      <c r="BL3" s="151"/>
      <c r="BM3" s="151"/>
      <c r="BN3" s="151"/>
      <c r="BO3" s="151"/>
      <c r="BP3" s="151"/>
      <c r="BQ3" s="151"/>
      <c r="BR3" s="151"/>
      <c r="BS3" s="151"/>
      <c r="BT3" s="151"/>
      <c r="BU3" s="151"/>
      <c r="BV3" s="151"/>
      <c r="BW3" s="151"/>
      <c r="BX3" s="151"/>
      <c r="BY3" s="151"/>
      <c r="BZ3" s="151"/>
      <c r="CA3" s="151"/>
      <c r="CB3" s="151"/>
      <c r="CC3" s="151"/>
      <c r="CD3" s="151"/>
      <c r="CE3" s="151"/>
      <c r="CF3" s="151"/>
      <c r="CG3" s="151"/>
      <c r="CH3" s="151"/>
    </row>
    <row r="4" ht="30.75" customHeight="1">
      <c r="A4" s="152" t="s">
        <v>39</v>
      </c>
      <c r="B4" s="153" t="s">
        <v>127</v>
      </c>
      <c r="M4" s="23"/>
      <c r="N4" s="154" t="s">
        <v>128</v>
      </c>
      <c r="O4" s="155" t="s">
        <v>129</v>
      </c>
      <c r="Y4" s="23"/>
      <c r="Z4" s="154" t="s">
        <v>130</v>
      </c>
      <c r="AA4" s="156"/>
      <c r="AB4" s="156"/>
      <c r="AC4" s="156"/>
      <c r="AD4" s="156"/>
      <c r="AE4" s="156"/>
      <c r="AF4" s="157" t="s">
        <v>131</v>
      </c>
      <c r="AG4" s="23"/>
      <c r="AH4" s="158"/>
      <c r="AI4" s="159"/>
      <c r="AJ4" s="156"/>
      <c r="AK4" s="156"/>
      <c r="AL4" s="152" t="s">
        <v>39</v>
      </c>
      <c r="AM4" s="156"/>
      <c r="AN4" s="156"/>
      <c r="AO4" s="156"/>
      <c r="AP4" s="156"/>
      <c r="AQ4" s="156"/>
      <c r="AR4" s="156"/>
      <c r="AS4" s="152" t="s">
        <v>39</v>
      </c>
      <c r="AT4" s="161"/>
      <c r="AU4" s="161"/>
      <c r="AV4" s="162" t="s">
        <v>132</v>
      </c>
      <c r="AW4" s="163"/>
      <c r="AX4" s="163"/>
      <c r="AY4" s="163"/>
      <c r="AZ4" s="164" t="s">
        <v>133</v>
      </c>
      <c r="BA4" s="163"/>
      <c r="BB4" s="163"/>
      <c r="BC4" s="163"/>
      <c r="BD4" s="163"/>
      <c r="BE4" s="163"/>
      <c r="BF4" s="163"/>
      <c r="BG4" s="163"/>
      <c r="BH4" s="163"/>
      <c r="BI4" s="163"/>
      <c r="BJ4" s="163"/>
      <c r="BK4" s="163"/>
      <c r="BL4" s="163"/>
      <c r="BM4" s="163"/>
      <c r="BN4" s="163"/>
      <c r="BO4" s="163"/>
      <c r="BP4" s="163"/>
      <c r="BQ4" s="163"/>
      <c r="BR4" s="163"/>
      <c r="BS4" s="163"/>
      <c r="BT4" s="163"/>
      <c r="BU4" s="163"/>
      <c r="BV4" s="163"/>
      <c r="BW4" s="163"/>
      <c r="BX4" s="163"/>
      <c r="BY4" s="163"/>
      <c r="BZ4" s="163"/>
      <c r="CA4" s="163"/>
      <c r="CB4" s="163"/>
      <c r="CC4" s="163"/>
      <c r="CD4" s="163"/>
      <c r="CE4" s="163"/>
      <c r="CF4" s="163"/>
      <c r="CG4" s="163"/>
      <c r="CH4" s="163"/>
    </row>
    <row r="5">
      <c r="A5" s="38"/>
      <c r="B5" s="515" t="s">
        <v>134</v>
      </c>
      <c r="M5" s="23"/>
      <c r="N5" s="23"/>
      <c r="O5" s="166" t="s">
        <v>135</v>
      </c>
      <c r="Y5" s="23"/>
      <c r="Z5" s="23"/>
      <c r="AA5" s="156"/>
      <c r="AB5" s="156"/>
      <c r="AC5" s="156"/>
      <c r="AD5" s="156"/>
      <c r="AE5" s="156"/>
      <c r="AF5" s="167" t="s">
        <v>136</v>
      </c>
      <c r="AG5" s="23"/>
      <c r="AH5" s="168"/>
      <c r="AI5" s="159"/>
      <c r="AJ5" s="156"/>
      <c r="AK5" s="156"/>
      <c r="AL5" s="38"/>
      <c r="AM5" s="156"/>
      <c r="AN5" s="156"/>
      <c r="AO5" s="156"/>
      <c r="AP5" s="156"/>
      <c r="AQ5" s="156"/>
      <c r="AR5" s="156"/>
      <c r="AS5" s="38"/>
      <c r="AT5" s="161"/>
      <c r="AU5" s="161"/>
      <c r="AV5" s="163"/>
      <c r="AW5" s="163" t="str">
        <f t="array" ref="AW5">TEXTJOIN(" | ", 1, A6:AT6)</f>
        <v>108 | ONLINE | ONLINE</v>
      </c>
      <c r="AX5" s="163"/>
      <c r="AY5" s="163"/>
      <c r="AZ5" s="163"/>
      <c r="BA5" s="163"/>
      <c r="BB5" s="163"/>
      <c r="BC5" s="163"/>
      <c r="BD5" s="163"/>
      <c r="BE5" s="163"/>
      <c r="BF5" s="163"/>
      <c r="BG5" s="163"/>
      <c r="BH5" s="163"/>
      <c r="BI5" s="163"/>
      <c r="BJ5" s="163"/>
      <c r="BK5" s="163"/>
      <c r="BL5" s="163"/>
      <c r="BM5" s="163"/>
      <c r="BN5" s="163"/>
      <c r="BO5" s="163"/>
      <c r="BP5" s="163"/>
      <c r="BQ5" s="163"/>
      <c r="BR5" s="163"/>
      <c r="BS5" s="163"/>
      <c r="BT5" s="163"/>
      <c r="BU5" s="163"/>
      <c r="BV5" s="163"/>
      <c r="BW5" s="163"/>
      <c r="BX5" s="163"/>
      <c r="BY5" s="163"/>
      <c r="BZ5" s="163"/>
      <c r="CA5" s="163"/>
      <c r="CB5" s="163"/>
      <c r="CC5" s="163"/>
      <c r="CD5" s="163"/>
      <c r="CE5" s="163"/>
      <c r="CF5" s="163"/>
      <c r="CG5" s="163"/>
      <c r="CH5" s="163"/>
    </row>
    <row r="6">
      <c r="A6" s="44"/>
      <c r="B6" s="170">
        <v>108.0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7"/>
      <c r="N6" s="47"/>
      <c r="O6" s="171" t="s">
        <v>137</v>
      </c>
      <c r="P6" s="46"/>
      <c r="Q6" s="46"/>
      <c r="R6" s="46"/>
      <c r="S6" s="46"/>
      <c r="T6" s="46"/>
      <c r="U6" s="46"/>
      <c r="V6" s="46"/>
      <c r="W6" s="46"/>
      <c r="X6" s="46"/>
      <c r="Y6" s="47"/>
      <c r="Z6" s="47"/>
      <c r="AA6" s="172"/>
      <c r="AB6" s="172"/>
      <c r="AC6" s="172"/>
      <c r="AD6" s="172"/>
      <c r="AE6" s="172"/>
      <c r="AF6" s="173" t="s">
        <v>137</v>
      </c>
      <c r="AG6" s="47"/>
      <c r="AH6" s="174"/>
      <c r="AI6" s="175"/>
      <c r="AJ6" s="172"/>
      <c r="AK6" s="172"/>
      <c r="AL6" s="44"/>
      <c r="AM6" s="172"/>
      <c r="AN6" s="172"/>
      <c r="AO6" s="172"/>
      <c r="AP6" s="172"/>
      <c r="AQ6" s="172"/>
      <c r="AR6" s="172"/>
      <c r="AS6" s="44"/>
      <c r="AT6" s="177"/>
      <c r="AU6" s="177"/>
      <c r="AV6" s="164" t="str">
        <f>IFERROR(__xludf.DUMMYFUNCTION("TEXTJOIN("" / "", TRUE, FILTER(TO_TEXT(SPLIT($AZ$4, "" / "")), NOT(REGEXMATCH(TO_TEXT(SPLIT($AZ$4, "" / "")), ""\b"" &amp; TEXTJOIN(""|"", TRUE, SPLIT(AW6, "" / "")) &amp; ""\b""))))"),"101 / 102 / 103 / 104 / 105 / 106 / 107 / 111 / 209 / 300 / 301 / 303 / 304 / 305 / 306 / 307 / 308 / 312 / 313 / 314 / 316 / 317 / 318 / 320 / 321 / 421 / 460 / 461")</f>
        <v>101 / 102 / 103 / 104 / 105 / 106 / 107 / 111 / 209 / 300 / 301 / 303 / 304 / 305 / 306 / 307 / 308 / 312 / 313 / 314 / 316 / 317 / 318 / 320 / 321 / 421 / 460 / 461</v>
      </c>
      <c r="AW6" s="178" t="str">
        <f>IFERROR(__xludf.DUMMYFUNCTION("TEXTJOIN("" / "", 1, SORT(UNIQUE(TRANSPOSE(SPLIT(TRIM(REGEXREPLACE(AW5,""([0-9]{3}[a-zA-Z]?)|."",""$1 "")), "" "")))))"),"108")</f>
        <v>108</v>
      </c>
      <c r="AX6" s="163"/>
      <c r="AY6" s="163"/>
      <c r="AZ6" s="163"/>
      <c r="BA6" s="163"/>
      <c r="BB6" s="163"/>
      <c r="BC6" s="163"/>
      <c r="BD6" s="163"/>
      <c r="BE6" s="163"/>
      <c r="BF6" s="163"/>
      <c r="BG6" s="163"/>
      <c r="BH6" s="163"/>
      <c r="BI6" s="163"/>
      <c r="BJ6" s="163"/>
      <c r="BK6" s="163"/>
      <c r="BL6" s="163"/>
      <c r="BM6" s="163"/>
      <c r="BN6" s="163"/>
      <c r="BO6" s="163"/>
      <c r="BP6" s="163"/>
      <c r="BQ6" s="163"/>
      <c r="BR6" s="163"/>
      <c r="BS6" s="163"/>
      <c r="BT6" s="163"/>
      <c r="BU6" s="163"/>
      <c r="BV6" s="163"/>
      <c r="BW6" s="163"/>
      <c r="BX6" s="163"/>
      <c r="BY6" s="163"/>
      <c r="BZ6" s="163"/>
      <c r="CA6" s="163"/>
      <c r="CB6" s="163"/>
      <c r="CC6" s="163"/>
      <c r="CD6" s="163"/>
      <c r="CE6" s="163"/>
      <c r="CF6" s="163"/>
      <c r="CG6" s="163"/>
      <c r="CH6" s="163"/>
    </row>
    <row r="7">
      <c r="A7" s="152" t="s">
        <v>49</v>
      </c>
      <c r="B7" s="153" t="s">
        <v>138</v>
      </c>
      <c r="M7" s="23"/>
      <c r="N7" s="154" t="s">
        <v>139</v>
      </c>
      <c r="O7" s="179" t="s">
        <v>140</v>
      </c>
      <c r="S7" s="23"/>
      <c r="T7" s="180" t="s">
        <v>141</v>
      </c>
      <c r="U7" s="23"/>
      <c r="V7" s="181" t="s">
        <v>142</v>
      </c>
      <c r="W7" s="23"/>
      <c r="X7" s="182" t="s">
        <v>143</v>
      </c>
      <c r="Y7" s="183" t="s">
        <v>144</v>
      </c>
      <c r="Z7" s="154" t="s">
        <v>145</v>
      </c>
      <c r="AA7" s="156"/>
      <c r="AB7" s="156"/>
      <c r="AC7" s="156"/>
      <c r="AD7" s="156"/>
      <c r="AE7" s="156"/>
      <c r="AF7" s="184" t="s">
        <v>146</v>
      </c>
      <c r="AG7" s="158"/>
      <c r="AH7" s="180" t="s">
        <v>141</v>
      </c>
      <c r="AI7" s="23"/>
      <c r="AJ7" s="185" t="s">
        <v>147</v>
      </c>
      <c r="AK7" s="158"/>
      <c r="AL7" s="152" t="s">
        <v>49</v>
      </c>
      <c r="AM7" s="156"/>
      <c r="AN7" s="156"/>
      <c r="AO7" s="156"/>
      <c r="AP7" s="156"/>
      <c r="AQ7" s="247" t="s">
        <v>265</v>
      </c>
      <c r="AR7" s="156"/>
      <c r="AS7" s="152" t="s">
        <v>49</v>
      </c>
      <c r="AT7" s="161"/>
      <c r="AU7" s="161"/>
      <c r="AW7" s="163"/>
      <c r="AX7" s="163"/>
      <c r="AY7" s="163"/>
      <c r="AZ7" s="163"/>
      <c r="BA7" s="163"/>
      <c r="BB7" s="163"/>
      <c r="BC7" s="163"/>
      <c r="BD7" s="163"/>
      <c r="BE7" s="163"/>
      <c r="BF7" s="163"/>
      <c r="BG7" s="163"/>
      <c r="BH7" s="163"/>
      <c r="BI7" s="163"/>
      <c r="BJ7" s="163"/>
      <c r="BK7" s="163"/>
      <c r="BL7" s="163"/>
      <c r="BM7" s="163"/>
      <c r="BN7" s="163"/>
      <c r="BO7" s="163"/>
      <c r="BP7" s="163"/>
      <c r="BQ7" s="163"/>
      <c r="BR7" s="163"/>
      <c r="BS7" s="163"/>
      <c r="BT7" s="163"/>
      <c r="BU7" s="163"/>
      <c r="BV7" s="163"/>
      <c r="BW7" s="163"/>
      <c r="BX7" s="163"/>
      <c r="BY7" s="163"/>
      <c r="BZ7" s="163"/>
      <c r="CA7" s="163"/>
      <c r="CB7" s="163"/>
      <c r="CC7" s="163"/>
      <c r="CD7" s="163"/>
      <c r="CE7" s="163"/>
      <c r="CF7" s="163"/>
      <c r="CG7" s="163"/>
      <c r="CH7" s="163"/>
    </row>
    <row r="8">
      <c r="A8" s="38"/>
      <c r="B8" s="515" t="s">
        <v>134</v>
      </c>
      <c r="M8" s="23"/>
      <c r="N8" s="23"/>
      <c r="O8" s="187" t="s">
        <v>79</v>
      </c>
      <c r="S8" s="23"/>
      <c r="T8" s="188" t="s">
        <v>45</v>
      </c>
      <c r="U8" s="23"/>
      <c r="V8" s="189" t="s">
        <v>149</v>
      </c>
      <c r="W8" s="23"/>
      <c r="X8" s="190" t="s">
        <v>150</v>
      </c>
      <c r="Y8" s="191" t="s">
        <v>151</v>
      </c>
      <c r="Z8" s="23"/>
      <c r="AA8" s="156"/>
      <c r="AB8" s="156"/>
      <c r="AC8" s="156"/>
      <c r="AD8" s="156"/>
      <c r="AE8" s="156"/>
      <c r="AF8" s="192" t="s">
        <v>152</v>
      </c>
      <c r="AG8" s="168"/>
      <c r="AH8" s="188" t="s">
        <v>45</v>
      </c>
      <c r="AI8" s="23"/>
      <c r="AJ8" s="193" t="s">
        <v>153</v>
      </c>
      <c r="AK8" s="154"/>
      <c r="AL8" s="38"/>
      <c r="AM8" s="156"/>
      <c r="AN8" s="156"/>
      <c r="AO8" s="156"/>
      <c r="AP8" s="156"/>
      <c r="AQ8" s="337" t="s">
        <v>272</v>
      </c>
      <c r="AR8" s="156"/>
      <c r="AS8" s="38"/>
      <c r="AT8" s="161"/>
      <c r="AU8" s="161"/>
      <c r="AV8" s="163"/>
      <c r="AW8" s="163" t="str">
        <f t="array" ref="AW8">TEXTJOIN(" | ", 1, A9:AT9)</f>
        <v>108 | 105 | 106 | ONLINE | 103 | 321 | 209 | 106 STARTS AT 10:50 | 111 EXCEPT 17/02 | ONLINE ON 10/02, 17/02, 03/03, 10/03 STARTS AT 11:00 TILL 12:30</v>
      </c>
      <c r="AX8" s="163"/>
      <c r="AY8" s="163"/>
      <c r="AZ8" s="163"/>
      <c r="BA8" s="163"/>
      <c r="BB8" s="163"/>
      <c r="BC8" s="163"/>
      <c r="BD8" s="163"/>
      <c r="BE8" s="163"/>
      <c r="BF8" s="163"/>
      <c r="BG8" s="163"/>
      <c r="BH8" s="163"/>
      <c r="BI8" s="163"/>
      <c r="BJ8" s="163"/>
      <c r="BK8" s="163"/>
      <c r="BL8" s="163"/>
      <c r="BM8" s="163"/>
      <c r="BN8" s="163"/>
      <c r="BO8" s="163"/>
      <c r="BP8" s="163"/>
      <c r="BQ8" s="163"/>
      <c r="BR8" s="163"/>
      <c r="BS8" s="163"/>
      <c r="BT8" s="163"/>
      <c r="BU8" s="163"/>
      <c r="BV8" s="163"/>
      <c r="BW8" s="163"/>
      <c r="BX8" s="163"/>
      <c r="BY8" s="163"/>
      <c r="BZ8" s="163"/>
      <c r="CA8" s="163"/>
      <c r="CB8" s="163"/>
      <c r="CC8" s="163"/>
      <c r="CD8" s="163"/>
      <c r="CE8" s="163"/>
      <c r="CF8" s="163"/>
      <c r="CG8" s="163"/>
      <c r="CH8" s="163"/>
    </row>
    <row r="9">
      <c r="A9" s="44"/>
      <c r="B9" s="195">
        <v>108.0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7"/>
      <c r="N9" s="47"/>
      <c r="O9" s="196">
        <v>105.0</v>
      </c>
      <c r="P9" s="46"/>
      <c r="Q9" s="46"/>
      <c r="R9" s="46"/>
      <c r="S9" s="47"/>
      <c r="T9" s="197">
        <v>106.0</v>
      </c>
      <c r="U9" s="47"/>
      <c r="V9" s="198" t="s">
        <v>137</v>
      </c>
      <c r="W9" s="47"/>
      <c r="X9" s="199">
        <v>103.0</v>
      </c>
      <c r="Y9" s="200">
        <v>321.0</v>
      </c>
      <c r="Z9" s="47"/>
      <c r="AA9" s="172"/>
      <c r="AB9" s="172"/>
      <c r="AC9" s="172"/>
      <c r="AD9" s="172"/>
      <c r="AE9" s="172"/>
      <c r="AF9" s="201">
        <v>209.0</v>
      </c>
      <c r="AG9" s="202"/>
      <c r="AH9" s="203" t="s">
        <v>155</v>
      </c>
      <c r="AI9" s="47"/>
      <c r="AJ9" s="204" t="s">
        <v>516</v>
      </c>
      <c r="AK9" s="174"/>
      <c r="AL9" s="44"/>
      <c r="AM9" s="172"/>
      <c r="AN9" s="172"/>
      <c r="AO9" s="172"/>
      <c r="AP9" s="172"/>
      <c r="AQ9" s="344" t="s">
        <v>517</v>
      </c>
      <c r="AR9" s="172"/>
      <c r="AS9" s="44"/>
      <c r="AT9" s="177"/>
      <c r="AU9" s="177"/>
      <c r="AV9" s="164" t="str">
        <f>IFERROR(__xludf.DUMMYFUNCTION("TEXTJOIN("" / "", TRUE, FILTER(TO_TEXT(SPLIT($AZ$4, "" / "")), NOT(REGEXMATCH(TO_TEXT(SPLIT($AZ$4, "" / "")), ""\b"" &amp; TEXTJOIN(""|"", TRUE, SPLIT(AW9, "" / "")) &amp; ""\b""))))"),"101 / 102 / 104 / 107 / 300 / 301 / 303 / 304 / 305 / 306 / 307 / 308 / 312 / 313 / 314 / 316 / 317 / 318 / 320 / 421 / 460 / 461")</f>
        <v>101 / 102 / 104 / 107 / 300 / 301 / 303 / 304 / 305 / 306 / 307 / 308 / 312 / 313 / 314 / 316 / 317 / 318 / 320 / 421 / 460 / 461</v>
      </c>
      <c r="AW9" s="178" t="str">
        <f>IFERROR(__xludf.DUMMYFUNCTION("TEXTJOIN("" / "", 1, SORT(UNIQUE(TRANSPOSE(SPLIT(TRIM(REGEXREPLACE(AW8,""([0-9]{3}[a-zA-Z]?)|."",""$1 "")), "" "")))))"),"103 / 105 / 106 / 108 / 111 / 209 / 321")</f>
        <v>103 / 105 / 106 / 108 / 111 / 209 / 321</v>
      </c>
      <c r="AX9" s="163"/>
      <c r="AY9" s="163"/>
      <c r="AZ9" s="163"/>
      <c r="BA9" s="163"/>
      <c r="BB9" s="163"/>
      <c r="BC9" s="163"/>
      <c r="BD9" s="163"/>
      <c r="BE9" s="163"/>
      <c r="BF9" s="163"/>
      <c r="BG9" s="163"/>
      <c r="BH9" s="163"/>
      <c r="BI9" s="163"/>
      <c r="BJ9" s="163"/>
      <c r="BK9" s="163"/>
      <c r="BL9" s="163"/>
      <c r="BM9" s="163"/>
      <c r="BN9" s="163"/>
      <c r="BO9" s="163"/>
      <c r="BP9" s="163"/>
      <c r="BQ9" s="163"/>
      <c r="BR9" s="163"/>
      <c r="BS9" s="163"/>
      <c r="BT9" s="163"/>
      <c r="BU9" s="163"/>
      <c r="BV9" s="163"/>
      <c r="BW9" s="163"/>
      <c r="BX9" s="163"/>
      <c r="BY9" s="163"/>
      <c r="BZ9" s="163"/>
      <c r="CA9" s="163"/>
      <c r="CB9" s="163"/>
      <c r="CC9" s="163"/>
      <c r="CD9" s="163"/>
      <c r="CE9" s="163"/>
      <c r="CF9" s="163"/>
      <c r="CG9" s="163"/>
      <c r="CH9" s="163"/>
    </row>
    <row r="10">
      <c r="A10" s="152" t="s">
        <v>51</v>
      </c>
      <c r="B10" s="207" t="s">
        <v>156</v>
      </c>
      <c r="C10" s="208" t="s">
        <v>157</v>
      </c>
      <c r="D10" s="207" t="s">
        <v>156</v>
      </c>
      <c r="E10" s="208" t="s">
        <v>157</v>
      </c>
      <c r="F10" s="208" t="s">
        <v>157</v>
      </c>
      <c r="G10" s="208" t="s">
        <v>157</v>
      </c>
      <c r="H10" s="207" t="s">
        <v>156</v>
      </c>
      <c r="I10" s="208" t="s">
        <v>157</v>
      </c>
      <c r="J10" s="207" t="s">
        <v>156</v>
      </c>
      <c r="K10" s="208" t="s">
        <v>157</v>
      </c>
      <c r="L10" s="63"/>
      <c r="M10" s="208" t="s">
        <v>157</v>
      </c>
      <c r="N10" s="154" t="s">
        <v>158</v>
      </c>
      <c r="O10" s="209" t="s">
        <v>159</v>
      </c>
      <c r="S10" s="23"/>
      <c r="T10" s="159"/>
      <c r="U10" s="210" t="s">
        <v>160</v>
      </c>
      <c r="V10" s="209" t="s">
        <v>159</v>
      </c>
      <c r="W10" s="23"/>
      <c r="X10" s="156"/>
      <c r="Y10" s="183" t="s">
        <v>161</v>
      </c>
      <c r="Z10" s="154" t="s">
        <v>162</v>
      </c>
      <c r="AA10" s="179" t="s">
        <v>163</v>
      </c>
      <c r="AC10" s="23"/>
      <c r="AD10" s="156"/>
      <c r="AE10" s="156"/>
      <c r="AF10" s="159"/>
      <c r="AG10" s="184" t="s">
        <v>146</v>
      </c>
      <c r="AH10" s="210" t="s">
        <v>160</v>
      </c>
      <c r="AI10" s="159"/>
      <c r="AJ10" s="185" t="s">
        <v>164</v>
      </c>
      <c r="AK10" s="156"/>
      <c r="AL10" s="152" t="s">
        <v>51</v>
      </c>
      <c r="AM10" s="156"/>
      <c r="AN10" s="156"/>
      <c r="AO10" s="156"/>
      <c r="AP10" s="156"/>
      <c r="AQ10" s="247" t="s">
        <v>265</v>
      </c>
      <c r="AR10" s="156"/>
      <c r="AS10" s="152" t="s">
        <v>51</v>
      </c>
      <c r="AT10" s="211"/>
      <c r="AU10" s="211"/>
      <c r="AV10" s="163"/>
      <c r="AW10" s="163"/>
      <c r="AX10" s="163"/>
      <c r="AY10" s="163"/>
      <c r="AZ10" s="163"/>
      <c r="BA10" s="163"/>
      <c r="BB10" s="163"/>
      <c r="BC10" s="163"/>
      <c r="BD10" s="163"/>
      <c r="BE10" s="163"/>
      <c r="BF10" s="163"/>
      <c r="BG10" s="163"/>
      <c r="BH10" s="163"/>
      <c r="BI10" s="163"/>
      <c r="BJ10" s="163"/>
      <c r="BK10" s="163"/>
      <c r="BL10" s="163"/>
      <c r="BM10" s="163"/>
      <c r="BN10" s="163"/>
      <c r="BO10" s="163"/>
      <c r="BP10" s="163"/>
      <c r="BQ10" s="163"/>
      <c r="BR10" s="163"/>
      <c r="BS10" s="163"/>
      <c r="BT10" s="163"/>
      <c r="BU10" s="163"/>
      <c r="BV10" s="163"/>
      <c r="BW10" s="163"/>
      <c r="BX10" s="163"/>
      <c r="BY10" s="163"/>
      <c r="BZ10" s="163"/>
      <c r="CA10" s="163"/>
      <c r="CB10" s="163"/>
      <c r="CC10" s="163"/>
      <c r="CD10" s="163"/>
      <c r="CE10" s="163"/>
      <c r="CF10" s="163"/>
      <c r="CG10" s="163"/>
      <c r="CH10" s="163"/>
    </row>
    <row r="11">
      <c r="A11" s="38"/>
      <c r="B11" s="212" t="s">
        <v>54</v>
      </c>
      <c r="C11" s="213" t="s">
        <v>165</v>
      </c>
      <c r="D11" s="212" t="s">
        <v>166</v>
      </c>
      <c r="E11" s="213" t="s">
        <v>165</v>
      </c>
      <c r="F11" s="213" t="s">
        <v>165</v>
      </c>
      <c r="G11" s="213" t="s">
        <v>165</v>
      </c>
      <c r="H11" s="214" t="s">
        <v>167</v>
      </c>
      <c r="I11" s="213" t="s">
        <v>165</v>
      </c>
      <c r="J11" s="212" t="s">
        <v>168</v>
      </c>
      <c r="K11" s="213" t="s">
        <v>165</v>
      </c>
      <c r="L11" s="69"/>
      <c r="M11" s="213" t="s">
        <v>165</v>
      </c>
      <c r="N11" s="23"/>
      <c r="O11" s="215" t="s">
        <v>169</v>
      </c>
      <c r="S11" s="23"/>
      <c r="T11" s="159"/>
      <c r="U11" s="216" t="s">
        <v>170</v>
      </c>
      <c r="V11" s="215" t="s">
        <v>169</v>
      </c>
      <c r="W11" s="23"/>
      <c r="X11" s="156"/>
      <c r="Y11" s="217" t="s">
        <v>151</v>
      </c>
      <c r="Z11" s="23"/>
      <c r="AA11" s="218" t="s">
        <v>134</v>
      </c>
      <c r="AC11" s="23"/>
      <c r="AD11" s="156"/>
      <c r="AE11" s="156"/>
      <c r="AF11" s="159"/>
      <c r="AG11" s="192" t="s">
        <v>152</v>
      </c>
      <c r="AH11" s="216" t="s">
        <v>150</v>
      </c>
      <c r="AI11" s="159"/>
      <c r="AJ11" s="219" t="s">
        <v>153</v>
      </c>
      <c r="AK11" s="156"/>
      <c r="AL11" s="38"/>
      <c r="AM11" s="156"/>
      <c r="AN11" s="156"/>
      <c r="AO11" s="156"/>
      <c r="AP11" s="156"/>
      <c r="AQ11" s="337" t="s">
        <v>272</v>
      </c>
      <c r="AR11" s="156"/>
      <c r="AS11" s="38"/>
      <c r="AT11" s="211"/>
      <c r="AU11" s="211"/>
      <c r="AV11" s="163"/>
      <c r="AW11" s="163" t="str">
        <f t="array" ref="AW11">TEXTJOIN(" | ", 1, A12:AT12)</f>
        <v>308 | 103/104/301/304/305/306/317/421 | 300 | 103/104/301/304/305/306/317/421 | 103/104/301/304/305/306/317/421 | 103/104/301/304/305/306/317/421 | 303 | 103/104/301/304/305/306/317/421 | 101 | 103/104/301/304/305/306/317/421 | 103/104/301/304/305/306/317/421 | 108 | 320 | 108 | 321 | 106 | 209 | 461 | 111 EXCEPT 17/02 | ONLINE ON 10/02, 17/02, 03/03, 10/03 STARTS AT 12:30 TILL 14:00</v>
      </c>
      <c r="AX11" s="163"/>
      <c r="AY11" s="163"/>
      <c r="AZ11" s="163"/>
      <c r="BA11" s="163"/>
      <c r="BB11" s="163"/>
      <c r="BC11" s="163"/>
      <c r="BD11" s="163"/>
      <c r="BE11" s="163"/>
      <c r="BF11" s="163"/>
      <c r="BG11" s="163"/>
      <c r="BH11" s="163"/>
      <c r="BI11" s="163"/>
      <c r="BJ11" s="163"/>
      <c r="BK11" s="163"/>
      <c r="BL11" s="163"/>
      <c r="BM11" s="163"/>
      <c r="BN11" s="163"/>
      <c r="BO11" s="163"/>
      <c r="BP11" s="163"/>
      <c r="BQ11" s="163"/>
      <c r="BR11" s="163"/>
      <c r="BS11" s="163"/>
      <c r="BT11" s="163"/>
      <c r="BU11" s="163"/>
      <c r="BV11" s="163"/>
      <c r="BW11" s="163"/>
      <c r="BX11" s="163"/>
      <c r="BY11" s="163"/>
      <c r="BZ11" s="163"/>
      <c r="CA11" s="163"/>
      <c r="CB11" s="163"/>
      <c r="CC11" s="163"/>
      <c r="CD11" s="163"/>
      <c r="CE11" s="163"/>
      <c r="CF11" s="163"/>
      <c r="CG11" s="163"/>
      <c r="CH11" s="163"/>
    </row>
    <row r="12">
      <c r="A12" s="44"/>
      <c r="B12" s="222">
        <v>308.0</v>
      </c>
      <c r="C12" s="221" t="s">
        <v>518</v>
      </c>
      <c r="D12" s="222">
        <v>300.0</v>
      </c>
      <c r="E12" s="221" t="s">
        <v>518</v>
      </c>
      <c r="F12" s="221" t="s">
        <v>518</v>
      </c>
      <c r="G12" s="221" t="s">
        <v>518</v>
      </c>
      <c r="H12" s="222">
        <v>303.0</v>
      </c>
      <c r="I12" s="221" t="s">
        <v>518</v>
      </c>
      <c r="J12" s="222">
        <v>101.0</v>
      </c>
      <c r="K12" s="221" t="s">
        <v>518</v>
      </c>
      <c r="L12" s="76"/>
      <c r="M12" s="221" t="s">
        <v>518</v>
      </c>
      <c r="N12" s="47"/>
      <c r="O12" s="223">
        <v>108.0</v>
      </c>
      <c r="P12" s="46"/>
      <c r="Q12" s="46"/>
      <c r="R12" s="46"/>
      <c r="S12" s="47"/>
      <c r="T12" s="175"/>
      <c r="U12" s="224">
        <v>320.0</v>
      </c>
      <c r="V12" s="223">
        <v>108.0</v>
      </c>
      <c r="W12" s="47"/>
      <c r="X12" s="172"/>
      <c r="Y12" s="200">
        <v>321.0</v>
      </c>
      <c r="Z12" s="47"/>
      <c r="AA12" s="225">
        <v>106.0</v>
      </c>
      <c r="AB12" s="46"/>
      <c r="AC12" s="47"/>
      <c r="AD12" s="172"/>
      <c r="AE12" s="172"/>
      <c r="AF12" s="175"/>
      <c r="AG12" s="201">
        <v>209.0</v>
      </c>
      <c r="AH12" s="224">
        <v>461.0</v>
      </c>
      <c r="AI12" s="175"/>
      <c r="AJ12" s="204" t="s">
        <v>516</v>
      </c>
      <c r="AK12" s="172"/>
      <c r="AL12" s="44"/>
      <c r="AM12" s="172"/>
      <c r="AN12" s="172"/>
      <c r="AO12" s="172"/>
      <c r="AP12" s="172"/>
      <c r="AQ12" s="344" t="s">
        <v>519</v>
      </c>
      <c r="AR12" s="172"/>
      <c r="AS12" s="44"/>
      <c r="AT12" s="226"/>
      <c r="AU12" s="226"/>
      <c r="AV12" s="164" t="str">
        <f>IFERROR(__xludf.DUMMYFUNCTION("TEXTJOIN("" / "", TRUE, FILTER(TO_TEXT(SPLIT($AZ$4, "" / "")), NOT(REGEXMATCH(TO_TEXT(SPLIT($AZ$4, "" / "")), ""\b"" &amp; TEXTJOIN(""|"", TRUE, SPLIT(AW12, "" / "")) &amp; ""\b""))))"),"102 / 105 / 107 / 307 / 312 / 313 / 314 / 316 / 318 / 460")</f>
        <v>102 / 105 / 107 / 307 / 312 / 313 / 314 / 316 / 318 / 460</v>
      </c>
      <c r="AW12" s="178" t="str">
        <f>IFERROR(__xludf.DUMMYFUNCTION("TEXTJOIN("" / "", 1, SORT(UNIQUE(TRANSPOSE(SPLIT(TRIM(REGEXREPLACE(AW11,""([0-9]{3}[a-zA-Z]?)|."",""$1 "")), "" "")))))"),"101 / 103 / 104 / 106 / 108 / 111 / 209 / 300 / 301 / 303 / 304 / 305 / 306 / 308 / 317 / 320 / 321 / 421 / 461")</f>
        <v>101 / 103 / 104 / 106 / 108 / 111 / 209 / 300 / 301 / 303 / 304 / 305 / 306 / 308 / 317 / 320 / 321 / 421 / 461</v>
      </c>
      <c r="AX12" s="163"/>
      <c r="AY12" s="163"/>
      <c r="AZ12" s="163"/>
      <c r="BA12" s="163"/>
      <c r="BB12" s="163"/>
      <c r="BC12" s="163"/>
      <c r="BD12" s="163"/>
      <c r="BE12" s="163"/>
      <c r="BF12" s="163"/>
      <c r="BG12" s="163"/>
      <c r="BH12" s="163"/>
      <c r="BI12" s="163"/>
      <c r="BJ12" s="163"/>
      <c r="BK12" s="163"/>
      <c r="BL12" s="163"/>
      <c r="BM12" s="163"/>
      <c r="BN12" s="163"/>
      <c r="BO12" s="163"/>
      <c r="BP12" s="163"/>
      <c r="BQ12" s="163"/>
      <c r="BR12" s="163"/>
      <c r="BS12" s="163"/>
      <c r="BT12" s="163"/>
      <c r="BU12" s="163"/>
      <c r="BV12" s="163"/>
      <c r="BW12" s="163"/>
      <c r="BX12" s="163"/>
      <c r="BY12" s="163"/>
      <c r="BZ12" s="163"/>
      <c r="CA12" s="163"/>
      <c r="CB12" s="163"/>
      <c r="CC12" s="163"/>
      <c r="CD12" s="163"/>
      <c r="CE12" s="163"/>
      <c r="CF12" s="163"/>
      <c r="CG12" s="163"/>
      <c r="CH12" s="163"/>
    </row>
    <row r="13">
      <c r="A13" s="152" t="s">
        <v>59</v>
      </c>
      <c r="B13" s="208" t="s">
        <v>157</v>
      </c>
      <c r="C13" s="208" t="s">
        <v>157</v>
      </c>
      <c r="D13" s="208" t="s">
        <v>157</v>
      </c>
      <c r="E13" s="207" t="s">
        <v>156</v>
      </c>
      <c r="F13" s="208" t="s">
        <v>157</v>
      </c>
      <c r="G13" s="207" t="s">
        <v>156</v>
      </c>
      <c r="H13" s="208" t="s">
        <v>157</v>
      </c>
      <c r="I13" s="207" t="s">
        <v>156</v>
      </c>
      <c r="J13" s="208" t="s">
        <v>157</v>
      </c>
      <c r="K13" s="207" t="s">
        <v>156</v>
      </c>
      <c r="L13" s="208" t="s">
        <v>157</v>
      </c>
      <c r="M13" s="208" t="s">
        <v>157</v>
      </c>
      <c r="N13" s="154" t="s">
        <v>172</v>
      </c>
      <c r="O13" s="227"/>
      <c r="P13" s="156"/>
      <c r="Q13" s="156"/>
      <c r="R13" s="228"/>
      <c r="S13" s="227"/>
      <c r="T13" s="229" t="s">
        <v>160</v>
      </c>
      <c r="U13" s="230"/>
      <c r="V13" s="227"/>
      <c r="W13" s="227"/>
      <c r="X13" s="156"/>
      <c r="Y13" s="183" t="s">
        <v>173</v>
      </c>
      <c r="Z13" s="154" t="s">
        <v>174</v>
      </c>
      <c r="AA13" s="231" t="s">
        <v>175</v>
      </c>
      <c r="AB13" s="231" t="s">
        <v>175</v>
      </c>
      <c r="AC13" s="156"/>
      <c r="AD13" s="156"/>
      <c r="AE13" s="156"/>
      <c r="AF13" s="159"/>
      <c r="AG13" s="159"/>
      <c r="AH13" s="159"/>
      <c r="AI13" s="210" t="s">
        <v>160</v>
      </c>
      <c r="AJ13" s="156"/>
      <c r="AK13" s="156"/>
      <c r="AL13" s="152" t="s">
        <v>59</v>
      </c>
      <c r="AM13" s="156"/>
      <c r="AN13" s="156"/>
      <c r="AO13" s="156"/>
      <c r="AP13" s="232"/>
      <c r="AQ13" s="156"/>
      <c r="AR13" s="156"/>
      <c r="AS13" s="152" t="s">
        <v>59</v>
      </c>
      <c r="AT13" s="211"/>
      <c r="AU13" s="211"/>
      <c r="AV13" s="163"/>
      <c r="AW13" s="163"/>
      <c r="AX13" s="163"/>
      <c r="AY13" s="163"/>
      <c r="AZ13" s="163"/>
      <c r="BA13" s="163"/>
      <c r="BB13" s="163"/>
      <c r="BC13" s="163"/>
      <c r="BD13" s="163"/>
      <c r="BE13" s="163"/>
      <c r="BF13" s="163"/>
      <c r="BG13" s="163"/>
      <c r="BH13" s="163"/>
      <c r="BI13" s="163"/>
      <c r="BJ13" s="163"/>
      <c r="BK13" s="163"/>
      <c r="BL13" s="163"/>
      <c r="BM13" s="163"/>
      <c r="BN13" s="163"/>
      <c r="BO13" s="163"/>
      <c r="BP13" s="163"/>
      <c r="BQ13" s="163"/>
      <c r="BR13" s="163"/>
      <c r="BS13" s="163"/>
      <c r="BT13" s="163"/>
      <c r="BU13" s="163"/>
      <c r="BV13" s="163"/>
      <c r="BW13" s="163"/>
      <c r="BX13" s="163"/>
      <c r="BY13" s="163"/>
      <c r="BZ13" s="163"/>
      <c r="CA13" s="163"/>
      <c r="CB13" s="163"/>
      <c r="CC13" s="163"/>
      <c r="CD13" s="163"/>
      <c r="CE13" s="163"/>
      <c r="CF13" s="163"/>
      <c r="CG13" s="163"/>
      <c r="CH13" s="163"/>
    </row>
    <row r="14">
      <c r="A14" s="38"/>
      <c r="B14" s="213" t="s">
        <v>165</v>
      </c>
      <c r="C14" s="213" t="s">
        <v>165</v>
      </c>
      <c r="D14" s="213" t="s">
        <v>165</v>
      </c>
      <c r="E14" s="212" t="s">
        <v>166</v>
      </c>
      <c r="F14" s="213" t="s">
        <v>165</v>
      </c>
      <c r="G14" s="214" t="s">
        <v>167</v>
      </c>
      <c r="H14" s="213" t="s">
        <v>165</v>
      </c>
      <c r="I14" s="212" t="s">
        <v>54</v>
      </c>
      <c r="J14" s="213" t="s">
        <v>165</v>
      </c>
      <c r="K14" s="212" t="s">
        <v>168</v>
      </c>
      <c r="L14" s="213" t="s">
        <v>165</v>
      </c>
      <c r="M14" s="213" t="s">
        <v>165</v>
      </c>
      <c r="N14" s="23"/>
      <c r="O14" s="234"/>
      <c r="P14" s="156"/>
      <c r="Q14" s="156"/>
      <c r="R14" s="161"/>
      <c r="S14" s="234"/>
      <c r="T14" s="216" t="s">
        <v>170</v>
      </c>
      <c r="U14" s="230"/>
      <c r="V14" s="234"/>
      <c r="W14" s="234"/>
      <c r="X14" s="156"/>
      <c r="Y14" s="217" t="s">
        <v>151</v>
      </c>
      <c r="Z14" s="23"/>
      <c r="AA14" s="235" t="s">
        <v>178</v>
      </c>
      <c r="AB14" s="236" t="s">
        <v>179</v>
      </c>
      <c r="AC14" s="156"/>
      <c r="AD14" s="156"/>
      <c r="AE14" s="156"/>
      <c r="AF14" s="159"/>
      <c r="AG14" s="159"/>
      <c r="AH14" s="159"/>
      <c r="AI14" s="216" t="s">
        <v>150</v>
      </c>
      <c r="AJ14" s="156"/>
      <c r="AK14" s="156"/>
      <c r="AL14" s="38"/>
      <c r="AM14" s="156"/>
      <c r="AN14" s="156"/>
      <c r="AO14" s="156"/>
      <c r="AP14" s="237"/>
      <c r="AQ14" s="156"/>
      <c r="AR14" s="156"/>
      <c r="AS14" s="38"/>
      <c r="AT14" s="211"/>
      <c r="AU14" s="211"/>
      <c r="AV14" s="163"/>
      <c r="AW14" s="163" t="str">
        <f t="array" ref="AW14">TEXTJOIN(" | ", 1, A15:AT15)</f>
        <v>103/104/301/304/305/306/317/421 | 103/104/301/304/305/306/317/421 | 103/104/301/304/305/306/317/421 | 300 | 103/104/301/304/305/306/317/421 | 303 | 103/104/301/304/305/306/317/421 | 308 | 103/104/301/304/305/306/317/421 | 101 | 103/104/301/304/305/306/317/421 | 103/104/301/304/305/306/317/421 | 320 | 321 | 314 | 318 | 461</v>
      </c>
      <c r="AX14" s="163"/>
      <c r="AY14" s="163"/>
      <c r="AZ14" s="163"/>
      <c r="BA14" s="163"/>
      <c r="BB14" s="163"/>
      <c r="BC14" s="163"/>
      <c r="BD14" s="163"/>
      <c r="BE14" s="163"/>
      <c r="BF14" s="163"/>
      <c r="BG14" s="163"/>
      <c r="BH14" s="163"/>
      <c r="BI14" s="163"/>
      <c r="BJ14" s="163"/>
      <c r="BK14" s="163"/>
      <c r="BL14" s="163"/>
      <c r="BM14" s="163"/>
      <c r="BN14" s="163"/>
      <c r="BO14" s="163"/>
      <c r="BP14" s="163"/>
      <c r="BQ14" s="163"/>
      <c r="BR14" s="163"/>
      <c r="BS14" s="163"/>
      <c r="BT14" s="163"/>
      <c r="BU14" s="163"/>
      <c r="BV14" s="163"/>
      <c r="BW14" s="163"/>
      <c r="BX14" s="163"/>
      <c r="BY14" s="163"/>
      <c r="BZ14" s="163"/>
      <c r="CA14" s="163"/>
      <c r="CB14" s="163"/>
      <c r="CC14" s="163"/>
      <c r="CD14" s="163"/>
      <c r="CE14" s="163"/>
      <c r="CF14" s="163"/>
      <c r="CG14" s="163"/>
      <c r="CH14" s="163"/>
    </row>
    <row r="15">
      <c r="A15" s="44"/>
      <c r="B15" s="221" t="s">
        <v>518</v>
      </c>
      <c r="C15" s="221" t="s">
        <v>518</v>
      </c>
      <c r="D15" s="221" t="s">
        <v>518</v>
      </c>
      <c r="E15" s="222">
        <v>300.0</v>
      </c>
      <c r="F15" s="221" t="s">
        <v>518</v>
      </c>
      <c r="G15" s="222">
        <v>303.0</v>
      </c>
      <c r="H15" s="221" t="s">
        <v>518</v>
      </c>
      <c r="I15" s="222">
        <v>308.0</v>
      </c>
      <c r="J15" s="221" t="s">
        <v>518</v>
      </c>
      <c r="K15" s="222">
        <v>101.0</v>
      </c>
      <c r="L15" s="221" t="s">
        <v>518</v>
      </c>
      <c r="M15" s="221" t="s">
        <v>518</v>
      </c>
      <c r="N15" s="47"/>
      <c r="O15" s="240"/>
      <c r="P15" s="172"/>
      <c r="Q15" s="241"/>
      <c r="R15" s="242"/>
      <c r="S15" s="240"/>
      <c r="T15" s="224">
        <v>320.0</v>
      </c>
      <c r="U15" s="243"/>
      <c r="V15" s="240"/>
      <c r="W15" s="240"/>
      <c r="X15" s="172"/>
      <c r="Y15" s="200">
        <v>321.0</v>
      </c>
      <c r="Z15" s="47"/>
      <c r="AA15" s="244">
        <v>314.0</v>
      </c>
      <c r="AB15" s="244">
        <v>318.0</v>
      </c>
      <c r="AC15" s="172"/>
      <c r="AD15" s="172"/>
      <c r="AE15" s="172"/>
      <c r="AF15" s="175"/>
      <c r="AG15" s="175"/>
      <c r="AH15" s="175"/>
      <c r="AI15" s="224">
        <v>461.0</v>
      </c>
      <c r="AJ15" s="172"/>
      <c r="AK15" s="172"/>
      <c r="AL15" s="44"/>
      <c r="AM15" s="172"/>
      <c r="AN15" s="172"/>
      <c r="AO15" s="172"/>
      <c r="AP15" s="245"/>
      <c r="AQ15" s="172"/>
      <c r="AR15" s="172"/>
      <c r="AS15" s="44"/>
      <c r="AT15" s="226"/>
      <c r="AU15" s="226"/>
      <c r="AV15" s="164" t="str">
        <f>IFERROR(__xludf.DUMMYFUNCTION("TEXTJOIN("" / "", TRUE, FILTER(TO_TEXT(SPLIT($AZ$4, "" / "")), NOT(REGEXMATCH(TO_TEXT(SPLIT($AZ$4, "" / "")), ""\b"" &amp; TEXTJOIN(""|"", TRUE, SPLIT(AW15, "" / "")) &amp; ""\b""))))"),"102 / 105 / 106 / 107 / 108 / 111 / 209 / 307 / 312 / 313 / 316 / 460")</f>
        <v>102 / 105 / 106 / 107 / 108 / 111 / 209 / 307 / 312 / 313 / 316 / 460</v>
      </c>
      <c r="AW15" s="178" t="str">
        <f>IFERROR(__xludf.DUMMYFUNCTION("TEXTJOIN("" / "", 1, SORT(UNIQUE(TRANSPOSE(SPLIT(TRIM(REGEXREPLACE(AW14,""([0-9]{3}[a-zA-Z]?)|."",""$1 "")), "" "")))))"),"101 / 103 / 104 / 300 / 301 / 303 / 304 / 305 / 306 / 308 / 314 / 317 / 318 / 320 / 321 / 421 / 461")</f>
        <v>101 / 103 / 104 / 300 / 301 / 303 / 304 / 305 / 306 / 308 / 314 / 317 / 318 / 320 / 321 / 421 / 461</v>
      </c>
      <c r="AX15" s="164"/>
      <c r="AY15" s="164"/>
      <c r="AZ15" s="164"/>
      <c r="BA15" s="164"/>
      <c r="BB15" s="164"/>
      <c r="BC15" s="164"/>
      <c r="BD15" s="164"/>
      <c r="BE15" s="164"/>
      <c r="BF15" s="164"/>
      <c r="BG15" s="164"/>
      <c r="BH15" s="164"/>
      <c r="BI15" s="164"/>
      <c r="BJ15" s="164"/>
      <c r="BK15" s="164"/>
      <c r="BL15" s="164"/>
      <c r="BM15" s="164"/>
      <c r="BN15" s="164"/>
      <c r="BO15" s="164"/>
      <c r="BP15" s="164"/>
      <c r="BQ15" s="164"/>
      <c r="BR15" s="164"/>
      <c r="BS15" s="164"/>
      <c r="BT15" s="164"/>
      <c r="BU15" s="164"/>
      <c r="BV15" s="164"/>
      <c r="BW15" s="164"/>
      <c r="BX15" s="164"/>
      <c r="BY15" s="164"/>
      <c r="BZ15" s="164"/>
      <c r="CA15" s="164"/>
      <c r="CB15" s="164"/>
      <c r="CC15" s="164"/>
      <c r="CD15" s="164"/>
      <c r="CE15" s="164"/>
      <c r="CF15" s="164"/>
      <c r="CG15" s="164"/>
      <c r="CH15" s="164"/>
    </row>
    <row r="16">
      <c r="A16" s="152" t="s">
        <v>64</v>
      </c>
      <c r="B16" s="208" t="s">
        <v>157</v>
      </c>
      <c r="C16" s="207" t="s">
        <v>156</v>
      </c>
      <c r="D16" s="208" t="s">
        <v>157</v>
      </c>
      <c r="E16" s="208" t="s">
        <v>157</v>
      </c>
      <c r="F16" s="207" t="s">
        <v>156</v>
      </c>
      <c r="G16" s="208" t="s">
        <v>157</v>
      </c>
      <c r="H16" s="208" t="s">
        <v>157</v>
      </c>
      <c r="I16" s="208" t="s">
        <v>157</v>
      </c>
      <c r="J16" s="208" t="s">
        <v>157</v>
      </c>
      <c r="K16" s="208" t="s">
        <v>157</v>
      </c>
      <c r="L16" s="208" t="s">
        <v>157</v>
      </c>
      <c r="M16" s="207" t="s">
        <v>156</v>
      </c>
      <c r="N16" s="154" t="s">
        <v>184</v>
      </c>
      <c r="O16" s="156"/>
      <c r="P16" s="156"/>
      <c r="Q16" s="227"/>
      <c r="R16" s="156"/>
      <c r="S16" s="156"/>
      <c r="T16" s="156"/>
      <c r="U16" s="156"/>
      <c r="V16" s="230"/>
      <c r="W16" s="156"/>
      <c r="X16" s="156"/>
      <c r="Y16" s="156"/>
      <c r="Z16" s="154" t="s">
        <v>185</v>
      </c>
      <c r="AA16" s="247" t="s">
        <v>186</v>
      </c>
      <c r="AB16" s="156"/>
      <c r="AC16" s="231" t="s">
        <v>175</v>
      </c>
      <c r="AD16" s="156"/>
      <c r="AE16" s="156"/>
      <c r="AF16" s="156"/>
      <c r="AG16" s="156"/>
      <c r="AH16" s="156"/>
      <c r="AI16" s="156"/>
      <c r="AJ16" s="156"/>
      <c r="AK16" s="156"/>
      <c r="AL16" s="152" t="s">
        <v>64</v>
      </c>
      <c r="AM16" s="156"/>
      <c r="AN16" s="156"/>
      <c r="AO16" s="156"/>
      <c r="AP16" s="232"/>
      <c r="AQ16" s="156"/>
      <c r="AR16" s="156"/>
      <c r="AS16" s="152" t="s">
        <v>64</v>
      </c>
      <c r="AT16" s="63"/>
      <c r="AU16" s="63"/>
      <c r="AV16" s="163"/>
      <c r="AW16" s="163"/>
      <c r="AX16" s="163"/>
      <c r="AY16" s="163"/>
      <c r="AZ16" s="163"/>
      <c r="BA16" s="163"/>
      <c r="BB16" s="163"/>
      <c r="BC16" s="163"/>
      <c r="BD16" s="163"/>
      <c r="BE16" s="163"/>
      <c r="BF16" s="163"/>
      <c r="BG16" s="163"/>
      <c r="BH16" s="163"/>
      <c r="BI16" s="163"/>
      <c r="BJ16" s="163"/>
      <c r="BK16" s="163"/>
      <c r="BL16" s="163"/>
      <c r="BM16" s="163"/>
      <c r="BN16" s="163"/>
      <c r="BO16" s="163"/>
      <c r="BP16" s="163"/>
      <c r="BQ16" s="163"/>
      <c r="BR16" s="163"/>
      <c r="BS16" s="163"/>
      <c r="BT16" s="163"/>
      <c r="BU16" s="163"/>
      <c r="BV16" s="163"/>
      <c r="BW16" s="163"/>
      <c r="BX16" s="163"/>
      <c r="BY16" s="163"/>
      <c r="BZ16" s="163"/>
      <c r="CA16" s="163"/>
      <c r="CB16" s="163"/>
      <c r="CC16" s="163"/>
      <c r="CD16" s="163"/>
      <c r="CE16" s="163"/>
      <c r="CF16" s="163"/>
      <c r="CG16" s="163"/>
      <c r="CH16" s="163"/>
    </row>
    <row r="17">
      <c r="A17" s="38"/>
      <c r="B17" s="213" t="s">
        <v>165</v>
      </c>
      <c r="C17" s="212" t="s">
        <v>54</v>
      </c>
      <c r="D17" s="213" t="s">
        <v>165</v>
      </c>
      <c r="E17" s="213" t="s">
        <v>165</v>
      </c>
      <c r="F17" s="212" t="s">
        <v>166</v>
      </c>
      <c r="G17" s="213" t="s">
        <v>165</v>
      </c>
      <c r="H17" s="213" t="s">
        <v>165</v>
      </c>
      <c r="I17" s="213" t="s">
        <v>165</v>
      </c>
      <c r="J17" s="213" t="s">
        <v>165</v>
      </c>
      <c r="K17" s="213" t="s">
        <v>165</v>
      </c>
      <c r="L17" s="213" t="s">
        <v>165</v>
      </c>
      <c r="M17" s="212" t="s">
        <v>168</v>
      </c>
      <c r="N17" s="23"/>
      <c r="O17" s="156"/>
      <c r="P17" s="156"/>
      <c r="Q17" s="234"/>
      <c r="R17" s="156"/>
      <c r="S17" s="156"/>
      <c r="T17" s="156"/>
      <c r="U17" s="156"/>
      <c r="V17" s="230"/>
      <c r="W17" s="156"/>
      <c r="X17" s="156"/>
      <c r="Y17" s="156"/>
      <c r="Z17" s="23"/>
      <c r="AA17" s="249" t="s">
        <v>188</v>
      </c>
      <c r="AB17" s="156"/>
      <c r="AC17" s="236" t="s">
        <v>179</v>
      </c>
      <c r="AD17" s="156"/>
      <c r="AE17" s="156"/>
      <c r="AF17" s="156"/>
      <c r="AG17" s="156"/>
      <c r="AH17" s="156"/>
      <c r="AI17" s="156"/>
      <c r="AJ17" s="156"/>
      <c r="AK17" s="156"/>
      <c r="AL17" s="38"/>
      <c r="AM17" s="156"/>
      <c r="AN17" s="156"/>
      <c r="AO17" s="156"/>
      <c r="AP17" s="237"/>
      <c r="AQ17" s="156"/>
      <c r="AR17" s="156"/>
      <c r="AS17" s="38"/>
      <c r="AT17" s="69"/>
      <c r="AU17" s="69"/>
      <c r="AV17" s="163"/>
      <c r="AW17" s="163" t="str">
        <f t="array" ref="AW17">TEXTJOIN(" | ", 1, A18:AT18)</f>
        <v>103/104/301/304/305/306/317/421 | 308 | 103/104/301/304/305/306/317/421 | 103/104/301/304/305/306/317/421 | 300 | 103/104/301/304/305/306/317/421 | 103/104/301/304/305/306/317/421 | 103/104/301/304/305/306/317/421 | 103/104/301/304/305/306/317/421 | 103/104/301/304/305/306/317/421 | 103/104/301/304/305/306/317/421 | 101 | 314 | 318</v>
      </c>
      <c r="AX17" s="163"/>
      <c r="AY17" s="163"/>
      <c r="AZ17" s="163"/>
      <c r="BA17" s="163"/>
      <c r="BB17" s="163"/>
      <c r="BC17" s="163"/>
      <c r="BD17" s="163"/>
      <c r="BE17" s="163"/>
      <c r="BF17" s="163"/>
      <c r="BG17" s="163"/>
      <c r="BH17" s="163"/>
      <c r="BI17" s="163"/>
      <c r="BJ17" s="163"/>
      <c r="BK17" s="163"/>
      <c r="BL17" s="163"/>
      <c r="BM17" s="163"/>
      <c r="BN17" s="163"/>
      <c r="BO17" s="163"/>
      <c r="BP17" s="163"/>
      <c r="BQ17" s="163"/>
      <c r="BR17" s="163"/>
      <c r="BS17" s="163"/>
      <c r="BT17" s="163"/>
      <c r="BU17" s="163"/>
      <c r="BV17" s="163"/>
      <c r="BW17" s="163"/>
      <c r="BX17" s="163"/>
      <c r="BY17" s="163"/>
      <c r="BZ17" s="163"/>
      <c r="CA17" s="163"/>
      <c r="CB17" s="163"/>
      <c r="CC17" s="163"/>
      <c r="CD17" s="163"/>
      <c r="CE17" s="163"/>
      <c r="CF17" s="163"/>
      <c r="CG17" s="163"/>
      <c r="CH17" s="163"/>
    </row>
    <row r="18">
      <c r="A18" s="44"/>
      <c r="B18" s="221" t="s">
        <v>518</v>
      </c>
      <c r="C18" s="220">
        <v>308.0</v>
      </c>
      <c r="D18" s="221" t="s">
        <v>518</v>
      </c>
      <c r="E18" s="221" t="s">
        <v>518</v>
      </c>
      <c r="F18" s="222">
        <v>300.0</v>
      </c>
      <c r="G18" s="221" t="s">
        <v>518</v>
      </c>
      <c r="H18" s="221" t="s">
        <v>518</v>
      </c>
      <c r="I18" s="221" t="s">
        <v>518</v>
      </c>
      <c r="J18" s="221" t="s">
        <v>518</v>
      </c>
      <c r="K18" s="221" t="s">
        <v>518</v>
      </c>
      <c r="L18" s="221" t="s">
        <v>518</v>
      </c>
      <c r="M18" s="222">
        <v>101.0</v>
      </c>
      <c r="N18" s="47"/>
      <c r="O18" s="172"/>
      <c r="P18" s="172"/>
      <c r="Q18" s="240"/>
      <c r="R18" s="172"/>
      <c r="S18" s="241"/>
      <c r="T18" s="172"/>
      <c r="U18" s="172"/>
      <c r="V18" s="243"/>
      <c r="W18" s="241"/>
      <c r="X18" s="172"/>
      <c r="Y18" s="172"/>
      <c r="Z18" s="47"/>
      <c r="AA18" s="251">
        <v>314.0</v>
      </c>
      <c r="AB18" s="172"/>
      <c r="AC18" s="244">
        <v>318.0</v>
      </c>
      <c r="AD18" s="172"/>
      <c r="AE18" s="172"/>
      <c r="AF18" s="172"/>
      <c r="AG18" s="172"/>
      <c r="AH18" s="172"/>
      <c r="AI18" s="172"/>
      <c r="AJ18" s="172"/>
      <c r="AK18" s="172"/>
      <c r="AL18" s="44"/>
      <c r="AM18" s="172"/>
      <c r="AN18" s="172"/>
      <c r="AO18" s="172"/>
      <c r="AP18" s="245"/>
      <c r="AQ18" s="172"/>
      <c r="AR18" s="172"/>
      <c r="AS18" s="44"/>
      <c r="AT18" s="76"/>
      <c r="AU18" s="76"/>
      <c r="AV18" s="164" t="str">
        <f>IFERROR(__xludf.DUMMYFUNCTION("TEXTJOIN("" / "", TRUE, FILTER(TO_TEXT(SPLIT($AZ$4, "" / "")), NOT(REGEXMATCH(TO_TEXT(SPLIT($AZ$4, "" / "")), ""\b"" &amp; TEXTJOIN(""|"", TRUE, SPLIT(AW18, "" / "")) &amp; ""\b""))))"),"102 / 105 / 106 / 107 / 108 / 111 / 209 / 303 / 307 / 312 / 313 / 316 / 320 / 321 / 460 / 461")</f>
        <v>102 / 105 / 106 / 107 / 108 / 111 / 209 / 303 / 307 / 312 / 313 / 316 / 320 / 321 / 460 / 461</v>
      </c>
      <c r="AW18" s="178" t="str">
        <f>IFERROR(__xludf.DUMMYFUNCTION("TEXTJOIN("" / "", 1, SORT(UNIQUE(TRANSPOSE(SPLIT(TRIM(REGEXREPLACE(AW17,""([0-9]{3}[a-zA-Z]?)|."",""$1 "")), "" "")))))"),"101 / 103 / 104 / 300 / 301 / 304 / 305 / 306 / 308 / 314 / 317 / 318 / 421")</f>
        <v>101 / 103 / 104 / 300 / 301 / 304 / 305 / 306 / 308 / 314 / 317 / 318 / 421</v>
      </c>
      <c r="AX18" s="163"/>
      <c r="AY18" s="163"/>
      <c r="AZ18" s="163"/>
      <c r="BA18" s="163"/>
      <c r="BB18" s="163"/>
      <c r="BC18" s="163"/>
      <c r="BD18" s="163"/>
      <c r="BE18" s="163"/>
      <c r="BF18" s="163"/>
      <c r="BG18" s="163"/>
      <c r="BH18" s="163"/>
      <c r="BI18" s="163"/>
      <c r="BJ18" s="163"/>
      <c r="BK18" s="163"/>
      <c r="BL18" s="163"/>
      <c r="BM18" s="163"/>
      <c r="BN18" s="163"/>
      <c r="BO18" s="163"/>
      <c r="BP18" s="163"/>
      <c r="BQ18" s="163"/>
      <c r="BR18" s="163"/>
      <c r="BS18" s="163"/>
      <c r="BT18" s="163"/>
      <c r="BU18" s="163"/>
      <c r="BV18" s="163"/>
      <c r="BW18" s="163"/>
      <c r="BX18" s="163"/>
      <c r="BY18" s="163"/>
      <c r="BZ18" s="163"/>
      <c r="CA18" s="163"/>
      <c r="CB18" s="163"/>
      <c r="CC18" s="163"/>
      <c r="CD18" s="163"/>
      <c r="CE18" s="163"/>
      <c r="CF18" s="163"/>
      <c r="CG18" s="163"/>
      <c r="CH18" s="163"/>
    </row>
    <row r="19">
      <c r="A19" s="152" t="s">
        <v>66</v>
      </c>
      <c r="B19" s="253"/>
      <c r="C19" s="156"/>
      <c r="D19" s="156"/>
      <c r="E19" s="156"/>
      <c r="F19" s="156"/>
      <c r="G19" s="156"/>
      <c r="H19" s="156"/>
      <c r="I19" s="156"/>
      <c r="J19" s="156"/>
      <c r="K19" s="156"/>
      <c r="L19" s="207" t="s">
        <v>156</v>
      </c>
      <c r="M19" s="156"/>
      <c r="N19" s="154" t="s">
        <v>191</v>
      </c>
      <c r="O19" s="156"/>
      <c r="P19" s="156"/>
      <c r="Q19" s="156"/>
      <c r="R19" s="156"/>
      <c r="S19" s="156"/>
      <c r="T19" s="156"/>
      <c r="U19" s="156"/>
      <c r="V19" s="156"/>
      <c r="W19" s="156"/>
      <c r="X19" s="156"/>
      <c r="Y19" s="156"/>
      <c r="Z19" s="154" t="s">
        <v>192</v>
      </c>
      <c r="AA19" s="156"/>
      <c r="AB19" s="247" t="s">
        <v>186</v>
      </c>
      <c r="AC19" s="156"/>
      <c r="AD19" s="156"/>
      <c r="AE19" s="156"/>
      <c r="AF19" s="156"/>
      <c r="AG19" s="156"/>
      <c r="AH19" s="156"/>
      <c r="AI19" s="156"/>
      <c r="AJ19" s="156"/>
      <c r="AK19" s="156"/>
      <c r="AL19" s="152" t="s">
        <v>66</v>
      </c>
      <c r="AM19" s="156"/>
      <c r="AN19" s="156"/>
      <c r="AO19" s="156"/>
      <c r="AP19" s="382" t="s">
        <v>307</v>
      </c>
      <c r="AQ19" s="156"/>
      <c r="AR19" s="156"/>
      <c r="AS19" s="152" t="s">
        <v>66</v>
      </c>
      <c r="AT19" s="254"/>
      <c r="AU19" s="254"/>
      <c r="AV19" s="163"/>
      <c r="AW19" s="163"/>
      <c r="AX19" s="163"/>
      <c r="AY19" s="163"/>
      <c r="AZ19" s="163"/>
      <c r="BA19" s="163"/>
      <c r="BB19" s="163"/>
      <c r="BC19" s="163"/>
      <c r="BD19" s="163"/>
      <c r="BE19" s="163"/>
      <c r="BF19" s="163"/>
      <c r="BG19" s="163"/>
      <c r="BH19" s="163"/>
      <c r="BI19" s="163"/>
      <c r="BJ19" s="163"/>
      <c r="BK19" s="163"/>
      <c r="BL19" s="163"/>
      <c r="BM19" s="163"/>
      <c r="BN19" s="163"/>
      <c r="BO19" s="163"/>
      <c r="BP19" s="163"/>
      <c r="BQ19" s="163"/>
      <c r="BR19" s="163"/>
      <c r="BS19" s="163"/>
      <c r="BT19" s="163"/>
      <c r="BU19" s="163"/>
      <c r="BV19" s="163"/>
      <c r="BW19" s="163"/>
      <c r="BX19" s="163"/>
      <c r="BY19" s="163"/>
      <c r="BZ19" s="163"/>
      <c r="CA19" s="163"/>
      <c r="CB19" s="163"/>
      <c r="CC19" s="163"/>
      <c r="CD19" s="163"/>
      <c r="CE19" s="163"/>
      <c r="CF19" s="163"/>
      <c r="CG19" s="163"/>
      <c r="CH19" s="163"/>
    </row>
    <row r="20">
      <c r="A20" s="38"/>
      <c r="B20" s="156"/>
      <c r="C20" s="156"/>
      <c r="D20" s="156"/>
      <c r="E20" s="156"/>
      <c r="F20" s="156"/>
      <c r="G20" s="156"/>
      <c r="H20" s="156"/>
      <c r="I20" s="156"/>
      <c r="J20" s="156"/>
      <c r="K20" s="156"/>
      <c r="L20" s="255" t="s">
        <v>194</v>
      </c>
      <c r="M20" s="156"/>
      <c r="N20" s="23"/>
      <c r="O20" s="156"/>
      <c r="P20" s="156"/>
      <c r="Q20" s="156"/>
      <c r="R20" s="156"/>
      <c r="S20" s="156"/>
      <c r="T20" s="156"/>
      <c r="U20" s="156"/>
      <c r="V20" s="156"/>
      <c r="W20" s="156"/>
      <c r="X20" s="156"/>
      <c r="Y20" s="156"/>
      <c r="Z20" s="23"/>
      <c r="AA20" s="156"/>
      <c r="AB20" s="249" t="s">
        <v>188</v>
      </c>
      <c r="AC20" s="156"/>
      <c r="AD20" s="156"/>
      <c r="AE20" s="156"/>
      <c r="AF20" s="156"/>
      <c r="AG20" s="156"/>
      <c r="AH20" s="156"/>
      <c r="AI20" s="156"/>
      <c r="AJ20" s="156"/>
      <c r="AK20" s="156"/>
      <c r="AL20" s="38"/>
      <c r="AM20" s="156"/>
      <c r="AN20" s="156"/>
      <c r="AO20" s="156"/>
      <c r="AP20" s="386" t="s">
        <v>309</v>
      </c>
      <c r="AQ20" s="156"/>
      <c r="AR20" s="156"/>
      <c r="AS20" s="38"/>
      <c r="AT20" s="254"/>
      <c r="AU20" s="254"/>
      <c r="AV20" s="163"/>
      <c r="AW20" s="163" t="str">
        <f t="array" ref="AW20">TEXTJOIN(" | ", 1, A18:AT18)</f>
        <v>103/104/301/304/305/306/317/421 | 308 | 103/104/301/304/305/306/317/421 | 103/104/301/304/305/306/317/421 | 300 | 103/104/301/304/305/306/317/421 | 103/104/301/304/305/306/317/421 | 103/104/301/304/305/306/317/421 | 103/104/301/304/305/306/317/421 | 103/104/301/304/305/306/317/421 | 103/104/301/304/305/306/317/421 | 101 | 314 | 318</v>
      </c>
      <c r="AX20" s="163"/>
      <c r="AY20" s="163"/>
      <c r="AZ20" s="163"/>
      <c r="BA20" s="163"/>
      <c r="BB20" s="163"/>
      <c r="BC20" s="163"/>
      <c r="BD20" s="163"/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3"/>
      <c r="BQ20" s="163"/>
      <c r="BR20" s="163"/>
      <c r="BS20" s="163"/>
      <c r="BT20" s="163"/>
      <c r="BU20" s="163"/>
      <c r="BV20" s="163"/>
      <c r="BW20" s="163"/>
      <c r="BX20" s="163"/>
      <c r="BY20" s="163"/>
      <c r="BZ20" s="163"/>
      <c r="CA20" s="163"/>
      <c r="CB20" s="163"/>
      <c r="CC20" s="163"/>
      <c r="CD20" s="163"/>
      <c r="CE20" s="163"/>
      <c r="CF20" s="163"/>
      <c r="CG20" s="163"/>
      <c r="CH20" s="163"/>
    </row>
    <row r="21">
      <c r="A21" s="44"/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220">
        <v>320.0</v>
      </c>
      <c r="M21" s="172"/>
      <c r="N21" s="47"/>
      <c r="O21" s="241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47"/>
      <c r="AA21" s="172"/>
      <c r="AB21" s="251">
        <v>314.0</v>
      </c>
      <c r="AC21" s="172"/>
      <c r="AD21" s="172"/>
      <c r="AE21" s="172"/>
      <c r="AF21" s="172"/>
      <c r="AG21" s="172"/>
      <c r="AH21" s="172"/>
      <c r="AI21" s="172"/>
      <c r="AJ21" s="172"/>
      <c r="AK21" s="172"/>
      <c r="AL21" s="44"/>
      <c r="AM21" s="172"/>
      <c r="AN21" s="172"/>
      <c r="AO21" s="172"/>
      <c r="AP21" s="611"/>
      <c r="AQ21" s="172"/>
      <c r="AR21" s="172"/>
      <c r="AS21" s="44"/>
      <c r="AT21" s="254"/>
      <c r="AU21" s="254"/>
      <c r="AV21" s="164" t="str">
        <f>IFERROR(__xludf.DUMMYFUNCTION("TEXTJOIN("" / "", TRUE, FILTER(TO_TEXT(SPLIT($AZ$4, "" / "")), NOT(REGEXMATCH(TO_TEXT(SPLIT($AZ$4, "" / "")), ""\b"" &amp; TEXTJOIN(""|"", TRUE, SPLIT(AW21, "" / "")) &amp; ""\b""))))"),"102 / 105 / 106 / 107 / 108 / 111 / 209 / 303 / 307 / 312 / 313 / 316 / 320 / 321 / 460 / 461")</f>
        <v>102 / 105 / 106 / 107 / 108 / 111 / 209 / 303 / 307 / 312 / 313 / 316 / 320 / 321 / 460 / 461</v>
      </c>
      <c r="AW21" s="178" t="str">
        <f>IFERROR(__xludf.DUMMYFUNCTION("TEXTJOIN("" / "", 1, SORT(UNIQUE(TRANSPOSE(SPLIT(TRIM(REGEXREPLACE(AW20,""([0-9]{3}[a-zA-Z]?)|."",""$1 "")), "" "")))))"),"101 / 103 / 104 / 300 / 301 / 304 / 305 / 306 / 308 / 314 / 317 / 318 / 421")</f>
        <v>101 / 103 / 104 / 300 / 301 / 304 / 305 / 306 / 308 / 314 / 317 / 318 / 421</v>
      </c>
      <c r="AX21" s="163"/>
      <c r="AY21" s="163"/>
      <c r="AZ21" s="163"/>
      <c r="BA21" s="163"/>
      <c r="BB21" s="163"/>
      <c r="BC21" s="163"/>
      <c r="BD21" s="163"/>
      <c r="BE21" s="163"/>
      <c r="BF21" s="163"/>
      <c r="BG21" s="163"/>
      <c r="BH21" s="163"/>
      <c r="BI21" s="163"/>
      <c r="BJ21" s="163"/>
      <c r="BK21" s="163"/>
      <c r="BL21" s="163"/>
      <c r="BM21" s="163"/>
      <c r="BN21" s="163"/>
      <c r="BO21" s="163"/>
      <c r="BP21" s="163"/>
      <c r="BQ21" s="163"/>
      <c r="BR21" s="163"/>
      <c r="BS21" s="163"/>
      <c r="BT21" s="163"/>
      <c r="BU21" s="163"/>
      <c r="BV21" s="163"/>
      <c r="BW21" s="163"/>
      <c r="BX21" s="163"/>
      <c r="BY21" s="163"/>
      <c r="BZ21" s="163"/>
      <c r="CA21" s="163"/>
      <c r="CB21" s="163"/>
      <c r="CC21" s="163"/>
      <c r="CD21" s="163"/>
      <c r="CE21" s="163"/>
      <c r="CF21" s="163"/>
      <c r="CG21" s="163"/>
      <c r="CH21" s="163"/>
    </row>
    <row r="22">
      <c r="A22" s="147" t="s">
        <v>74</v>
      </c>
      <c r="B22" s="148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7"/>
      <c r="N22" s="149" t="s">
        <v>74</v>
      </c>
      <c r="O22" s="148"/>
      <c r="P22" s="46"/>
      <c r="Q22" s="46"/>
      <c r="R22" s="46"/>
      <c r="S22" s="46"/>
      <c r="T22" s="46"/>
      <c r="U22" s="46"/>
      <c r="V22" s="46"/>
      <c r="W22" s="46"/>
      <c r="X22" s="46"/>
      <c r="Y22" s="47"/>
      <c r="Z22" s="149" t="s">
        <v>74</v>
      </c>
      <c r="AA22" s="148"/>
      <c r="AB22" s="46"/>
      <c r="AC22" s="46"/>
      <c r="AD22" s="46"/>
      <c r="AE22" s="46"/>
      <c r="AF22" s="46"/>
      <c r="AG22" s="46"/>
      <c r="AH22" s="46"/>
      <c r="AI22" s="46"/>
      <c r="AJ22" s="46"/>
      <c r="AK22" s="47"/>
      <c r="AL22" s="147" t="s">
        <v>74</v>
      </c>
      <c r="AM22" s="148"/>
      <c r="AN22" s="46"/>
      <c r="AO22" s="46"/>
      <c r="AP22" s="46"/>
      <c r="AQ22" s="46"/>
      <c r="AR22" s="47"/>
      <c r="AS22" s="147" t="s">
        <v>74</v>
      </c>
      <c r="AT22" s="150"/>
      <c r="AU22" s="150"/>
      <c r="AV22" s="151"/>
      <c r="AW22" s="151"/>
      <c r="AX22" s="151"/>
      <c r="AY22" s="151"/>
      <c r="AZ22" s="151"/>
      <c r="BA22" s="151"/>
      <c r="BB22" s="151"/>
      <c r="BC22" s="151"/>
      <c r="BD22" s="151"/>
      <c r="BE22" s="151"/>
      <c r="BF22" s="151"/>
      <c r="BG22" s="151"/>
      <c r="BH22" s="151"/>
      <c r="BI22" s="151"/>
      <c r="BJ22" s="151"/>
      <c r="BK22" s="151"/>
      <c r="BL22" s="151"/>
      <c r="BM22" s="151"/>
      <c r="BN22" s="151"/>
      <c r="BO22" s="151"/>
      <c r="BP22" s="151"/>
      <c r="BQ22" s="151"/>
      <c r="BR22" s="151"/>
      <c r="BS22" s="151"/>
      <c r="BT22" s="151"/>
      <c r="BU22" s="151"/>
      <c r="BV22" s="151"/>
      <c r="BW22" s="151"/>
      <c r="BX22" s="151"/>
      <c r="BY22" s="151"/>
      <c r="BZ22" s="151"/>
      <c r="CA22" s="151"/>
      <c r="CB22" s="151"/>
      <c r="CC22" s="151"/>
      <c r="CD22" s="151"/>
      <c r="CE22" s="151"/>
      <c r="CF22" s="151"/>
      <c r="CG22" s="151"/>
      <c r="CH22" s="151"/>
    </row>
    <row r="23">
      <c r="A23" s="152" t="s">
        <v>39</v>
      </c>
      <c r="B23" s="253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4" t="s">
        <v>128</v>
      </c>
      <c r="O23" s="156"/>
      <c r="P23" s="182" t="s">
        <v>143</v>
      </c>
      <c r="Q23" s="156"/>
      <c r="R23" s="182" t="s">
        <v>143</v>
      </c>
      <c r="S23" s="231" t="s">
        <v>196</v>
      </c>
      <c r="T23" s="156"/>
      <c r="U23" s="156"/>
      <c r="V23" s="156"/>
      <c r="W23" s="256" t="s">
        <v>197</v>
      </c>
      <c r="X23" s="156"/>
      <c r="Y23" s="156"/>
      <c r="Z23" s="154" t="s">
        <v>130</v>
      </c>
      <c r="AA23" s="156"/>
      <c r="AB23" s="156"/>
      <c r="AC23" s="156"/>
      <c r="AD23" s="156"/>
      <c r="AE23" s="156"/>
      <c r="AF23" s="156"/>
      <c r="AG23" s="156"/>
      <c r="AH23" s="156"/>
      <c r="AI23" s="156"/>
      <c r="AJ23" s="156"/>
      <c r="AK23" s="156"/>
      <c r="AL23" s="152" t="s">
        <v>39</v>
      </c>
      <c r="AM23" s="156"/>
      <c r="AN23" s="156"/>
      <c r="AO23" s="156"/>
      <c r="AP23" s="183" t="s">
        <v>198</v>
      </c>
      <c r="AQ23" s="228"/>
      <c r="AR23" s="156"/>
      <c r="AS23" s="152" t="s">
        <v>39</v>
      </c>
      <c r="AT23" s="257" t="s">
        <v>199</v>
      </c>
      <c r="AU23" s="161"/>
      <c r="AV23" s="258"/>
      <c r="AW23" s="258"/>
      <c r="AX23" s="258"/>
      <c r="AY23" s="258"/>
      <c r="AZ23" s="258"/>
      <c r="BA23" s="258"/>
      <c r="BB23" s="258"/>
      <c r="BC23" s="258"/>
      <c r="BD23" s="258"/>
      <c r="BE23" s="258"/>
      <c r="BF23" s="258"/>
      <c r="BG23" s="258"/>
      <c r="BH23" s="258"/>
      <c r="BI23" s="258"/>
      <c r="BJ23" s="258"/>
      <c r="BK23" s="258"/>
      <c r="BL23" s="258"/>
      <c r="BM23" s="258"/>
      <c r="BN23" s="258"/>
      <c r="BO23" s="258"/>
      <c r="BP23" s="258"/>
      <c r="BQ23" s="258"/>
      <c r="BR23" s="258"/>
      <c r="BS23" s="258"/>
      <c r="BT23" s="258"/>
      <c r="BU23" s="258"/>
      <c r="BV23" s="258"/>
      <c r="BW23" s="258"/>
      <c r="BX23" s="258"/>
      <c r="BY23" s="258"/>
      <c r="BZ23" s="258"/>
      <c r="CA23" s="258"/>
      <c r="CB23" s="258"/>
      <c r="CC23" s="258"/>
      <c r="CD23" s="258"/>
      <c r="CE23" s="258"/>
      <c r="CF23" s="258"/>
      <c r="CG23" s="258"/>
      <c r="CH23" s="258"/>
    </row>
    <row r="24">
      <c r="A24" s="38"/>
      <c r="B24" s="156"/>
      <c r="C24" s="156"/>
      <c r="D24" s="156"/>
      <c r="E24" s="156"/>
      <c r="F24" s="156"/>
      <c r="G24" s="156"/>
      <c r="H24" s="156"/>
      <c r="I24" s="156"/>
      <c r="J24" s="156"/>
      <c r="K24" s="156"/>
      <c r="L24" s="156"/>
      <c r="M24" s="156"/>
      <c r="N24" s="23"/>
      <c r="O24" s="156"/>
      <c r="P24" s="259" t="s">
        <v>200</v>
      </c>
      <c r="Q24" s="156"/>
      <c r="R24" s="260" t="s">
        <v>170</v>
      </c>
      <c r="S24" s="261" t="s">
        <v>201</v>
      </c>
      <c r="T24" s="156"/>
      <c r="U24" s="156"/>
      <c r="V24" s="156"/>
      <c r="W24" s="262" t="s">
        <v>202</v>
      </c>
      <c r="X24" s="156"/>
      <c r="Y24" s="156"/>
      <c r="Z24" s="23"/>
      <c r="AA24" s="156"/>
      <c r="AB24" s="156"/>
      <c r="AC24" s="156"/>
      <c r="AD24" s="156"/>
      <c r="AE24" s="156"/>
      <c r="AF24" s="156"/>
      <c r="AG24" s="156"/>
      <c r="AH24" s="156"/>
      <c r="AI24" s="156"/>
      <c r="AJ24" s="156"/>
      <c r="AK24" s="156"/>
      <c r="AL24" s="38"/>
      <c r="AM24" s="156"/>
      <c r="AN24" s="156"/>
      <c r="AO24" s="156"/>
      <c r="AP24" s="263" t="s">
        <v>203</v>
      </c>
      <c r="AQ24" s="161"/>
      <c r="AR24" s="156"/>
      <c r="AS24" s="38"/>
      <c r="AT24" s="264" t="s">
        <v>204</v>
      </c>
      <c r="AU24" s="161"/>
      <c r="AV24" s="258"/>
      <c r="AW24" s="163" t="str">
        <f t="array" ref="AW24">TEXTJOIN(" | ", 1, A25:AT25)</f>
        <v>308 | 318 | 461 | 460 | 320</v>
      </c>
      <c r="AX24" s="258"/>
      <c r="AY24" s="258"/>
      <c r="AZ24" s="258"/>
      <c r="BA24" s="258"/>
      <c r="BB24" s="258"/>
      <c r="BC24" s="258"/>
      <c r="BD24" s="258"/>
      <c r="BE24" s="258"/>
      <c r="BF24" s="258"/>
      <c r="BG24" s="258"/>
      <c r="BH24" s="258"/>
      <c r="BI24" s="258"/>
      <c r="BJ24" s="258"/>
      <c r="BK24" s="258"/>
      <c r="BL24" s="258"/>
      <c r="BM24" s="258"/>
      <c r="BN24" s="258"/>
      <c r="BO24" s="258"/>
      <c r="BP24" s="258"/>
      <c r="BQ24" s="258"/>
      <c r="BR24" s="258"/>
      <c r="BS24" s="258"/>
      <c r="BT24" s="258"/>
      <c r="BU24" s="258"/>
      <c r="BV24" s="258"/>
      <c r="BW24" s="258"/>
      <c r="BX24" s="258"/>
      <c r="BY24" s="258"/>
      <c r="BZ24" s="258"/>
      <c r="CA24" s="258"/>
      <c r="CB24" s="258"/>
      <c r="CC24" s="258"/>
      <c r="CD24" s="258"/>
      <c r="CE24" s="258"/>
      <c r="CF24" s="258"/>
      <c r="CG24" s="258"/>
      <c r="CH24" s="258"/>
    </row>
    <row r="25">
      <c r="A25" s="44"/>
      <c r="B25" s="172"/>
      <c r="C25" s="172"/>
      <c r="D25" s="172"/>
      <c r="E25" s="172"/>
      <c r="F25" s="172"/>
      <c r="G25" s="172"/>
      <c r="H25" s="172"/>
      <c r="I25" s="172"/>
      <c r="J25" s="172"/>
      <c r="K25" s="172"/>
      <c r="L25" s="172"/>
      <c r="M25" s="172"/>
      <c r="N25" s="47"/>
      <c r="O25" s="172"/>
      <c r="P25" s="520">
        <v>308.0</v>
      </c>
      <c r="Q25" s="172"/>
      <c r="R25" s="520">
        <v>318.0</v>
      </c>
      <c r="S25" s="244">
        <v>461.0</v>
      </c>
      <c r="T25" s="241"/>
      <c r="U25" s="241"/>
      <c r="V25" s="241"/>
      <c r="W25" s="612"/>
      <c r="X25" s="241"/>
      <c r="Y25" s="241"/>
      <c r="Z25" s="47"/>
      <c r="AA25" s="172"/>
      <c r="AB25" s="172"/>
      <c r="AC25" s="172"/>
      <c r="AD25" s="172"/>
      <c r="AE25" s="172"/>
      <c r="AF25" s="172"/>
      <c r="AG25" s="172"/>
      <c r="AH25" s="172"/>
      <c r="AI25" s="172"/>
      <c r="AJ25" s="172"/>
      <c r="AK25" s="172"/>
      <c r="AL25" s="44"/>
      <c r="AM25" s="172"/>
      <c r="AN25" s="172"/>
      <c r="AO25" s="241"/>
      <c r="AP25" s="200">
        <v>460.0</v>
      </c>
      <c r="AQ25" s="177"/>
      <c r="AR25" s="172"/>
      <c r="AS25" s="44"/>
      <c r="AT25" s="266">
        <v>320.0</v>
      </c>
      <c r="AU25" s="177"/>
      <c r="AV25" s="267" t="str">
        <f>IFERROR(__xludf.DUMMYFUNCTION("TEXTJOIN("" / "", TRUE, FILTER(TO_TEXT(SPLIT($AZ$4, "" / "")), NOT(REGEXMATCH(TO_TEXT(SPLIT($AZ$4, "" / "")), ""\b"" &amp; TEXTJOIN(""|"", TRUE, SPLIT(AW25, "" / "")) &amp; ""\b""))))"),"101 / 102 / 103 / 104 / 105 / 106 / 107 / 108 / 111 / 209 / 300 / 301 / 303 / 304 / 305 / 306 / 307 / 312 / 313 / 314 / 316 / 317 / 321 / 421")</f>
        <v>101 / 102 / 103 / 104 / 105 / 106 / 107 / 108 / 111 / 209 / 300 / 301 / 303 / 304 / 305 / 306 / 307 / 312 / 313 / 314 / 316 / 317 / 321 / 421</v>
      </c>
      <c r="AW25" s="268" t="str">
        <f>IFERROR(__xludf.DUMMYFUNCTION("TEXTJOIN("" / "", 1, SORT(UNIQUE(TRANSPOSE(SPLIT(TRIM(REGEXREPLACE(AW24,""([0-9]{3}[a-zA-Z]?)|."",""$1 "")), "" "")))))"),"308 / 318 / 320 / 460 / 461")</f>
        <v>308 / 318 / 320 / 460 / 461</v>
      </c>
      <c r="AX25" s="163"/>
      <c r="AY25" s="163"/>
      <c r="AZ25" s="163"/>
      <c r="BA25" s="163"/>
      <c r="BB25" s="163"/>
      <c r="BC25" s="163"/>
      <c r="BD25" s="163"/>
      <c r="BE25" s="163"/>
      <c r="BF25" s="163"/>
      <c r="BG25" s="163"/>
      <c r="BH25" s="163"/>
      <c r="BI25" s="163"/>
      <c r="BJ25" s="163"/>
      <c r="BK25" s="163"/>
      <c r="BL25" s="163"/>
      <c r="BM25" s="163"/>
      <c r="BN25" s="163"/>
      <c r="BO25" s="163"/>
      <c r="BP25" s="163"/>
      <c r="BQ25" s="163"/>
      <c r="BR25" s="163"/>
      <c r="BS25" s="163"/>
      <c r="BT25" s="163"/>
      <c r="BU25" s="163"/>
      <c r="BV25" s="163"/>
      <c r="BW25" s="163"/>
      <c r="BX25" s="163"/>
      <c r="BY25" s="163"/>
      <c r="BZ25" s="163"/>
      <c r="CA25" s="163"/>
      <c r="CB25" s="163"/>
      <c r="CC25" s="163"/>
      <c r="CD25" s="163"/>
      <c r="CE25" s="163"/>
      <c r="CF25" s="163"/>
      <c r="CG25" s="163"/>
      <c r="CH25" s="163"/>
    </row>
    <row r="26">
      <c r="A26" s="152" t="s">
        <v>49</v>
      </c>
      <c r="B26" s="181" t="s">
        <v>205</v>
      </c>
      <c r="M26" s="23"/>
      <c r="N26" s="154" t="s">
        <v>139</v>
      </c>
      <c r="O26" s="231" t="s">
        <v>196</v>
      </c>
      <c r="P26" s="256" t="s">
        <v>197</v>
      </c>
      <c r="Q26" s="182" t="s">
        <v>143</v>
      </c>
      <c r="R26" s="231" t="s">
        <v>196</v>
      </c>
      <c r="S26" s="182" t="s">
        <v>143</v>
      </c>
      <c r="T26" s="158"/>
      <c r="U26" s="269"/>
      <c r="W26" s="270" t="s">
        <v>206</v>
      </c>
      <c r="X26" s="271" t="s">
        <v>207</v>
      </c>
      <c r="Y26" s="272" t="s">
        <v>208</v>
      </c>
      <c r="Z26" s="163" t="s">
        <v>145</v>
      </c>
      <c r="AA26" s="613" t="s">
        <v>520</v>
      </c>
      <c r="AB26" s="7"/>
      <c r="AC26" s="7"/>
      <c r="AD26" s="7"/>
      <c r="AE26" s="8"/>
      <c r="AF26" s="156"/>
      <c r="AG26" s="273" t="s">
        <v>209</v>
      </c>
      <c r="AH26" s="228"/>
      <c r="AI26" s="156"/>
      <c r="AJ26" s="614" t="s">
        <v>520</v>
      </c>
      <c r="AK26" s="63"/>
      <c r="AL26" s="152" t="s">
        <v>49</v>
      </c>
      <c r="AM26" s="254"/>
      <c r="AN26" s="63"/>
      <c r="AO26" s="156"/>
      <c r="AP26" s="183" t="s">
        <v>211</v>
      </c>
      <c r="AQ26" s="276" t="s">
        <v>212</v>
      </c>
      <c r="AR26" s="277" t="s">
        <v>213</v>
      </c>
      <c r="AS26" s="152" t="s">
        <v>49</v>
      </c>
      <c r="AT26" s="63"/>
      <c r="AU26" s="63"/>
      <c r="AV26" s="163"/>
      <c r="AW26" s="163"/>
      <c r="AX26" s="163"/>
      <c r="AY26" s="163"/>
      <c r="AZ26" s="163"/>
      <c r="BA26" s="163"/>
      <c r="BB26" s="163"/>
      <c r="BC26" s="163"/>
      <c r="BD26" s="163"/>
      <c r="BE26" s="163"/>
      <c r="BF26" s="163"/>
      <c r="BG26" s="163"/>
      <c r="BH26" s="163"/>
      <c r="BI26" s="163"/>
      <c r="BJ26" s="163"/>
      <c r="BK26" s="163"/>
      <c r="BL26" s="163"/>
      <c r="BM26" s="163"/>
      <c r="BN26" s="163"/>
      <c r="BO26" s="163"/>
      <c r="BP26" s="163"/>
      <c r="BQ26" s="163"/>
      <c r="BR26" s="163"/>
      <c r="BS26" s="163"/>
      <c r="BT26" s="163"/>
      <c r="BU26" s="163"/>
      <c r="BV26" s="163"/>
      <c r="BW26" s="163"/>
      <c r="BX26" s="163"/>
      <c r="BY26" s="163"/>
      <c r="BZ26" s="163"/>
      <c r="CA26" s="163"/>
      <c r="CB26" s="163"/>
      <c r="CC26" s="163"/>
      <c r="CD26" s="163"/>
      <c r="CE26" s="163"/>
      <c r="CF26" s="163"/>
      <c r="CG26" s="163"/>
      <c r="CH26" s="163"/>
    </row>
    <row r="27">
      <c r="A27" s="38"/>
      <c r="B27" s="278" t="s">
        <v>214</v>
      </c>
      <c r="M27" s="23"/>
      <c r="N27" s="23"/>
      <c r="O27" s="261" t="s">
        <v>201</v>
      </c>
      <c r="P27" s="262" t="s">
        <v>215</v>
      </c>
      <c r="Q27" s="259" t="s">
        <v>200</v>
      </c>
      <c r="R27" s="279" t="s">
        <v>216</v>
      </c>
      <c r="S27" s="260" t="s">
        <v>170</v>
      </c>
      <c r="T27" s="154"/>
      <c r="U27" s="168"/>
      <c r="W27" s="239" t="s">
        <v>217</v>
      </c>
      <c r="X27" s="280" t="s">
        <v>218</v>
      </c>
      <c r="Y27" s="281" t="s">
        <v>99</v>
      </c>
      <c r="AA27" s="615" t="s">
        <v>521</v>
      </c>
      <c r="AE27" s="23"/>
      <c r="AF27" s="156"/>
      <c r="AG27" s="282" t="s">
        <v>219</v>
      </c>
      <c r="AH27" s="161"/>
      <c r="AI27" s="156"/>
      <c r="AJ27" s="422" t="s">
        <v>521</v>
      </c>
      <c r="AK27" s="69"/>
      <c r="AL27" s="38"/>
      <c r="AM27" s="254"/>
      <c r="AN27" s="69"/>
      <c r="AO27" s="156"/>
      <c r="AP27" s="285" t="s">
        <v>221</v>
      </c>
      <c r="AQ27" s="250" t="s">
        <v>222</v>
      </c>
      <c r="AR27" s="192" t="s">
        <v>79</v>
      </c>
      <c r="AS27" s="38"/>
      <c r="AT27" s="69"/>
      <c r="AU27" s="69"/>
      <c r="AV27" s="163"/>
      <c r="AW27" s="163" t="str">
        <f t="array" ref="AW27">TEXTJOIN(" | ", 1, A28:AT28)</f>
        <v>ONLINE (STARTS ON 25/02) | 461 | 308 | 300 | 318 | 104 | 320 | 103 | 105 ON 28/01, 04/02, 11/02 | 316 | 105 ON 28/01, 04/02, 11/02 | 460 | 306 STARTS AT 11:10</v>
      </c>
      <c r="AX27" s="163"/>
      <c r="AY27" s="163"/>
      <c r="AZ27" s="163"/>
      <c r="BA27" s="163"/>
      <c r="BB27" s="163"/>
      <c r="BC27" s="163"/>
      <c r="BD27" s="163"/>
      <c r="BE27" s="163"/>
      <c r="BF27" s="163"/>
      <c r="BG27" s="163"/>
      <c r="BH27" s="163"/>
      <c r="BI27" s="163"/>
      <c r="BJ27" s="163"/>
      <c r="BK27" s="163"/>
      <c r="BL27" s="163"/>
      <c r="BM27" s="163"/>
      <c r="BN27" s="163"/>
      <c r="BO27" s="163"/>
      <c r="BP27" s="163"/>
      <c r="BQ27" s="163"/>
      <c r="BR27" s="163"/>
      <c r="BS27" s="163"/>
      <c r="BT27" s="163"/>
      <c r="BU27" s="163"/>
      <c r="BV27" s="163"/>
      <c r="BW27" s="163"/>
      <c r="BX27" s="163"/>
      <c r="BY27" s="163"/>
      <c r="BZ27" s="163"/>
      <c r="CA27" s="163"/>
      <c r="CB27" s="163"/>
      <c r="CC27" s="163"/>
      <c r="CD27" s="163"/>
      <c r="CE27" s="163"/>
      <c r="CF27" s="163"/>
      <c r="CG27" s="163"/>
      <c r="CH27" s="163"/>
    </row>
    <row r="28">
      <c r="A28" s="44"/>
      <c r="B28" s="286" t="s">
        <v>522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7"/>
      <c r="N28" s="47"/>
      <c r="O28" s="244">
        <v>461.0</v>
      </c>
      <c r="P28" s="616"/>
      <c r="Q28" s="520">
        <v>308.0</v>
      </c>
      <c r="R28" s="244">
        <v>300.0</v>
      </c>
      <c r="S28" s="520">
        <v>318.0</v>
      </c>
      <c r="T28" s="174"/>
      <c r="U28" s="287"/>
      <c r="W28" s="288">
        <v>104.0</v>
      </c>
      <c r="X28" s="289">
        <v>320.0</v>
      </c>
      <c r="Y28" s="290">
        <v>103.0</v>
      </c>
      <c r="Z28" s="46"/>
      <c r="AA28" s="429" t="s">
        <v>523</v>
      </c>
      <c r="AB28" s="46"/>
      <c r="AC28" s="46"/>
      <c r="AD28" s="46"/>
      <c r="AE28" s="47"/>
      <c r="AF28" s="172"/>
      <c r="AG28" s="204">
        <v>316.0</v>
      </c>
      <c r="AH28" s="177"/>
      <c r="AI28" s="172"/>
      <c r="AJ28" s="429" t="s">
        <v>523</v>
      </c>
      <c r="AK28" s="76"/>
      <c r="AL28" s="44"/>
      <c r="AM28" s="372"/>
      <c r="AN28" s="76"/>
      <c r="AO28" s="241"/>
      <c r="AP28" s="200">
        <v>460.0</v>
      </c>
      <c r="AQ28" s="252" t="s">
        <v>524</v>
      </c>
      <c r="AR28" s="201"/>
      <c r="AS28" s="44"/>
      <c r="AT28" s="76"/>
      <c r="AU28" s="76"/>
      <c r="AV28" s="164" t="str">
        <f>IFERROR(__xludf.DUMMYFUNCTION("TEXTJOIN("" / "", TRUE, FILTER(TO_TEXT(SPLIT($AZ$4, "" / "")), NOT(REGEXMATCH(TO_TEXT(SPLIT($AZ$4, "" / "")), ""\b"" &amp; TEXTJOIN(""|"", TRUE, SPLIT(AW28, "" / "")) &amp; ""\b""))))"),"101 / 102 / 106 / 107 / 108 / 111 / 209 / 301 / 303 / 304 / 305 / 307 / 312 / 313 / 314 / 317 / 321 / 421")</f>
        <v>101 / 102 / 106 / 107 / 108 / 111 / 209 / 301 / 303 / 304 / 305 / 307 / 312 / 313 / 314 / 317 / 321 / 421</v>
      </c>
      <c r="AW28" s="178" t="str">
        <f>IFERROR(__xludf.DUMMYFUNCTION("TEXTJOIN("" / "", 1, SORT(UNIQUE(TRANSPOSE(SPLIT(TRIM(REGEXREPLACE(AW27,""([0-9]{3}[a-zA-Z]?)|."",""$1 "")), "" "")))))"),"103 / 104 / 105 / 300 / 306 / 308 / 316 / 318 / 320 / 460 / 461")</f>
        <v>103 / 104 / 105 / 300 / 306 / 308 / 316 / 318 / 320 / 460 / 461</v>
      </c>
      <c r="AX28" s="163"/>
      <c r="AY28" s="163"/>
      <c r="AZ28" s="163"/>
      <c r="BA28" s="163"/>
      <c r="BB28" s="163"/>
      <c r="BC28" s="163"/>
      <c r="BD28" s="163"/>
      <c r="BE28" s="163"/>
      <c r="BF28" s="163"/>
      <c r="BG28" s="163"/>
      <c r="BH28" s="163"/>
      <c r="BI28" s="163"/>
      <c r="BJ28" s="163"/>
      <c r="BK28" s="163"/>
      <c r="BL28" s="163"/>
      <c r="BM28" s="163"/>
      <c r="BN28" s="163"/>
      <c r="BO28" s="163"/>
      <c r="BP28" s="163"/>
      <c r="BQ28" s="163"/>
      <c r="BR28" s="163"/>
      <c r="BS28" s="163"/>
      <c r="BT28" s="163"/>
      <c r="BU28" s="163"/>
      <c r="BV28" s="163"/>
      <c r="BW28" s="163"/>
      <c r="BX28" s="163"/>
      <c r="BY28" s="163"/>
      <c r="BZ28" s="163"/>
      <c r="CA28" s="163"/>
      <c r="CB28" s="163"/>
      <c r="CC28" s="163"/>
      <c r="CD28" s="163"/>
      <c r="CE28" s="163"/>
      <c r="CF28" s="163"/>
      <c r="CG28" s="163"/>
      <c r="CH28" s="163"/>
    </row>
    <row r="29">
      <c r="A29" s="152" t="s">
        <v>51</v>
      </c>
      <c r="B29" s="181" t="s">
        <v>224</v>
      </c>
      <c r="M29" s="23"/>
      <c r="N29" s="154" t="s">
        <v>158</v>
      </c>
      <c r="O29" s="182" t="s">
        <v>143</v>
      </c>
      <c r="P29" s="231" t="s">
        <v>196</v>
      </c>
      <c r="Q29" s="231" t="s">
        <v>196</v>
      </c>
      <c r="R29" s="256" t="s">
        <v>197</v>
      </c>
      <c r="S29" s="256" t="s">
        <v>197</v>
      </c>
      <c r="T29" s="182" t="s">
        <v>143</v>
      </c>
      <c r="U29" s="182" t="s">
        <v>143</v>
      </c>
      <c r="V29" s="270" t="s">
        <v>206</v>
      </c>
      <c r="W29" s="182" t="s">
        <v>143</v>
      </c>
      <c r="X29" s="271" t="s">
        <v>225</v>
      </c>
      <c r="Y29" s="272" t="s">
        <v>226</v>
      </c>
      <c r="Z29" s="154" t="s">
        <v>162</v>
      </c>
      <c r="AA29" s="614" t="s">
        <v>520</v>
      </c>
      <c r="AE29" s="23"/>
      <c r="AF29" s="182" t="s">
        <v>209</v>
      </c>
      <c r="AG29" s="156"/>
      <c r="AH29" s="156"/>
      <c r="AI29" s="156"/>
      <c r="AJ29" s="413" t="s">
        <v>520</v>
      </c>
      <c r="AK29" s="294" t="s">
        <v>227</v>
      </c>
      <c r="AL29" s="152" t="s">
        <v>51</v>
      </c>
      <c r="AM29" s="63"/>
      <c r="AN29" s="63"/>
      <c r="AO29" s="228"/>
      <c r="AP29" s="156"/>
      <c r="AQ29" s="276" t="s">
        <v>212</v>
      </c>
      <c r="AR29" s="277" t="s">
        <v>228</v>
      </c>
      <c r="AS29" s="152" t="s">
        <v>51</v>
      </c>
      <c r="AT29" s="63"/>
      <c r="AU29" s="63"/>
      <c r="AV29" s="163"/>
      <c r="AW29" s="163"/>
      <c r="AX29" s="163"/>
      <c r="AY29" s="163"/>
      <c r="AZ29" s="163"/>
      <c r="BA29" s="163"/>
      <c r="BB29" s="163"/>
      <c r="BC29" s="163"/>
      <c r="BD29" s="163"/>
      <c r="BE29" s="163"/>
      <c r="BF29" s="163"/>
      <c r="BG29" s="163"/>
      <c r="BH29" s="163"/>
      <c r="BI29" s="163"/>
      <c r="BJ29" s="163"/>
      <c r="BK29" s="163"/>
      <c r="BL29" s="163"/>
      <c r="BM29" s="163"/>
      <c r="BN29" s="163"/>
      <c r="BO29" s="163"/>
      <c r="BP29" s="163"/>
      <c r="BQ29" s="163"/>
      <c r="BR29" s="163"/>
      <c r="BS29" s="163"/>
      <c r="BT29" s="163"/>
      <c r="BU29" s="163"/>
      <c r="BV29" s="163"/>
      <c r="BW29" s="163"/>
      <c r="BX29" s="163"/>
      <c r="BY29" s="163"/>
      <c r="BZ29" s="163"/>
      <c r="CA29" s="163"/>
      <c r="CB29" s="163"/>
      <c r="CC29" s="163"/>
      <c r="CD29" s="163"/>
      <c r="CE29" s="163"/>
      <c r="CF29" s="163"/>
      <c r="CG29" s="163"/>
      <c r="CH29" s="163"/>
    </row>
    <row r="30">
      <c r="A30" s="38"/>
      <c r="B30" s="278" t="s">
        <v>229</v>
      </c>
      <c r="M30" s="23"/>
      <c r="N30" s="23"/>
      <c r="O30" s="259" t="s">
        <v>200</v>
      </c>
      <c r="P30" s="279" t="s">
        <v>230</v>
      </c>
      <c r="Q30" s="261" t="s">
        <v>201</v>
      </c>
      <c r="R30" s="262" t="s">
        <v>215</v>
      </c>
      <c r="S30" s="262"/>
      <c r="T30" s="260" t="s">
        <v>170</v>
      </c>
      <c r="U30" s="260" t="s">
        <v>233</v>
      </c>
      <c r="V30" s="239" t="s">
        <v>217</v>
      </c>
      <c r="W30" s="260" t="s">
        <v>152</v>
      </c>
      <c r="X30" s="296" t="s">
        <v>234</v>
      </c>
      <c r="Y30" s="297" t="s">
        <v>235</v>
      </c>
      <c r="Z30" s="23"/>
      <c r="AA30" s="615" t="s">
        <v>521</v>
      </c>
      <c r="AE30" s="23"/>
      <c r="AF30" s="259" t="s">
        <v>219</v>
      </c>
      <c r="AG30" s="156"/>
      <c r="AH30" s="156"/>
      <c r="AI30" s="156"/>
      <c r="AJ30" s="386" t="s">
        <v>521</v>
      </c>
      <c r="AK30" s="299" t="s">
        <v>236</v>
      </c>
      <c r="AL30" s="38"/>
      <c r="AM30" s="69"/>
      <c r="AN30" s="69"/>
      <c r="AO30" s="161"/>
      <c r="AP30" s="156"/>
      <c r="AQ30" s="250" t="s">
        <v>237</v>
      </c>
      <c r="AR30" s="192" t="s">
        <v>201</v>
      </c>
      <c r="AS30" s="38"/>
      <c r="AT30" s="69"/>
      <c r="AU30" s="69"/>
      <c r="AV30" s="163"/>
      <c r="AW30" s="300" t="str">
        <f t="array" ref="AW30">TEXTJOIN(" | ", 1, A31:AT31)</f>
        <v>108 | 308 | 300 | 461 | 318 | 305 | 104 | 304 | 320 | 103 | 105 ON 28/01, 04/02, 11/02 | 316 | 105 ON 28/01, 04/02, 11/02 | 317 | 306 STARTS AT 12:50</v>
      </c>
      <c r="AX30" s="163"/>
      <c r="AY30" s="163"/>
      <c r="AZ30" s="163"/>
      <c r="BA30" s="163"/>
      <c r="BB30" s="163"/>
      <c r="BC30" s="163"/>
      <c r="BD30" s="163"/>
      <c r="BE30" s="163"/>
      <c r="BF30" s="163"/>
      <c r="BG30" s="163"/>
      <c r="BH30" s="163"/>
      <c r="BI30" s="163"/>
      <c r="BJ30" s="163"/>
      <c r="BK30" s="163"/>
      <c r="BL30" s="163"/>
      <c r="BM30" s="163"/>
      <c r="BN30" s="163"/>
      <c r="BO30" s="163"/>
      <c r="BP30" s="163"/>
      <c r="BQ30" s="163"/>
      <c r="BR30" s="163"/>
      <c r="BS30" s="163"/>
      <c r="BT30" s="163"/>
      <c r="BU30" s="163"/>
      <c r="BV30" s="163"/>
      <c r="BW30" s="163"/>
      <c r="BX30" s="163"/>
      <c r="BY30" s="163"/>
      <c r="BZ30" s="163"/>
      <c r="CA30" s="163"/>
      <c r="CB30" s="163"/>
      <c r="CC30" s="163"/>
      <c r="CD30" s="163"/>
      <c r="CE30" s="163"/>
      <c r="CF30" s="163"/>
      <c r="CG30" s="163"/>
      <c r="CH30" s="163"/>
    </row>
    <row r="31">
      <c r="A31" s="44"/>
      <c r="B31" s="301">
        <v>108.0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7"/>
      <c r="N31" s="47"/>
      <c r="O31" s="520">
        <v>308.0</v>
      </c>
      <c r="P31" s="244">
        <v>300.0</v>
      </c>
      <c r="Q31" s="244">
        <v>461.0</v>
      </c>
      <c r="R31" s="612"/>
      <c r="S31" s="616"/>
      <c r="T31" s="520">
        <v>318.0</v>
      </c>
      <c r="U31" s="204">
        <v>305.0</v>
      </c>
      <c r="V31" s="288">
        <v>104.0</v>
      </c>
      <c r="W31" s="199">
        <v>304.0</v>
      </c>
      <c r="X31" s="289">
        <v>320.0</v>
      </c>
      <c r="Y31" s="290">
        <v>103.0</v>
      </c>
      <c r="Z31" s="47"/>
      <c r="AA31" s="429" t="s">
        <v>523</v>
      </c>
      <c r="AB31" s="46"/>
      <c r="AC31" s="46"/>
      <c r="AD31" s="46"/>
      <c r="AE31" s="47"/>
      <c r="AF31" s="204">
        <v>316.0</v>
      </c>
      <c r="AG31" s="172"/>
      <c r="AH31" s="172"/>
      <c r="AI31" s="172"/>
      <c r="AJ31" s="432" t="s">
        <v>523</v>
      </c>
      <c r="AK31" s="304">
        <v>317.0</v>
      </c>
      <c r="AL31" s="44"/>
      <c r="AM31" s="76"/>
      <c r="AN31" s="76"/>
      <c r="AO31" s="172"/>
      <c r="AP31" s="172"/>
      <c r="AQ31" s="252" t="s">
        <v>525</v>
      </c>
      <c r="AR31" s="201"/>
      <c r="AS31" s="44"/>
      <c r="AT31" s="76"/>
      <c r="AU31" s="76"/>
      <c r="AV31" s="164" t="str">
        <f>IFERROR(__xludf.DUMMYFUNCTION("TEXTJOIN("" / "", TRUE, FILTER(TO_TEXT(SPLIT($AZ$4, "" / "")), NOT(REGEXMATCH(TO_TEXT(SPLIT($AZ$4, "" / "")), ""\b"" &amp; TEXTJOIN(""|"", TRUE, SPLIT(AW31, "" / "")) &amp; ""\b""))))"),"101 / 102 / 106 / 107 / 111 / 209 / 301 / 303 / 307 / 312 / 313 / 314 / 321 / 421 / 460")</f>
        <v>101 / 102 / 106 / 107 / 111 / 209 / 301 / 303 / 307 / 312 / 313 / 314 / 321 / 421 / 460</v>
      </c>
      <c r="AW31" s="178" t="str">
        <f>IFERROR(__xludf.DUMMYFUNCTION("TEXTJOIN("" / "", 1, SORT(UNIQUE(TRANSPOSE(SPLIT(TRIM(REGEXREPLACE(AW30,""([0-9]{3}[a-zA-Z]?)|."",""$1 "")), "" "")))))"),"103 / 104 / 105 / 108 / 300 / 304 / 305 / 306 / 308 / 316 / 317 / 318 / 320 / 461")</f>
        <v>103 / 104 / 105 / 108 / 300 / 304 / 305 / 306 / 308 / 316 / 317 / 318 / 320 / 461</v>
      </c>
      <c r="AX31" s="163"/>
      <c r="AY31" s="163"/>
      <c r="AZ31" s="163"/>
      <c r="BA31" s="163"/>
      <c r="BB31" s="163"/>
      <c r="BC31" s="163"/>
      <c r="BD31" s="163"/>
      <c r="BE31" s="163"/>
      <c r="BF31" s="163"/>
      <c r="BG31" s="163"/>
      <c r="BH31" s="163"/>
      <c r="BI31" s="163"/>
      <c r="BJ31" s="163"/>
      <c r="BK31" s="163"/>
      <c r="BL31" s="163"/>
      <c r="BM31" s="163"/>
      <c r="BN31" s="163"/>
      <c r="BO31" s="163"/>
      <c r="BP31" s="163"/>
      <c r="BQ31" s="163"/>
      <c r="BR31" s="163"/>
      <c r="BS31" s="163"/>
      <c r="BT31" s="163"/>
      <c r="BU31" s="163"/>
      <c r="BV31" s="163"/>
      <c r="BW31" s="163"/>
      <c r="BX31" s="163"/>
      <c r="BY31" s="163"/>
      <c r="BZ31" s="163"/>
      <c r="CA31" s="163"/>
      <c r="CB31" s="163"/>
      <c r="CC31" s="163"/>
      <c r="CD31" s="163"/>
      <c r="CE31" s="163"/>
      <c r="CF31" s="163"/>
      <c r="CG31" s="163"/>
      <c r="CH31" s="163"/>
    </row>
    <row r="32">
      <c r="A32" s="152" t="s">
        <v>59</v>
      </c>
      <c r="B32" s="270" t="s">
        <v>239</v>
      </c>
      <c r="C32" s="208" t="s">
        <v>157</v>
      </c>
      <c r="D32" s="208" t="s">
        <v>157</v>
      </c>
      <c r="E32" s="270" t="s">
        <v>239</v>
      </c>
      <c r="F32" s="208" t="s">
        <v>157</v>
      </c>
      <c r="G32" s="208" t="s">
        <v>157</v>
      </c>
      <c r="H32" s="270" t="s">
        <v>239</v>
      </c>
      <c r="I32" s="208" t="s">
        <v>157</v>
      </c>
      <c r="J32" s="227"/>
      <c r="K32" s="208" t="s">
        <v>157</v>
      </c>
      <c r="L32" s="270" t="s">
        <v>239</v>
      </c>
      <c r="M32" s="208" t="s">
        <v>157</v>
      </c>
      <c r="N32" s="154" t="s">
        <v>172</v>
      </c>
      <c r="O32" s="256" t="s">
        <v>197</v>
      </c>
      <c r="P32" s="305"/>
      <c r="Q32" s="256" t="s">
        <v>197</v>
      </c>
      <c r="R32" s="305"/>
      <c r="S32" s="305"/>
      <c r="T32" s="305"/>
      <c r="U32" s="305"/>
      <c r="V32" s="182" t="s">
        <v>143</v>
      </c>
      <c r="W32" s="305"/>
      <c r="X32" s="305"/>
      <c r="Y32" s="155" t="s">
        <v>143</v>
      </c>
      <c r="Z32" s="152" t="s">
        <v>174</v>
      </c>
      <c r="AA32" s="328" t="s">
        <v>289</v>
      </c>
      <c r="AC32" s="23"/>
      <c r="AD32" s="306" t="s">
        <v>240</v>
      </c>
      <c r="AE32" s="23"/>
      <c r="AF32" s="155" t="s">
        <v>241</v>
      </c>
      <c r="AI32" s="23"/>
      <c r="AJ32" s="63"/>
      <c r="AK32" s="294" t="s">
        <v>227</v>
      </c>
      <c r="AL32" s="152" t="s">
        <v>59</v>
      </c>
      <c r="AM32" s="307" t="s">
        <v>242</v>
      </c>
      <c r="AN32" s="8"/>
      <c r="AO32" s="156"/>
      <c r="AP32" s="156"/>
      <c r="AQ32" s="156"/>
      <c r="AR32" s="63"/>
      <c r="AS32" s="152" t="s">
        <v>59</v>
      </c>
      <c r="AT32" s="63"/>
      <c r="AU32" s="63"/>
      <c r="AV32" s="163"/>
      <c r="AW32" s="163"/>
      <c r="AX32" s="163"/>
      <c r="AY32" s="163"/>
      <c r="AZ32" s="163"/>
      <c r="BA32" s="163"/>
      <c r="BB32" s="163"/>
      <c r="BC32" s="163"/>
      <c r="BD32" s="163"/>
      <c r="BE32" s="163"/>
      <c r="BF32" s="163"/>
      <c r="BG32" s="163"/>
      <c r="BH32" s="163"/>
      <c r="BI32" s="163"/>
      <c r="BJ32" s="163"/>
      <c r="BK32" s="163"/>
      <c r="BL32" s="163"/>
      <c r="BM32" s="163"/>
      <c r="BN32" s="163"/>
      <c r="BO32" s="163"/>
      <c r="BP32" s="163"/>
      <c r="BQ32" s="163"/>
      <c r="BR32" s="163"/>
      <c r="BS32" s="163"/>
      <c r="BT32" s="163"/>
      <c r="BU32" s="163"/>
      <c r="BV32" s="163"/>
      <c r="BW32" s="163"/>
      <c r="BX32" s="163"/>
      <c r="BY32" s="163"/>
      <c r="BZ32" s="163"/>
      <c r="CA32" s="163"/>
      <c r="CB32" s="163"/>
      <c r="CC32" s="163"/>
      <c r="CD32" s="163"/>
      <c r="CE32" s="163"/>
      <c r="CF32" s="163"/>
      <c r="CG32" s="163"/>
      <c r="CH32" s="163"/>
    </row>
    <row r="33">
      <c r="A33" s="38"/>
      <c r="B33" s="194" t="s">
        <v>243</v>
      </c>
      <c r="C33" s="213" t="s">
        <v>165</v>
      </c>
      <c r="D33" s="213" t="s">
        <v>165</v>
      </c>
      <c r="E33" s="194" t="s">
        <v>244</v>
      </c>
      <c r="F33" s="213" t="s">
        <v>165</v>
      </c>
      <c r="G33" s="213" t="s">
        <v>165</v>
      </c>
      <c r="H33" s="239" t="s">
        <v>245</v>
      </c>
      <c r="I33" s="213" t="s">
        <v>165</v>
      </c>
      <c r="J33" s="234"/>
      <c r="K33" s="213" t="s">
        <v>165</v>
      </c>
      <c r="L33" s="194" t="s">
        <v>232</v>
      </c>
      <c r="M33" s="213" t="s">
        <v>165</v>
      </c>
      <c r="N33" s="23"/>
      <c r="O33" s="295" t="s">
        <v>231</v>
      </c>
      <c r="P33" s="156"/>
      <c r="Q33" s="262" t="s">
        <v>202</v>
      </c>
      <c r="R33" s="156"/>
      <c r="S33" s="156"/>
      <c r="T33" s="156"/>
      <c r="U33" s="156"/>
      <c r="V33" s="260" t="s">
        <v>152</v>
      </c>
      <c r="W33" s="156"/>
      <c r="X33" s="156"/>
      <c r="Y33" s="308" t="s">
        <v>150</v>
      </c>
      <c r="Z33" s="38"/>
      <c r="AA33" s="365" t="s">
        <v>294</v>
      </c>
      <c r="AC33" s="23"/>
      <c r="AD33" s="309" t="s">
        <v>246</v>
      </c>
      <c r="AE33" s="23"/>
      <c r="AF33" s="310" t="s">
        <v>247</v>
      </c>
      <c r="AI33" s="23"/>
      <c r="AJ33" s="69"/>
      <c r="AK33" s="299" t="s">
        <v>236</v>
      </c>
      <c r="AL33" s="38"/>
      <c r="AM33" s="311" t="s">
        <v>248</v>
      </c>
      <c r="AN33" s="23"/>
      <c r="AO33" s="156"/>
      <c r="AP33" s="156"/>
      <c r="AQ33" s="156"/>
      <c r="AR33" s="69"/>
      <c r="AS33" s="38"/>
      <c r="AT33" s="69"/>
      <c r="AU33" s="69"/>
      <c r="AV33" s="163"/>
      <c r="AW33" s="300" t="str">
        <f t="array" ref="AW33">TEXTJOIN(" | ", 1, A34:AT34)</f>
        <v>318 | 103/104/301/111/305/306/421/460 | 103/104/301/111/305/306/421/460 | 209 | 103/104/301/111/305/306/421/460 | 103/104/301/111/305/306/421/460 | 300 | 103/104/301/111/305/306/421/460 | 103/104/301/111/305/306/421/460 | 314 | 103/104/301/111/305/306/421/460 | 304 | 101 | 105 ON 04/02 | Online (321 ON 11/02) | ONLINE EXCEPT 11/02 | 317 | 321</v>
      </c>
      <c r="AX33" s="163"/>
      <c r="AY33" s="163"/>
      <c r="AZ33" s="163"/>
      <c r="BA33" s="163"/>
      <c r="BB33" s="163"/>
      <c r="BC33" s="163"/>
      <c r="BD33" s="163"/>
      <c r="BE33" s="163"/>
      <c r="BF33" s="163"/>
      <c r="BG33" s="163"/>
      <c r="BH33" s="163"/>
      <c r="BI33" s="163"/>
      <c r="BJ33" s="163"/>
      <c r="BK33" s="163"/>
      <c r="BL33" s="163"/>
      <c r="BM33" s="163"/>
      <c r="BN33" s="163"/>
      <c r="BO33" s="163"/>
      <c r="BP33" s="163"/>
      <c r="BQ33" s="163"/>
      <c r="BR33" s="163"/>
      <c r="BS33" s="163"/>
      <c r="BT33" s="163"/>
      <c r="BU33" s="163"/>
      <c r="BV33" s="163"/>
      <c r="BW33" s="163"/>
      <c r="BX33" s="163"/>
      <c r="BY33" s="163"/>
      <c r="BZ33" s="163"/>
      <c r="CA33" s="163"/>
      <c r="CB33" s="163"/>
      <c r="CC33" s="163"/>
      <c r="CD33" s="163"/>
      <c r="CE33" s="163"/>
      <c r="CF33" s="163"/>
      <c r="CG33" s="163"/>
      <c r="CH33" s="163"/>
    </row>
    <row r="34">
      <c r="A34" s="44"/>
      <c r="B34" s="312">
        <v>318.0</v>
      </c>
      <c r="C34" s="221" t="s">
        <v>526</v>
      </c>
      <c r="D34" s="221" t="s">
        <v>526</v>
      </c>
      <c r="E34" s="313">
        <v>209.0</v>
      </c>
      <c r="F34" s="221" t="s">
        <v>526</v>
      </c>
      <c r="G34" s="221" t="s">
        <v>526</v>
      </c>
      <c r="H34" s="312">
        <v>300.0</v>
      </c>
      <c r="I34" s="221" t="s">
        <v>526</v>
      </c>
      <c r="J34" s="240"/>
      <c r="K34" s="221" t="s">
        <v>526</v>
      </c>
      <c r="L34" s="313">
        <v>314.0</v>
      </c>
      <c r="M34" s="221" t="s">
        <v>526</v>
      </c>
      <c r="N34" s="47"/>
      <c r="O34" s="617"/>
      <c r="P34" s="172"/>
      <c r="Q34" s="616"/>
      <c r="R34" s="172"/>
      <c r="S34" s="172"/>
      <c r="T34" s="172"/>
      <c r="U34" s="172"/>
      <c r="V34" s="199">
        <v>304.0</v>
      </c>
      <c r="W34" s="172"/>
      <c r="X34" s="172"/>
      <c r="Y34" s="526">
        <v>101.0</v>
      </c>
      <c r="Z34" s="44"/>
      <c r="AA34" s="371" t="s">
        <v>527</v>
      </c>
      <c r="AB34" s="46"/>
      <c r="AC34" s="47"/>
      <c r="AD34" s="527" t="s">
        <v>528</v>
      </c>
      <c r="AE34" s="47"/>
      <c r="AF34" s="316" t="s">
        <v>529</v>
      </c>
      <c r="AG34" s="46"/>
      <c r="AH34" s="46"/>
      <c r="AI34" s="47"/>
      <c r="AJ34" s="76"/>
      <c r="AK34" s="304">
        <v>317.0</v>
      </c>
      <c r="AL34" s="44"/>
      <c r="AM34" s="317">
        <v>321.0</v>
      </c>
      <c r="AN34" s="47"/>
      <c r="AO34" s="172"/>
      <c r="AP34" s="172"/>
      <c r="AQ34" s="172"/>
      <c r="AR34" s="76"/>
      <c r="AS34" s="44"/>
      <c r="AT34" s="76"/>
      <c r="AU34" s="76"/>
      <c r="AV34" s="164" t="str">
        <f>IFERROR(__xludf.DUMMYFUNCTION("TEXTJOIN("" / "", TRUE, FILTER(TO_TEXT(SPLIT($AZ$4, "" / "")), NOT(REGEXMATCH(TO_TEXT(SPLIT($AZ$4, "" / "")), ""\b"" &amp; TEXTJOIN(""|"", TRUE, SPLIT(AW34, "" / "")) &amp; ""\b""))))"),"102 / 106 / 107 / 108 / 303 / 307 / 308 / 312 / 313 / 316 / 320 / 461")</f>
        <v>102 / 106 / 107 / 108 / 303 / 307 / 308 / 312 / 313 / 316 / 320 / 461</v>
      </c>
      <c r="AW34" s="178" t="str">
        <f>IFERROR(__xludf.DUMMYFUNCTION("TEXTJOIN("" / "", 1, SORT(UNIQUE(TRANSPOSE(SPLIT(TRIM(REGEXREPLACE(AW33,""([0-9]{3}[a-zA-Z]?)|."",""$1 "")), "" "")))))"),"101 / 103 / 104 / 105 / 111 / 209 / 300 / 301 / 304 / 305 / 306 / 314 / 317 / 318 / 321 / 421 / 460")</f>
        <v>101 / 103 / 104 / 105 / 111 / 209 / 300 / 301 / 304 / 305 / 306 / 314 / 317 / 318 / 321 / 421 / 460</v>
      </c>
      <c r="AX34" s="163"/>
      <c r="AY34" s="163"/>
      <c r="AZ34" s="163"/>
      <c r="BA34" s="163"/>
      <c r="BB34" s="163"/>
      <c r="BC34" s="163"/>
      <c r="BD34" s="163"/>
      <c r="BE34" s="163"/>
      <c r="BF34" s="163"/>
      <c r="BG34" s="163"/>
      <c r="BH34" s="163"/>
      <c r="BI34" s="163"/>
      <c r="BJ34" s="163"/>
      <c r="BK34" s="163"/>
      <c r="BL34" s="163"/>
      <c r="BM34" s="163"/>
      <c r="BN34" s="163"/>
      <c r="BO34" s="163"/>
      <c r="BP34" s="163"/>
      <c r="BQ34" s="163"/>
      <c r="BR34" s="163"/>
      <c r="BS34" s="163"/>
      <c r="BT34" s="163"/>
      <c r="BU34" s="163"/>
      <c r="BV34" s="163"/>
      <c r="BW34" s="163"/>
      <c r="BX34" s="163"/>
      <c r="BY34" s="163"/>
      <c r="BZ34" s="163"/>
      <c r="CA34" s="163"/>
      <c r="CB34" s="163"/>
      <c r="CC34" s="163"/>
      <c r="CD34" s="163"/>
      <c r="CE34" s="163"/>
      <c r="CF34" s="163"/>
      <c r="CG34" s="163"/>
      <c r="CH34" s="163"/>
    </row>
    <row r="35">
      <c r="A35" s="152" t="s">
        <v>64</v>
      </c>
      <c r="B35" s="208" t="s">
        <v>157</v>
      </c>
      <c r="C35" s="270" t="s">
        <v>239</v>
      </c>
      <c r="D35" s="208" t="s">
        <v>157</v>
      </c>
      <c r="E35" s="208" t="s">
        <v>157</v>
      </c>
      <c r="F35" s="270" t="s">
        <v>239</v>
      </c>
      <c r="G35" s="208" t="s">
        <v>157</v>
      </c>
      <c r="H35" s="208" t="s">
        <v>157</v>
      </c>
      <c r="I35" s="270" t="s">
        <v>239</v>
      </c>
      <c r="J35" s="208" t="s">
        <v>157</v>
      </c>
      <c r="K35" s="270" t="s">
        <v>239</v>
      </c>
      <c r="L35" s="208" t="s">
        <v>157</v>
      </c>
      <c r="M35" s="158"/>
      <c r="N35" s="154" t="s">
        <v>184</v>
      </c>
      <c r="O35" s="228"/>
      <c r="P35" s="305"/>
      <c r="Q35" s="305"/>
      <c r="R35" s="305"/>
      <c r="S35" s="305"/>
      <c r="T35" s="305"/>
      <c r="U35" s="305"/>
      <c r="V35" s="256" t="s">
        <v>197</v>
      </c>
      <c r="W35" s="305"/>
      <c r="X35" s="305"/>
      <c r="Y35" s="156"/>
      <c r="Z35" s="154" t="s">
        <v>185</v>
      </c>
      <c r="AA35" s="156"/>
      <c r="AB35" s="156"/>
      <c r="AC35" s="156"/>
      <c r="AD35" s="306" t="s">
        <v>240</v>
      </c>
      <c r="AE35" s="23"/>
      <c r="AF35" s="134"/>
      <c r="AG35" s="158"/>
      <c r="AH35" s="228"/>
      <c r="AI35" s="156"/>
      <c r="AJ35" s="449"/>
      <c r="AK35" s="156"/>
      <c r="AL35" s="152" t="s">
        <v>64</v>
      </c>
      <c r="AM35" s="230"/>
      <c r="AN35" s="156"/>
      <c r="AO35" s="230"/>
      <c r="AP35" s="156"/>
      <c r="AQ35" s="156"/>
      <c r="AR35" s="156"/>
      <c r="AS35" s="152" t="s">
        <v>64</v>
      </c>
      <c r="AT35" s="257" t="s">
        <v>252</v>
      </c>
      <c r="AU35" s="319"/>
      <c r="AV35" s="258"/>
      <c r="AW35" s="258"/>
      <c r="AX35" s="258"/>
      <c r="AY35" s="258"/>
      <c r="AZ35" s="258"/>
      <c r="BA35" s="258"/>
      <c r="BB35" s="258"/>
      <c r="BC35" s="258"/>
      <c r="BD35" s="258"/>
      <c r="BE35" s="258"/>
      <c r="BF35" s="258"/>
      <c r="BG35" s="258"/>
      <c r="BH35" s="258"/>
      <c r="BI35" s="258"/>
      <c r="BJ35" s="258"/>
      <c r="BK35" s="258"/>
      <c r="BL35" s="258"/>
      <c r="BM35" s="258"/>
      <c r="BN35" s="258"/>
      <c r="BO35" s="258"/>
      <c r="BP35" s="258"/>
      <c r="BQ35" s="258"/>
      <c r="BR35" s="258"/>
      <c r="BS35" s="258"/>
      <c r="BT35" s="258"/>
      <c r="BU35" s="258"/>
      <c r="BV35" s="258"/>
      <c r="BW35" s="258"/>
      <c r="BX35" s="258"/>
      <c r="BY35" s="258"/>
      <c r="BZ35" s="258"/>
      <c r="CA35" s="258"/>
      <c r="CB35" s="258"/>
      <c r="CC35" s="258"/>
      <c r="CD35" s="258"/>
      <c r="CE35" s="258"/>
      <c r="CF35" s="258"/>
      <c r="CG35" s="258"/>
      <c r="CH35" s="258"/>
    </row>
    <row r="36">
      <c r="A36" s="38"/>
      <c r="B36" s="213" t="s">
        <v>165</v>
      </c>
      <c r="C36" s="194" t="s">
        <v>243</v>
      </c>
      <c r="D36" s="213" t="s">
        <v>165</v>
      </c>
      <c r="E36" s="213" t="s">
        <v>165</v>
      </c>
      <c r="F36" s="194" t="s">
        <v>244</v>
      </c>
      <c r="G36" s="213" t="s">
        <v>165</v>
      </c>
      <c r="H36" s="213" t="s">
        <v>165</v>
      </c>
      <c r="I36" s="239" t="s">
        <v>245</v>
      </c>
      <c r="J36" s="213" t="s">
        <v>165</v>
      </c>
      <c r="K36" s="194" t="s">
        <v>232</v>
      </c>
      <c r="L36" s="213" t="s">
        <v>165</v>
      </c>
      <c r="M36" s="168"/>
      <c r="N36" s="23"/>
      <c r="O36" s="161"/>
      <c r="P36" s="156"/>
      <c r="Q36" s="156"/>
      <c r="R36" s="156"/>
      <c r="S36" s="156"/>
      <c r="T36" s="156"/>
      <c r="U36" s="156"/>
      <c r="V36" s="262" t="s">
        <v>202</v>
      </c>
      <c r="W36" s="156"/>
      <c r="X36" s="156"/>
      <c r="Y36" s="156"/>
      <c r="Z36" s="23"/>
      <c r="AA36" s="156"/>
      <c r="AB36" s="156"/>
      <c r="AC36" s="156"/>
      <c r="AD36" s="309" t="s">
        <v>246</v>
      </c>
      <c r="AE36" s="23"/>
      <c r="AF36" s="211"/>
      <c r="AG36" s="154"/>
      <c r="AH36" s="161"/>
      <c r="AI36" s="156"/>
      <c r="AJ36" s="237"/>
      <c r="AK36" s="156"/>
      <c r="AL36" s="38"/>
      <c r="AM36" s="230"/>
      <c r="AN36" s="156"/>
      <c r="AO36" s="230"/>
      <c r="AP36" s="156"/>
      <c r="AQ36" s="156"/>
      <c r="AR36" s="156"/>
      <c r="AS36" s="38"/>
      <c r="AT36" s="321" t="s">
        <v>254</v>
      </c>
      <c r="AU36" s="152"/>
      <c r="AV36" s="258"/>
      <c r="AW36" s="300" t="str">
        <f t="array" ref="AW36">TEXTJOIN(" | ", 1, A37:AT37)</f>
        <v>103/104/301/111/305/306/421/460 | 318 | 103/104/301/111/305/306/421/460 | 103/104/301/111/305/306/421/460 | 209 | 103/104/301/111/305/306/421/460 | 103/104/301/111/305/306/421/460 | 300 | 103/104/301/111/305/306/421/460 | 314 | 103/104/301/111/305/306/421/460 | Online (321 ON 11/02) | 320 ON 25/02</v>
      </c>
      <c r="AX36" s="258"/>
      <c r="AY36" s="258"/>
      <c r="AZ36" s="258"/>
      <c r="BA36" s="258"/>
      <c r="BB36" s="258"/>
      <c r="BC36" s="258"/>
      <c r="BD36" s="258"/>
      <c r="BE36" s="258"/>
      <c r="BF36" s="258"/>
      <c r="BG36" s="258"/>
      <c r="BH36" s="258"/>
      <c r="BI36" s="258"/>
      <c r="BJ36" s="258"/>
      <c r="BK36" s="258"/>
      <c r="BL36" s="258"/>
      <c r="BM36" s="258"/>
      <c r="BN36" s="258"/>
      <c r="BO36" s="258"/>
      <c r="BP36" s="258"/>
      <c r="BQ36" s="258"/>
      <c r="BR36" s="258"/>
      <c r="BS36" s="258"/>
      <c r="BT36" s="258"/>
      <c r="BU36" s="258"/>
      <c r="BV36" s="258"/>
      <c r="BW36" s="258"/>
      <c r="BX36" s="258"/>
      <c r="BY36" s="258"/>
      <c r="BZ36" s="258"/>
      <c r="CA36" s="258"/>
      <c r="CB36" s="258"/>
      <c r="CC36" s="258"/>
      <c r="CD36" s="258"/>
      <c r="CE36" s="258"/>
      <c r="CF36" s="258"/>
      <c r="CG36" s="258"/>
      <c r="CH36" s="258"/>
    </row>
    <row r="37">
      <c r="A37" s="44"/>
      <c r="B37" s="221" t="s">
        <v>526</v>
      </c>
      <c r="C37" s="312">
        <v>318.0</v>
      </c>
      <c r="D37" s="221" t="s">
        <v>526</v>
      </c>
      <c r="E37" s="221" t="s">
        <v>526</v>
      </c>
      <c r="F37" s="313">
        <v>209.0</v>
      </c>
      <c r="G37" s="221" t="s">
        <v>526</v>
      </c>
      <c r="H37" s="221" t="s">
        <v>526</v>
      </c>
      <c r="I37" s="312">
        <v>300.0</v>
      </c>
      <c r="J37" s="221" t="s">
        <v>526</v>
      </c>
      <c r="K37" s="313">
        <v>314.0</v>
      </c>
      <c r="L37" s="221" t="s">
        <v>526</v>
      </c>
      <c r="M37" s="202"/>
      <c r="N37" s="47"/>
      <c r="O37" s="177"/>
      <c r="P37" s="172"/>
      <c r="Q37" s="172"/>
      <c r="R37" s="172"/>
      <c r="S37" s="172"/>
      <c r="T37" s="172"/>
      <c r="U37" s="172"/>
      <c r="V37" s="616"/>
      <c r="W37" s="172"/>
      <c r="X37" s="172"/>
      <c r="Y37" s="241"/>
      <c r="Z37" s="47"/>
      <c r="AA37" s="172"/>
      <c r="AB37" s="172"/>
      <c r="AC37" s="172"/>
      <c r="AD37" s="527" t="s">
        <v>528</v>
      </c>
      <c r="AE37" s="47"/>
      <c r="AF37" s="226"/>
      <c r="AG37" s="202"/>
      <c r="AH37" s="177"/>
      <c r="AI37" s="172"/>
      <c r="AJ37" s="412"/>
      <c r="AK37" s="172"/>
      <c r="AL37" s="44"/>
      <c r="AM37" s="243"/>
      <c r="AN37" s="172"/>
      <c r="AO37" s="243"/>
      <c r="AP37" s="172"/>
      <c r="AQ37" s="172"/>
      <c r="AR37" s="172"/>
      <c r="AS37" s="44"/>
      <c r="AT37" s="266" t="s">
        <v>530</v>
      </c>
      <c r="AU37" s="323"/>
      <c r="AV37" s="164" t="str">
        <f>IFERROR(__xludf.DUMMYFUNCTION("TEXTJOIN("" / "", TRUE, FILTER(TO_TEXT(SPLIT($AZ$4, "" / "")), NOT(REGEXMATCH(TO_TEXT(SPLIT($AZ$4, "" / "")), ""\b"" &amp; TEXTJOIN(""|"", TRUE, SPLIT(AW37, "" / "")) &amp; ""\b""))))"),"101 / 102 / 105 / 106 / 107 / 108 / 303 / 304 / 307 / 308 / 312 / 313 / 316 / 317 / 461")</f>
        <v>101 / 102 / 105 / 106 / 107 / 108 / 303 / 304 / 307 / 308 / 312 / 313 / 316 / 317 / 461</v>
      </c>
      <c r="AW37" s="178" t="str">
        <f>IFERROR(__xludf.DUMMYFUNCTION("TEXTJOIN("" / "", 1, SORT(UNIQUE(TRANSPOSE(SPLIT(TRIM(REGEXREPLACE(AW36,""([0-9]{3}[a-zA-Z]?)|."",""$1 "")), "" "")))))"),"103 / 104 / 111 / 209 / 300 / 301 / 305 / 306 / 314 / 318 / 320 / 321 / 421 / 460")</f>
        <v>103 / 104 / 111 / 209 / 300 / 301 / 305 / 306 / 314 / 318 / 320 / 321 / 421 / 460</v>
      </c>
      <c r="AX37" s="163"/>
      <c r="AY37" s="163"/>
      <c r="AZ37" s="163"/>
      <c r="BA37" s="163"/>
      <c r="BB37" s="163"/>
      <c r="BC37" s="163"/>
      <c r="BD37" s="163"/>
      <c r="BE37" s="163"/>
      <c r="BF37" s="163"/>
      <c r="BG37" s="163"/>
      <c r="BH37" s="163"/>
      <c r="BI37" s="163"/>
      <c r="BJ37" s="163"/>
      <c r="BK37" s="163"/>
      <c r="BL37" s="163"/>
      <c r="BM37" s="163"/>
      <c r="BN37" s="163"/>
      <c r="BO37" s="163"/>
      <c r="BP37" s="163"/>
      <c r="BQ37" s="163"/>
      <c r="BR37" s="163"/>
      <c r="BS37" s="163"/>
      <c r="BT37" s="163"/>
      <c r="BU37" s="163"/>
      <c r="BV37" s="163"/>
      <c r="BW37" s="163"/>
      <c r="BX37" s="163"/>
      <c r="BY37" s="163"/>
      <c r="BZ37" s="163"/>
      <c r="CA37" s="163"/>
      <c r="CB37" s="163"/>
      <c r="CC37" s="163"/>
      <c r="CD37" s="163"/>
      <c r="CE37" s="163"/>
      <c r="CF37" s="163"/>
      <c r="CG37" s="163"/>
      <c r="CH37" s="163"/>
    </row>
    <row r="38">
      <c r="A38" s="152" t="s">
        <v>66</v>
      </c>
      <c r="B38" s="156"/>
      <c r="C38" s="156"/>
      <c r="D38" s="270" t="s">
        <v>239</v>
      </c>
      <c r="E38" s="156"/>
      <c r="F38" s="156"/>
      <c r="G38" s="270" t="s">
        <v>239</v>
      </c>
      <c r="H38" s="156"/>
      <c r="I38" s="156"/>
      <c r="J38" s="270" t="s">
        <v>239</v>
      </c>
      <c r="K38" s="227"/>
      <c r="L38" s="156"/>
      <c r="M38" s="270" t="s">
        <v>239</v>
      </c>
      <c r="N38" s="154" t="s">
        <v>191</v>
      </c>
      <c r="O38" s="228"/>
      <c r="P38" s="305"/>
      <c r="Q38" s="305"/>
      <c r="R38" s="305"/>
      <c r="S38" s="305"/>
      <c r="T38" s="305"/>
      <c r="U38" s="305"/>
      <c r="V38" s="305"/>
      <c r="W38" s="305"/>
      <c r="X38" s="305"/>
      <c r="Y38" s="156"/>
      <c r="Z38" s="154" t="s">
        <v>192</v>
      </c>
      <c r="AA38" s="156"/>
      <c r="AB38" s="156"/>
      <c r="AC38" s="156"/>
      <c r="AD38" s="156"/>
      <c r="AE38" s="156"/>
      <c r="AF38" s="158"/>
      <c r="AG38" s="63"/>
      <c r="AH38" s="228"/>
      <c r="AI38" s="63"/>
      <c r="AJ38" s="248" t="s">
        <v>193</v>
      </c>
      <c r="AK38" s="156"/>
      <c r="AL38" s="152" t="s">
        <v>66</v>
      </c>
      <c r="AM38" s="275" t="s">
        <v>210</v>
      </c>
      <c r="AN38" s="23"/>
      <c r="AO38" s="228"/>
      <c r="AP38" s="228"/>
      <c r="AQ38" s="207" t="s">
        <v>257</v>
      </c>
      <c r="AR38" s="156"/>
      <c r="AS38" s="324" t="s">
        <v>66</v>
      </c>
      <c r="AT38" s="257" t="s">
        <v>252</v>
      </c>
      <c r="AU38" s="319"/>
      <c r="AV38" s="258"/>
      <c r="AW38" s="258"/>
      <c r="AX38" s="258"/>
      <c r="AY38" s="258"/>
      <c r="AZ38" s="258"/>
      <c r="BA38" s="258"/>
      <c r="BB38" s="258"/>
      <c r="BC38" s="258"/>
      <c r="BD38" s="258"/>
      <c r="BE38" s="258"/>
      <c r="BF38" s="258"/>
      <c r="BG38" s="258"/>
      <c r="BH38" s="258"/>
      <c r="BI38" s="258"/>
      <c r="BJ38" s="258"/>
      <c r="BK38" s="258"/>
      <c r="BL38" s="258"/>
      <c r="BM38" s="258"/>
      <c r="BN38" s="258"/>
      <c r="BO38" s="258"/>
      <c r="BP38" s="258"/>
      <c r="BQ38" s="258"/>
      <c r="BR38" s="258"/>
      <c r="BS38" s="258"/>
      <c r="BT38" s="258"/>
      <c r="BU38" s="258"/>
      <c r="BV38" s="258"/>
      <c r="BW38" s="258"/>
      <c r="BX38" s="258"/>
      <c r="BY38" s="258"/>
      <c r="BZ38" s="258"/>
      <c r="CA38" s="258"/>
      <c r="CB38" s="258"/>
      <c r="CC38" s="258"/>
      <c r="CD38" s="258"/>
      <c r="CE38" s="258"/>
      <c r="CF38" s="258"/>
      <c r="CG38" s="258"/>
      <c r="CH38" s="258"/>
    </row>
    <row r="39">
      <c r="A39" s="38"/>
      <c r="B39" s="156"/>
      <c r="C39" s="156"/>
      <c r="D39" s="194" t="s">
        <v>244</v>
      </c>
      <c r="E39" s="156"/>
      <c r="F39" s="156"/>
      <c r="G39" s="194" t="s">
        <v>243</v>
      </c>
      <c r="H39" s="156"/>
      <c r="I39" s="156"/>
      <c r="J39" s="194" t="s">
        <v>245</v>
      </c>
      <c r="K39" s="234"/>
      <c r="L39" s="156"/>
      <c r="M39" s="194" t="s">
        <v>232</v>
      </c>
      <c r="N39" s="23"/>
      <c r="O39" s="161"/>
      <c r="P39" s="156"/>
      <c r="Q39" s="156"/>
      <c r="R39" s="156"/>
      <c r="S39" s="156"/>
      <c r="T39" s="156"/>
      <c r="U39" s="156"/>
      <c r="V39" s="156"/>
      <c r="W39" s="156"/>
      <c r="X39" s="156"/>
      <c r="Y39" s="156"/>
      <c r="Z39" s="23"/>
      <c r="AA39" s="156"/>
      <c r="AB39" s="156"/>
      <c r="AC39" s="156"/>
      <c r="AD39" s="156"/>
      <c r="AE39" s="156"/>
      <c r="AF39" s="154"/>
      <c r="AG39" s="69"/>
      <c r="AH39" s="161"/>
      <c r="AI39" s="69"/>
      <c r="AJ39" s="250" t="s">
        <v>189</v>
      </c>
      <c r="AK39" s="156"/>
      <c r="AL39" s="38"/>
      <c r="AM39" s="284" t="s">
        <v>220</v>
      </c>
      <c r="AN39" s="23"/>
      <c r="AO39" s="161"/>
      <c r="AP39" s="161"/>
      <c r="AQ39" s="214" t="s">
        <v>258</v>
      </c>
      <c r="AR39" s="156"/>
      <c r="AS39" s="38"/>
      <c r="AT39" s="321" t="s">
        <v>254</v>
      </c>
      <c r="AU39" s="152"/>
      <c r="AV39" s="258"/>
      <c r="AW39" s="163" t="str">
        <f t="array" ref="AW39">TEXTJOIN(" | ", 1, A40:AT40)</f>
        <v>209 | 318 | 300 | 314 | ONLINE STARTS AT 18:00 TILL 21:10 | 321 EXCEPT 01/04 | ONLINE STARTS AT 20:00 | 320 ON 25/02</v>
      </c>
      <c r="AX39" s="258"/>
      <c r="AY39" s="258"/>
      <c r="AZ39" s="258"/>
      <c r="BA39" s="258"/>
      <c r="BB39" s="258"/>
      <c r="BC39" s="258"/>
      <c r="BD39" s="258"/>
      <c r="BE39" s="258"/>
      <c r="BF39" s="258"/>
      <c r="BG39" s="258"/>
      <c r="BH39" s="258"/>
      <c r="BI39" s="258"/>
      <c r="BJ39" s="258"/>
      <c r="BK39" s="258"/>
      <c r="BL39" s="258"/>
      <c r="BM39" s="258"/>
      <c r="BN39" s="258"/>
      <c r="BO39" s="258"/>
      <c r="BP39" s="258"/>
      <c r="BQ39" s="258"/>
      <c r="BR39" s="258"/>
      <c r="BS39" s="258"/>
      <c r="BT39" s="258"/>
      <c r="BU39" s="258"/>
      <c r="BV39" s="258"/>
      <c r="BW39" s="258"/>
      <c r="BX39" s="258"/>
      <c r="BY39" s="258"/>
      <c r="BZ39" s="258"/>
      <c r="CA39" s="258"/>
      <c r="CB39" s="258"/>
      <c r="CC39" s="258"/>
      <c r="CD39" s="258"/>
      <c r="CE39" s="258"/>
      <c r="CF39" s="258"/>
      <c r="CG39" s="258"/>
      <c r="CH39" s="258"/>
    </row>
    <row r="40">
      <c r="A40" s="44"/>
      <c r="B40" s="172"/>
      <c r="C40" s="172"/>
      <c r="D40" s="313">
        <v>209.0</v>
      </c>
      <c r="E40" s="172"/>
      <c r="F40" s="172"/>
      <c r="G40" s="313">
        <v>318.0</v>
      </c>
      <c r="H40" s="172"/>
      <c r="I40" s="172"/>
      <c r="J40" s="312">
        <v>300.0</v>
      </c>
      <c r="K40" s="240"/>
      <c r="L40" s="172"/>
      <c r="M40" s="313">
        <v>314.0</v>
      </c>
      <c r="N40" s="47"/>
      <c r="O40" s="177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47"/>
      <c r="AA40" s="172"/>
      <c r="AB40" s="172"/>
      <c r="AC40" s="172"/>
      <c r="AD40" s="172"/>
      <c r="AE40" s="172"/>
      <c r="AF40" s="202"/>
      <c r="AG40" s="76"/>
      <c r="AH40" s="177"/>
      <c r="AI40" s="76"/>
      <c r="AJ40" s="252" t="s">
        <v>414</v>
      </c>
      <c r="AK40" s="172"/>
      <c r="AL40" s="44"/>
      <c r="AM40" s="292" t="s">
        <v>415</v>
      </c>
      <c r="AN40" s="47"/>
      <c r="AO40" s="177"/>
      <c r="AP40" s="177"/>
      <c r="AQ40" s="325" t="s">
        <v>260</v>
      </c>
      <c r="AR40" s="172"/>
      <c r="AS40" s="44"/>
      <c r="AT40" s="266" t="s">
        <v>530</v>
      </c>
      <c r="AU40" s="323"/>
      <c r="AV40" s="164" t="str">
        <f>IFERROR(__xludf.DUMMYFUNCTION("TEXTJOIN("" / "", TRUE, FILTER(TO_TEXT(SPLIT($AZ$4, "" / "")), NOT(REGEXMATCH(TO_TEXT(SPLIT($AZ$4, "" / "")), ""\b"" &amp; TEXTJOIN(""|"", TRUE, SPLIT(AW40, "" / "")) &amp; ""\b""))))"),"101 / 102 / 103 / 104 / 105 / 106 / 107 / 108 / 111 / 301 / 303 / 304 / 305 / 306 / 307 / 308 / 312 / 313 / 316 / 317 / 421 / 460 / 461")</f>
        <v>101 / 102 / 103 / 104 / 105 / 106 / 107 / 108 / 111 / 301 / 303 / 304 / 305 / 306 / 307 / 308 / 312 / 313 / 316 / 317 / 421 / 460 / 461</v>
      </c>
      <c r="AW40" s="178" t="str">
        <f>IFERROR(__xludf.DUMMYFUNCTION("TEXTJOIN("" / "", 1, SORT(UNIQUE(TRANSPOSE(SPLIT(TRIM(REGEXREPLACE(AW39,""([0-9]{3}[a-zA-Z]?)|."",""$1 "")), "" "")))))"),"209 / 300 / 314 / 318 / 320 / 321")</f>
        <v>209 / 300 / 314 / 318 / 320 / 321</v>
      </c>
      <c r="AX40" s="164"/>
      <c r="AY40" s="163"/>
      <c r="AZ40" s="163"/>
      <c r="BA40" s="163"/>
      <c r="BB40" s="163"/>
      <c r="BC40" s="163"/>
      <c r="BD40" s="163"/>
      <c r="BE40" s="163"/>
      <c r="BF40" s="163"/>
      <c r="BG40" s="163"/>
      <c r="BH40" s="163"/>
      <c r="BI40" s="163"/>
      <c r="BJ40" s="163"/>
      <c r="BK40" s="163"/>
      <c r="BL40" s="163"/>
      <c r="BM40" s="163"/>
      <c r="BN40" s="163"/>
      <c r="BO40" s="163"/>
      <c r="BP40" s="163"/>
      <c r="BQ40" s="163"/>
      <c r="BR40" s="163"/>
      <c r="BS40" s="163"/>
      <c r="BT40" s="163"/>
      <c r="BU40" s="163"/>
      <c r="BV40" s="163"/>
      <c r="BW40" s="163"/>
      <c r="BX40" s="163"/>
      <c r="BY40" s="163"/>
      <c r="BZ40" s="163"/>
      <c r="CA40" s="163"/>
      <c r="CB40" s="163"/>
      <c r="CC40" s="163"/>
      <c r="CD40" s="163"/>
      <c r="CE40" s="163"/>
      <c r="CF40" s="163"/>
      <c r="CG40" s="163"/>
      <c r="CH40" s="163"/>
    </row>
    <row r="41">
      <c r="A41" s="147" t="s">
        <v>82</v>
      </c>
      <c r="B41" s="148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7"/>
      <c r="N41" s="149" t="s">
        <v>82</v>
      </c>
      <c r="O41" s="148"/>
      <c r="P41" s="46"/>
      <c r="Q41" s="46"/>
      <c r="R41" s="46"/>
      <c r="S41" s="46"/>
      <c r="T41" s="46"/>
      <c r="U41" s="46"/>
      <c r="V41" s="46"/>
      <c r="W41" s="46"/>
      <c r="X41" s="46"/>
      <c r="Y41" s="47"/>
      <c r="Z41" s="149" t="s">
        <v>82</v>
      </c>
      <c r="AA41" s="148"/>
      <c r="AB41" s="46"/>
      <c r="AC41" s="46"/>
      <c r="AD41" s="46"/>
      <c r="AE41" s="46"/>
      <c r="AF41" s="46"/>
      <c r="AG41" s="46"/>
      <c r="AH41" s="46"/>
      <c r="AI41" s="46"/>
      <c r="AJ41" s="46"/>
      <c r="AK41" s="47"/>
      <c r="AL41" s="147" t="s">
        <v>82</v>
      </c>
      <c r="AM41" s="148"/>
      <c r="AN41" s="46"/>
      <c r="AO41" s="46"/>
      <c r="AP41" s="46"/>
      <c r="AQ41" s="46"/>
      <c r="AR41" s="47"/>
      <c r="AS41" s="147" t="s">
        <v>82</v>
      </c>
      <c r="AT41" s="326"/>
      <c r="AU41" s="326"/>
      <c r="AV41" s="151"/>
      <c r="AW41" s="151"/>
      <c r="AX41" s="151"/>
      <c r="AY41" s="151"/>
      <c r="AZ41" s="151"/>
      <c r="BA41" s="151"/>
      <c r="BB41" s="151"/>
      <c r="BC41" s="151"/>
      <c r="BD41" s="151"/>
      <c r="BE41" s="151"/>
      <c r="BF41" s="151"/>
      <c r="BG41" s="151"/>
      <c r="BH41" s="151"/>
      <c r="BI41" s="151"/>
      <c r="BJ41" s="151"/>
      <c r="BK41" s="151"/>
      <c r="BL41" s="151"/>
      <c r="BM41" s="151"/>
      <c r="BN41" s="151"/>
      <c r="BO41" s="151"/>
      <c r="BP41" s="151"/>
      <c r="BQ41" s="151"/>
      <c r="BR41" s="151"/>
      <c r="BS41" s="151"/>
      <c r="BT41" s="151"/>
      <c r="BU41" s="151"/>
      <c r="BV41" s="151"/>
      <c r="BW41" s="151"/>
      <c r="BX41" s="151"/>
      <c r="BY41" s="151"/>
      <c r="BZ41" s="151"/>
      <c r="CA41" s="151"/>
      <c r="CB41" s="151"/>
      <c r="CC41" s="151"/>
      <c r="CD41" s="151"/>
      <c r="CE41" s="151"/>
      <c r="CF41" s="151"/>
      <c r="CG41" s="151"/>
      <c r="CH41" s="151"/>
    </row>
    <row r="42">
      <c r="A42" s="152" t="s">
        <v>39</v>
      </c>
      <c r="B42" s="327" t="s">
        <v>261</v>
      </c>
      <c r="M42" s="23"/>
      <c r="N42" s="154" t="s">
        <v>128</v>
      </c>
      <c r="O42" s="156"/>
      <c r="P42" s="156"/>
      <c r="Q42" s="156"/>
      <c r="R42" s="156"/>
      <c r="S42" s="156"/>
      <c r="T42" s="156"/>
      <c r="U42" s="156"/>
      <c r="V42" s="156"/>
      <c r="W42" s="156"/>
      <c r="X42" s="156"/>
      <c r="Y42" s="156"/>
      <c r="Z42" s="154" t="s">
        <v>130</v>
      </c>
      <c r="AA42" s="613" t="s">
        <v>520</v>
      </c>
      <c r="AB42" s="7"/>
      <c r="AC42" s="7"/>
      <c r="AD42" s="7"/>
      <c r="AE42" s="8"/>
      <c r="AF42" s="328" t="s">
        <v>262</v>
      </c>
      <c r="AI42" s="23"/>
      <c r="AJ42" s="614" t="s">
        <v>520</v>
      </c>
      <c r="AK42" s="227"/>
      <c r="AL42" s="152" t="s">
        <v>39</v>
      </c>
      <c r="AM42" s="228"/>
      <c r="AN42" s="228"/>
      <c r="AO42" s="228"/>
      <c r="AP42" s="231" t="s">
        <v>264</v>
      </c>
      <c r="AQ42" s="247" t="s">
        <v>265</v>
      </c>
      <c r="AR42" s="63"/>
      <c r="AS42" s="152" t="s">
        <v>39</v>
      </c>
      <c r="AT42" s="63"/>
      <c r="AU42" s="63"/>
      <c r="AV42" s="332"/>
      <c r="AW42" s="332"/>
      <c r="AX42" s="332"/>
      <c r="AY42" s="332"/>
      <c r="AZ42" s="332"/>
      <c r="BA42" s="332"/>
      <c r="BB42" s="332"/>
      <c r="BC42" s="332"/>
      <c r="BD42" s="332"/>
      <c r="BE42" s="332"/>
      <c r="BF42" s="332"/>
      <c r="BG42" s="332"/>
      <c r="BH42" s="332"/>
      <c r="BI42" s="332"/>
      <c r="BJ42" s="332"/>
      <c r="BK42" s="332"/>
      <c r="BL42" s="332"/>
      <c r="BM42" s="332"/>
      <c r="BN42" s="332"/>
      <c r="BO42" s="332"/>
      <c r="BP42" s="332"/>
      <c r="BQ42" s="332"/>
      <c r="BR42" s="332"/>
      <c r="BS42" s="332"/>
      <c r="BT42" s="332"/>
      <c r="BU42" s="332"/>
      <c r="BV42" s="332"/>
      <c r="BW42" s="332"/>
      <c r="BX42" s="332"/>
      <c r="BY42" s="332"/>
      <c r="BZ42" s="332"/>
      <c r="CA42" s="332"/>
      <c r="CB42" s="332"/>
      <c r="CC42" s="332"/>
      <c r="CD42" s="332"/>
      <c r="CE42" s="332"/>
      <c r="CF42" s="332"/>
      <c r="CG42" s="332"/>
      <c r="CH42" s="332"/>
    </row>
    <row r="43">
      <c r="A43" s="38"/>
      <c r="B43" s="333" t="s">
        <v>268</v>
      </c>
      <c r="M43" s="23"/>
      <c r="N43" s="23"/>
      <c r="O43" s="156"/>
      <c r="P43" s="156"/>
      <c r="Q43" s="156"/>
      <c r="R43" s="156"/>
      <c r="S43" s="156"/>
      <c r="T43" s="156"/>
      <c r="U43" s="156"/>
      <c r="V43" s="156"/>
      <c r="W43" s="156"/>
      <c r="X43" s="156"/>
      <c r="Y43" s="156"/>
      <c r="Z43" s="23"/>
      <c r="AA43" s="615" t="s">
        <v>521</v>
      </c>
      <c r="AE43" s="23"/>
      <c r="AF43" s="334" t="s">
        <v>269</v>
      </c>
      <c r="AI43" s="23"/>
      <c r="AJ43" s="422" t="s">
        <v>521</v>
      </c>
      <c r="AK43" s="234"/>
      <c r="AL43" s="38"/>
      <c r="AM43" s="161"/>
      <c r="AN43" s="161"/>
      <c r="AO43" s="161"/>
      <c r="AP43" s="336" t="s">
        <v>271</v>
      </c>
      <c r="AQ43" s="337" t="s">
        <v>272</v>
      </c>
      <c r="AR43" s="69"/>
      <c r="AS43" s="38"/>
      <c r="AT43" s="69"/>
      <c r="AU43" s="69"/>
      <c r="AV43" s="339"/>
      <c r="AW43" s="163" t="str">
        <f t="array" ref="AW43">TEXTJOIN(" | ", 1, A44:AT44)</f>
        <v>108 | 105 ON 29/01, 05/02, 12/02 | 106 | 105 ON 29/01, 05/02, 12/02 | ONLINE | ONLINE ON 12/02, 19/02, 05/03, 12/03 STARTS AT 11:00 TILL 14:00</v>
      </c>
      <c r="AX43" s="339"/>
      <c r="AY43" s="339"/>
      <c r="AZ43" s="339"/>
      <c r="BA43" s="339"/>
      <c r="BB43" s="339"/>
      <c r="BC43" s="339"/>
      <c r="BD43" s="339"/>
      <c r="BE43" s="339"/>
      <c r="BF43" s="339"/>
      <c r="BG43" s="339"/>
      <c r="BH43" s="339"/>
      <c r="BI43" s="339"/>
      <c r="BJ43" s="339"/>
      <c r="BK43" s="339"/>
      <c r="BL43" s="339"/>
      <c r="BM43" s="339"/>
      <c r="BN43" s="339"/>
      <c r="BO43" s="339"/>
      <c r="BP43" s="339"/>
      <c r="BQ43" s="339"/>
      <c r="BR43" s="339"/>
      <c r="BS43" s="339"/>
      <c r="BT43" s="339"/>
      <c r="BU43" s="339"/>
      <c r="BV43" s="339"/>
      <c r="BW43" s="339"/>
      <c r="BX43" s="339"/>
      <c r="BY43" s="339"/>
      <c r="BZ43" s="339"/>
      <c r="CA43" s="339"/>
      <c r="CB43" s="339"/>
      <c r="CC43" s="339"/>
      <c r="CD43" s="339"/>
      <c r="CE43" s="339"/>
      <c r="CF43" s="339"/>
      <c r="CG43" s="339"/>
      <c r="CH43" s="339"/>
    </row>
    <row r="44">
      <c r="A44" s="44"/>
      <c r="B44" s="618">
        <v>108.0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7"/>
      <c r="N44" s="47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47"/>
      <c r="AA44" s="429" t="s">
        <v>531</v>
      </c>
      <c r="AB44" s="46"/>
      <c r="AC44" s="46"/>
      <c r="AD44" s="46"/>
      <c r="AE44" s="47"/>
      <c r="AF44" s="341">
        <v>106.0</v>
      </c>
      <c r="AG44" s="46"/>
      <c r="AH44" s="46"/>
      <c r="AI44" s="47"/>
      <c r="AJ44" s="429" t="s">
        <v>531</v>
      </c>
      <c r="AK44" s="240"/>
      <c r="AL44" s="44"/>
      <c r="AM44" s="177"/>
      <c r="AN44" s="177"/>
      <c r="AO44" s="177"/>
      <c r="AP44" s="343" t="s">
        <v>137</v>
      </c>
      <c r="AQ44" s="344" t="s">
        <v>274</v>
      </c>
      <c r="AR44" s="76"/>
      <c r="AS44" s="44"/>
      <c r="AT44" s="76"/>
      <c r="AU44" s="76"/>
      <c r="AV44" s="164" t="str">
        <f>IFERROR(__xludf.DUMMYFUNCTION("TEXTJOIN("" / "", TRUE, FILTER(TO_TEXT(SPLIT($AZ$4, "" / "")), NOT(REGEXMATCH(TO_TEXT(SPLIT($AZ$4, "" / "")), ""\b"" &amp; TEXTJOIN(""|"", TRUE, SPLIT(AW44, "" / "")) &amp; ""\b""))))"),"101 / 102 / 103 / 104 / 107 / 111 / 209 / 300 / 301 / 303 / 304 / 305 / 306 / 307 / 308 / 312 / 313 / 314 / 316 / 317 / 318 / 320 / 321 / 421 / 460 / 461")</f>
        <v>101 / 102 / 103 / 104 / 107 / 111 / 209 / 300 / 301 / 303 / 304 / 305 / 306 / 307 / 308 / 312 / 313 / 314 / 316 / 317 / 318 / 320 / 321 / 421 / 460 / 461</v>
      </c>
      <c r="AW44" s="178" t="str">
        <f>IFERROR(__xludf.DUMMYFUNCTION("TEXTJOIN("" / "", 1, SORT(UNIQUE(TRANSPOSE(SPLIT(TRIM(REGEXREPLACE(AW43,""([0-9]{3}[a-zA-Z]?)|."",""$1 "")), "" "")))))"),"105 / 106 / 108")</f>
        <v>105 / 106 / 108</v>
      </c>
      <c r="AX44" s="346"/>
      <c r="AY44" s="346"/>
      <c r="AZ44" s="346"/>
      <c r="BA44" s="346"/>
      <c r="BB44" s="346"/>
      <c r="BC44" s="346"/>
      <c r="BD44" s="346"/>
      <c r="BE44" s="346"/>
      <c r="BF44" s="346"/>
      <c r="BG44" s="346"/>
      <c r="BH44" s="346"/>
      <c r="BI44" s="346"/>
      <c r="BJ44" s="346"/>
      <c r="BK44" s="346"/>
      <c r="BL44" s="346"/>
      <c r="BM44" s="346"/>
      <c r="BN44" s="346"/>
      <c r="BO44" s="346"/>
      <c r="BP44" s="346"/>
      <c r="BQ44" s="346"/>
      <c r="BR44" s="346"/>
      <c r="BS44" s="346"/>
      <c r="BT44" s="346"/>
      <c r="BU44" s="346"/>
      <c r="BV44" s="346"/>
      <c r="BW44" s="346"/>
      <c r="BX44" s="346"/>
      <c r="BY44" s="346"/>
      <c r="BZ44" s="346"/>
      <c r="CA44" s="346"/>
      <c r="CB44" s="346"/>
      <c r="CC44" s="346"/>
      <c r="CD44" s="346"/>
      <c r="CE44" s="346"/>
      <c r="CF44" s="346"/>
      <c r="CG44" s="346"/>
      <c r="CH44" s="346"/>
    </row>
    <row r="45">
      <c r="A45" s="152" t="s">
        <v>49</v>
      </c>
      <c r="B45" s="327" t="s">
        <v>277</v>
      </c>
      <c r="M45" s="23"/>
      <c r="N45" s="154" t="s">
        <v>139</v>
      </c>
      <c r="O45" s="156"/>
      <c r="P45" s="156"/>
      <c r="Q45" s="156"/>
      <c r="R45" s="156"/>
      <c r="S45" s="156"/>
      <c r="T45" s="156"/>
      <c r="U45" s="156"/>
      <c r="V45" s="156"/>
      <c r="W45" s="156"/>
      <c r="X45" s="156"/>
      <c r="Y45" s="156"/>
      <c r="Z45" s="154" t="s">
        <v>145</v>
      </c>
      <c r="AA45" s="614" t="s">
        <v>520</v>
      </c>
      <c r="AE45" s="23"/>
      <c r="AF45" s="247" t="s">
        <v>278</v>
      </c>
      <c r="AG45" s="158"/>
      <c r="AH45" s="182" t="s">
        <v>209</v>
      </c>
      <c r="AI45" s="247" t="s">
        <v>278</v>
      </c>
      <c r="AJ45" s="614" t="s">
        <v>520</v>
      </c>
      <c r="AK45" s="63"/>
      <c r="AL45" s="152" t="s">
        <v>49</v>
      </c>
      <c r="AM45" s="347" t="s">
        <v>279</v>
      </c>
      <c r="AN45" s="23"/>
      <c r="AO45" s="348" t="s">
        <v>280</v>
      </c>
      <c r="AP45" s="231" t="s">
        <v>281</v>
      </c>
      <c r="AQ45" s="158"/>
      <c r="AR45" s="254"/>
      <c r="AS45" s="152" t="s">
        <v>49</v>
      </c>
      <c r="AT45" s="63"/>
      <c r="AU45" s="63"/>
      <c r="AV45" s="332"/>
      <c r="AW45" s="332"/>
      <c r="AX45" s="332"/>
      <c r="AY45" s="332"/>
      <c r="AZ45" s="332"/>
      <c r="BA45" s="332"/>
      <c r="BB45" s="332"/>
      <c r="BC45" s="332"/>
      <c r="BD45" s="332"/>
      <c r="BE45" s="332"/>
      <c r="BF45" s="332"/>
      <c r="BG45" s="332"/>
      <c r="BH45" s="332"/>
      <c r="BI45" s="332"/>
      <c r="BJ45" s="332"/>
      <c r="BK45" s="332"/>
      <c r="BL45" s="332"/>
      <c r="BM45" s="332"/>
      <c r="BN45" s="332"/>
      <c r="BO45" s="332"/>
      <c r="BP45" s="332"/>
      <c r="BQ45" s="332"/>
      <c r="BR45" s="332"/>
      <c r="BS45" s="332"/>
      <c r="BT45" s="332"/>
      <c r="BU45" s="332"/>
      <c r="BV45" s="332"/>
      <c r="BW45" s="332"/>
      <c r="BX45" s="332"/>
      <c r="BY45" s="332"/>
      <c r="BZ45" s="332"/>
      <c r="CA45" s="332"/>
      <c r="CB45" s="332"/>
      <c r="CC45" s="332"/>
      <c r="CD45" s="332"/>
      <c r="CE45" s="332"/>
      <c r="CF45" s="332"/>
      <c r="CG45" s="332"/>
      <c r="CH45" s="332"/>
    </row>
    <row r="46">
      <c r="A46" s="38"/>
      <c r="B46" s="350" t="s">
        <v>283</v>
      </c>
      <c r="M46" s="23"/>
      <c r="N46" s="23"/>
      <c r="O46" s="156"/>
      <c r="P46" s="156"/>
      <c r="Q46" s="156"/>
      <c r="R46" s="156"/>
      <c r="S46" s="156"/>
      <c r="T46" s="156"/>
      <c r="U46" s="156"/>
      <c r="V46" s="156"/>
      <c r="W46" s="156"/>
      <c r="X46" s="156"/>
      <c r="Y46" s="156"/>
      <c r="Z46" s="23"/>
      <c r="AA46" s="615" t="s">
        <v>521</v>
      </c>
      <c r="AE46" s="23"/>
      <c r="AF46" s="337" t="s">
        <v>284</v>
      </c>
      <c r="AG46" s="168"/>
      <c r="AH46" s="259" t="s">
        <v>219</v>
      </c>
      <c r="AI46" s="249" t="s">
        <v>150</v>
      </c>
      <c r="AJ46" s="422" t="s">
        <v>521</v>
      </c>
      <c r="AK46" s="69"/>
      <c r="AL46" s="38"/>
      <c r="AM46" s="352" t="s">
        <v>285</v>
      </c>
      <c r="AN46" s="23"/>
      <c r="AO46" s="353" t="s">
        <v>286</v>
      </c>
      <c r="AP46" s="336" t="s">
        <v>271</v>
      </c>
      <c r="AQ46" s="168"/>
      <c r="AR46" s="254"/>
      <c r="AS46" s="38"/>
      <c r="AT46" s="69"/>
      <c r="AU46" s="69"/>
      <c r="AV46" s="339"/>
      <c r="AW46" s="163" t="str">
        <f t="array" ref="AW46">TEXTJOIN(" | ", 1, A47:AT47)</f>
        <v>108 | 105 ON 29/01, 05/02, 12/02 | 318 | 308 | 209 | 105 ON 29/01, 05/02, 12/02 | 321 | 312 | ONLINE</v>
      </c>
      <c r="AX46" s="339"/>
      <c r="AY46" s="339"/>
      <c r="AZ46" s="339"/>
      <c r="BA46" s="339"/>
      <c r="BB46" s="339"/>
      <c r="BC46" s="339"/>
      <c r="BD46" s="339"/>
      <c r="BE46" s="339"/>
      <c r="BF46" s="339"/>
      <c r="BG46" s="339"/>
      <c r="BH46" s="339"/>
      <c r="BI46" s="339"/>
      <c r="BJ46" s="339"/>
      <c r="BK46" s="339"/>
      <c r="BL46" s="339"/>
      <c r="BM46" s="339"/>
      <c r="BN46" s="339"/>
      <c r="BO46" s="339"/>
      <c r="BP46" s="339"/>
      <c r="BQ46" s="339"/>
      <c r="BR46" s="339"/>
      <c r="BS46" s="339"/>
      <c r="BT46" s="339"/>
      <c r="BU46" s="339"/>
      <c r="BV46" s="339"/>
      <c r="BW46" s="339"/>
      <c r="BX46" s="339"/>
      <c r="BY46" s="339"/>
      <c r="BZ46" s="339"/>
      <c r="CA46" s="339"/>
      <c r="CB46" s="339"/>
      <c r="CC46" s="339"/>
      <c r="CD46" s="339"/>
      <c r="CE46" s="339"/>
      <c r="CF46" s="339"/>
      <c r="CG46" s="339"/>
      <c r="CH46" s="339"/>
    </row>
    <row r="47">
      <c r="A47" s="44"/>
      <c r="B47" s="619">
        <v>108.0</v>
      </c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7"/>
      <c r="N47" s="47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47"/>
      <c r="AA47" s="429" t="s">
        <v>531</v>
      </c>
      <c r="AB47" s="46"/>
      <c r="AC47" s="46"/>
      <c r="AD47" s="46"/>
      <c r="AE47" s="47"/>
      <c r="AF47" s="251">
        <v>318.0</v>
      </c>
      <c r="AG47" s="174"/>
      <c r="AH47" s="204">
        <v>308.0</v>
      </c>
      <c r="AI47" s="251">
        <v>209.0</v>
      </c>
      <c r="AJ47" s="429" t="s">
        <v>531</v>
      </c>
      <c r="AK47" s="76"/>
      <c r="AL47" s="44"/>
      <c r="AM47" s="354">
        <v>321.0</v>
      </c>
      <c r="AN47" s="47"/>
      <c r="AO47" s="224">
        <v>312.0</v>
      </c>
      <c r="AP47" s="343" t="s">
        <v>137</v>
      </c>
      <c r="AQ47" s="205"/>
      <c r="AR47" s="254"/>
      <c r="AS47" s="44"/>
      <c r="AT47" s="76"/>
      <c r="AU47" s="76"/>
      <c r="AV47" s="164" t="str">
        <f>IFERROR(__xludf.DUMMYFUNCTION("TEXTJOIN("" / "", TRUE, FILTER(TO_TEXT(SPLIT($AZ$4, "" / "")), NOT(REGEXMATCH(TO_TEXT(SPLIT($AZ$4, "" / "")), ""\b"" &amp; TEXTJOIN(""|"", TRUE, SPLIT(AW47, "" / "")) &amp; ""\b""))))"),"101 / 102 / 103 / 104 / 106 / 107 / 111 / 300 / 301 / 303 / 304 / 305 / 306 / 307 / 313 / 314 / 316 / 317 / 320 / 421 / 460 / 461")</f>
        <v>101 / 102 / 103 / 104 / 106 / 107 / 111 / 300 / 301 / 303 / 304 / 305 / 306 / 307 / 313 / 314 / 316 / 317 / 320 / 421 / 460 / 461</v>
      </c>
      <c r="AW47" s="178" t="str">
        <f>IFERROR(__xludf.DUMMYFUNCTION("TEXTJOIN("" / "", 1, SORT(UNIQUE(TRANSPOSE(SPLIT(TRIM(REGEXREPLACE(AW46,""([0-9]{3}[a-zA-Z]?)|."",""$1 "")), "" "")))))"),"105 / 108 / 209 / 308 / 312 / 318 / 321")</f>
        <v>105 / 108 / 209 / 308 / 312 / 318 / 321</v>
      </c>
      <c r="AX47" s="267"/>
      <c r="AY47" s="346"/>
      <c r="AZ47" s="346"/>
      <c r="BA47" s="346"/>
      <c r="BB47" s="346"/>
      <c r="BC47" s="346"/>
      <c r="BD47" s="346"/>
      <c r="BE47" s="346"/>
      <c r="BF47" s="346"/>
      <c r="BG47" s="346"/>
      <c r="BH47" s="346"/>
      <c r="BI47" s="346"/>
      <c r="BJ47" s="346"/>
      <c r="BK47" s="346"/>
      <c r="BL47" s="346"/>
      <c r="BM47" s="346"/>
      <c r="BN47" s="346"/>
      <c r="BO47" s="346"/>
      <c r="BP47" s="346"/>
      <c r="BQ47" s="346"/>
      <c r="BR47" s="346"/>
      <c r="BS47" s="346"/>
      <c r="BT47" s="346"/>
      <c r="BU47" s="346"/>
      <c r="BV47" s="346"/>
      <c r="BW47" s="346"/>
      <c r="BX47" s="346"/>
      <c r="BY47" s="346"/>
      <c r="BZ47" s="346"/>
      <c r="CA47" s="346"/>
      <c r="CB47" s="346"/>
      <c r="CC47" s="346"/>
      <c r="CD47" s="346"/>
      <c r="CE47" s="346"/>
      <c r="CF47" s="346"/>
      <c r="CG47" s="346"/>
      <c r="CH47" s="346"/>
    </row>
    <row r="48">
      <c r="A48" s="152" t="s">
        <v>51</v>
      </c>
      <c r="B48" s="356" t="s">
        <v>287</v>
      </c>
      <c r="C48" s="208" t="s">
        <v>157</v>
      </c>
      <c r="D48" s="356" t="s">
        <v>287</v>
      </c>
      <c r="E48" s="208" t="s">
        <v>157</v>
      </c>
      <c r="F48" s="208" t="s">
        <v>157</v>
      </c>
      <c r="G48" s="208" t="s">
        <v>157</v>
      </c>
      <c r="H48" s="356" t="s">
        <v>287</v>
      </c>
      <c r="I48" s="208" t="s">
        <v>157</v>
      </c>
      <c r="J48" s="356" t="s">
        <v>287</v>
      </c>
      <c r="K48" s="208" t="s">
        <v>157</v>
      </c>
      <c r="L48" s="63"/>
      <c r="M48" s="208" t="s">
        <v>157</v>
      </c>
      <c r="N48" s="154" t="s">
        <v>158</v>
      </c>
      <c r="O48" s="357" t="s">
        <v>288</v>
      </c>
      <c r="X48" s="23"/>
      <c r="Y48" s="156"/>
      <c r="Z48" s="154" t="s">
        <v>162</v>
      </c>
      <c r="AA48" s="328" t="s">
        <v>289</v>
      </c>
      <c r="AC48" s="23"/>
      <c r="AD48" s="63"/>
      <c r="AE48" s="63"/>
      <c r="AF48" s="254"/>
      <c r="AG48" s="247" t="s">
        <v>278</v>
      </c>
      <c r="AH48" s="247" t="s">
        <v>278</v>
      </c>
      <c r="AI48" s="182" t="s">
        <v>209</v>
      </c>
      <c r="AJ48" s="63"/>
      <c r="AK48" s="156"/>
      <c r="AL48" s="152" t="s">
        <v>51</v>
      </c>
      <c r="AM48" s="358" t="s">
        <v>290</v>
      </c>
      <c r="AN48" s="23"/>
      <c r="AO48" s="348" t="s">
        <v>291</v>
      </c>
      <c r="AP48" s="382" t="s">
        <v>305</v>
      </c>
      <c r="AQ48" s="228"/>
      <c r="AR48" s="228"/>
      <c r="AS48" s="152" t="s">
        <v>51</v>
      </c>
      <c r="AT48" s="63"/>
      <c r="AU48" s="63"/>
      <c r="AV48" s="359"/>
      <c r="AW48" s="360"/>
      <c r="AX48" s="360"/>
      <c r="AY48" s="360"/>
      <c r="AZ48" s="360"/>
      <c r="BA48" s="360"/>
      <c r="BB48" s="360"/>
      <c r="BC48" s="360"/>
      <c r="BD48" s="360"/>
      <c r="BE48" s="360"/>
      <c r="BF48" s="360"/>
      <c r="BG48" s="360"/>
      <c r="BH48" s="360"/>
      <c r="BI48" s="360"/>
      <c r="BJ48" s="360"/>
      <c r="BK48" s="360"/>
      <c r="BL48" s="360"/>
      <c r="BM48" s="360"/>
      <c r="BN48" s="360"/>
      <c r="BO48" s="360"/>
      <c r="BP48" s="360"/>
      <c r="BQ48" s="360"/>
      <c r="BR48" s="360"/>
      <c r="BS48" s="360"/>
      <c r="BT48" s="360"/>
      <c r="BU48" s="360"/>
      <c r="BV48" s="360"/>
      <c r="BW48" s="360"/>
      <c r="BX48" s="360"/>
      <c r="BY48" s="360"/>
      <c r="BZ48" s="360"/>
      <c r="CA48" s="360"/>
      <c r="CB48" s="360"/>
      <c r="CC48" s="360"/>
      <c r="CD48" s="360"/>
      <c r="CE48" s="360"/>
      <c r="CF48" s="360"/>
      <c r="CG48" s="360"/>
      <c r="CH48" s="360"/>
    </row>
    <row r="49">
      <c r="A49" s="38"/>
      <c r="B49" s="361" t="s">
        <v>215</v>
      </c>
      <c r="C49" s="213" t="s">
        <v>165</v>
      </c>
      <c r="D49" s="362" t="s">
        <v>53</v>
      </c>
      <c r="E49" s="213" t="s">
        <v>165</v>
      </c>
      <c r="F49" s="213" t="s">
        <v>165</v>
      </c>
      <c r="G49" s="213" t="s">
        <v>165</v>
      </c>
      <c r="H49" s="363" t="s">
        <v>292</v>
      </c>
      <c r="I49" s="213" t="s">
        <v>165</v>
      </c>
      <c r="J49" s="363" t="s">
        <v>202</v>
      </c>
      <c r="K49" s="213" t="s">
        <v>165</v>
      </c>
      <c r="L49" s="69"/>
      <c r="M49" s="213" t="s">
        <v>165</v>
      </c>
      <c r="N49" s="23"/>
      <c r="O49" s="364" t="s">
        <v>293</v>
      </c>
      <c r="X49" s="23"/>
      <c r="Y49" s="156"/>
      <c r="Z49" s="23"/>
      <c r="AA49" s="365" t="s">
        <v>294</v>
      </c>
      <c r="AC49" s="23"/>
      <c r="AD49" s="69"/>
      <c r="AE49" s="69"/>
      <c r="AF49" s="254"/>
      <c r="AG49" s="337" t="s">
        <v>284</v>
      </c>
      <c r="AH49" s="249" t="s">
        <v>150</v>
      </c>
      <c r="AI49" s="259" t="s">
        <v>219</v>
      </c>
      <c r="AJ49" s="69"/>
      <c r="AK49" s="156"/>
      <c r="AL49" s="38"/>
      <c r="AM49" s="366" t="s">
        <v>295</v>
      </c>
      <c r="AN49" s="23"/>
      <c r="AO49" s="367" t="s">
        <v>78</v>
      </c>
      <c r="AP49" s="386" t="s">
        <v>253</v>
      </c>
      <c r="AQ49" s="161"/>
      <c r="AR49" s="161"/>
      <c r="AS49" s="38"/>
      <c r="AT49" s="69"/>
      <c r="AU49" s="69"/>
      <c r="AV49" s="359"/>
      <c r="AW49" s="163" t="str">
        <f t="array" ref="AW49">TEXTJOIN(" | ", 1, A50:AT50)</f>
        <v>101 | 103/104/301/304/305/306/317/421 | 300 | 103/104/301/304/305/306/317/421 | 103/104/301/304/305/306/317/421 | 103/104/301/304/305/306/317/421 | 460 | 103/104/301/304/305/306/317/421 | 314 | 103/104/301/304/305/306/317/421 | 103/104/301/304/305/306/317/421 | 108 | 105 (106 ON 19/02) | 318 | 209 | 308 | 321 | 312</v>
      </c>
      <c r="AX49" s="346"/>
      <c r="AY49" s="346"/>
      <c r="AZ49" s="346"/>
      <c r="BA49" s="346"/>
      <c r="BB49" s="346"/>
      <c r="BC49" s="346"/>
      <c r="BD49" s="346"/>
      <c r="BE49" s="346"/>
      <c r="BF49" s="346"/>
      <c r="BG49" s="346"/>
      <c r="BH49" s="346"/>
      <c r="BI49" s="346"/>
      <c r="BJ49" s="346"/>
      <c r="BK49" s="346"/>
      <c r="BL49" s="346"/>
      <c r="BM49" s="346"/>
      <c r="BN49" s="346"/>
      <c r="BO49" s="346"/>
      <c r="BP49" s="346"/>
      <c r="BQ49" s="346"/>
      <c r="BR49" s="346"/>
      <c r="BS49" s="346"/>
      <c r="BT49" s="346"/>
      <c r="BU49" s="346"/>
      <c r="BV49" s="346"/>
      <c r="BW49" s="346"/>
      <c r="BX49" s="346"/>
      <c r="BY49" s="346"/>
      <c r="BZ49" s="346"/>
      <c r="CA49" s="346"/>
      <c r="CB49" s="346"/>
      <c r="CC49" s="346"/>
      <c r="CD49" s="346"/>
      <c r="CE49" s="346"/>
      <c r="CF49" s="346"/>
      <c r="CG49" s="346"/>
      <c r="CH49" s="346"/>
    </row>
    <row r="50">
      <c r="A50" s="44"/>
      <c r="B50" s="368">
        <v>101.0</v>
      </c>
      <c r="C50" s="221" t="s">
        <v>518</v>
      </c>
      <c r="D50" s="369">
        <v>300.0</v>
      </c>
      <c r="E50" s="221" t="s">
        <v>518</v>
      </c>
      <c r="F50" s="221" t="s">
        <v>518</v>
      </c>
      <c r="G50" s="221" t="s">
        <v>518</v>
      </c>
      <c r="H50" s="368">
        <v>460.0</v>
      </c>
      <c r="I50" s="221" t="s">
        <v>518</v>
      </c>
      <c r="J50" s="368">
        <v>314.0</v>
      </c>
      <c r="K50" s="221" t="s">
        <v>518</v>
      </c>
      <c r="L50" s="76"/>
      <c r="M50" s="221" t="s">
        <v>518</v>
      </c>
      <c r="N50" s="47"/>
      <c r="O50" s="370">
        <v>108.0</v>
      </c>
      <c r="P50" s="46"/>
      <c r="Q50" s="46"/>
      <c r="R50" s="46"/>
      <c r="S50" s="46"/>
      <c r="T50" s="46"/>
      <c r="U50" s="46"/>
      <c r="V50" s="46"/>
      <c r="W50" s="46"/>
      <c r="X50" s="47"/>
      <c r="Y50" s="172"/>
      <c r="Z50" s="47"/>
      <c r="AA50" s="371" t="s">
        <v>532</v>
      </c>
      <c r="AB50" s="46"/>
      <c r="AC50" s="47"/>
      <c r="AD50" s="76"/>
      <c r="AE50" s="76"/>
      <c r="AF50" s="372"/>
      <c r="AG50" s="251">
        <v>318.0</v>
      </c>
      <c r="AH50" s="251">
        <v>209.0</v>
      </c>
      <c r="AI50" s="204">
        <v>308.0</v>
      </c>
      <c r="AJ50" s="76"/>
      <c r="AK50" s="172"/>
      <c r="AL50" s="44"/>
      <c r="AM50" s="173">
        <v>321.0</v>
      </c>
      <c r="AN50" s="47"/>
      <c r="AO50" s="224">
        <v>312.0</v>
      </c>
      <c r="AP50" s="611"/>
      <c r="AQ50" s="177"/>
      <c r="AR50" s="177"/>
      <c r="AS50" s="44"/>
      <c r="AT50" s="76"/>
      <c r="AU50" s="76"/>
      <c r="AV50" s="164" t="str">
        <f>IFERROR(__xludf.DUMMYFUNCTION("TEXTJOIN("" / "", TRUE, FILTER(TO_TEXT(SPLIT($AZ$4, "" / "")), NOT(REGEXMATCH(TO_TEXT(SPLIT($AZ$4, "" / "")), ""\b"" &amp; TEXTJOIN(""|"", TRUE, SPLIT(AW50, "" / "")) &amp; ""\b""))))"),"102 / 107 / 111 / 303 / 307 / 313 / 316 / 320 / 461")</f>
        <v>102 / 107 / 111 / 303 / 307 / 313 / 316 / 320 / 461</v>
      </c>
      <c r="AW50" s="178" t="str">
        <f>IFERROR(__xludf.DUMMYFUNCTION("TEXTJOIN("" / "", 1, SORT(UNIQUE(TRANSPOSE(SPLIT(TRIM(REGEXREPLACE(AW49,""([0-9]{3}[a-zA-Z]?)|."",""$1 "")), "" "")))))"),"101 / 103 / 104 / 105 / 106 / 108 / 209 / 300 / 301 / 304 / 305 / 306 / 308 / 312 / 314 / 317 / 318 / 321 / 421 / 460")</f>
        <v>101 / 103 / 104 / 105 / 106 / 108 / 209 / 300 / 301 / 304 / 305 / 306 / 308 / 312 / 314 / 317 / 318 / 321 / 421 / 460</v>
      </c>
      <c r="AX50" s="267"/>
      <c r="AY50" s="346"/>
      <c r="AZ50" s="346"/>
      <c r="BA50" s="346"/>
      <c r="BB50" s="346"/>
      <c r="BC50" s="346"/>
      <c r="BD50" s="346"/>
      <c r="BE50" s="346"/>
      <c r="BF50" s="346"/>
      <c r="BG50" s="346"/>
      <c r="BH50" s="346"/>
      <c r="BI50" s="346"/>
      <c r="BJ50" s="346"/>
      <c r="BK50" s="346"/>
      <c r="BL50" s="346"/>
      <c r="BM50" s="346"/>
      <c r="BN50" s="346"/>
      <c r="BO50" s="346"/>
      <c r="BP50" s="346"/>
      <c r="BQ50" s="346"/>
      <c r="BR50" s="346"/>
      <c r="BS50" s="346"/>
      <c r="BT50" s="346"/>
      <c r="BU50" s="346"/>
      <c r="BV50" s="346"/>
      <c r="BW50" s="346"/>
      <c r="BX50" s="346"/>
      <c r="BY50" s="346"/>
      <c r="BZ50" s="346"/>
      <c r="CA50" s="346"/>
      <c r="CB50" s="346"/>
      <c r="CC50" s="346"/>
      <c r="CD50" s="346"/>
      <c r="CE50" s="346"/>
      <c r="CF50" s="346"/>
      <c r="CG50" s="346"/>
      <c r="CH50" s="346"/>
    </row>
    <row r="51">
      <c r="A51" s="152" t="s">
        <v>59</v>
      </c>
      <c r="B51" s="208" t="s">
        <v>157</v>
      </c>
      <c r="C51" s="208" t="s">
        <v>157</v>
      </c>
      <c r="D51" s="208" t="s">
        <v>157</v>
      </c>
      <c r="E51" s="373" t="s">
        <v>287</v>
      </c>
      <c r="F51" s="208" t="s">
        <v>157</v>
      </c>
      <c r="G51" s="356" t="s">
        <v>287</v>
      </c>
      <c r="H51" s="208" t="s">
        <v>157</v>
      </c>
      <c r="I51" s="356" t="s">
        <v>287</v>
      </c>
      <c r="J51" s="208" t="s">
        <v>157</v>
      </c>
      <c r="K51" s="356" t="s">
        <v>287</v>
      </c>
      <c r="L51" s="208" t="s">
        <v>157</v>
      </c>
      <c r="M51" s="208" t="s">
        <v>157</v>
      </c>
      <c r="N51" s="154" t="s">
        <v>172</v>
      </c>
      <c r="O51" s="357" t="s">
        <v>298</v>
      </c>
      <c r="X51" s="23"/>
      <c r="Y51" s="156"/>
      <c r="Z51" s="154" t="s">
        <v>174</v>
      </c>
      <c r="AA51" s="63"/>
      <c r="AB51" s="63"/>
      <c r="AC51" s="247" t="s">
        <v>186</v>
      </c>
      <c r="AD51" s="63"/>
      <c r="AE51" s="254"/>
      <c r="AF51" s="155" t="s">
        <v>241</v>
      </c>
      <c r="AI51" s="23"/>
      <c r="AJ51" s="63"/>
      <c r="AK51" s="156"/>
      <c r="AL51" s="152" t="s">
        <v>59</v>
      </c>
      <c r="AM51" s="358" t="s">
        <v>299</v>
      </c>
      <c r="AN51" s="23"/>
      <c r="AO51" s="374" t="s">
        <v>300</v>
      </c>
      <c r="AP51" s="382" t="s">
        <v>305</v>
      </c>
      <c r="AQ51" s="228"/>
      <c r="AR51" s="228"/>
      <c r="AS51" s="152" t="s">
        <v>59</v>
      </c>
      <c r="AT51" s="63"/>
      <c r="AU51" s="63"/>
      <c r="AV51" s="359"/>
      <c r="AW51" s="360"/>
      <c r="AX51" s="360"/>
      <c r="AY51" s="360"/>
      <c r="AZ51" s="360"/>
      <c r="BA51" s="360"/>
      <c r="BB51" s="360"/>
      <c r="BC51" s="360"/>
      <c r="BD51" s="360"/>
      <c r="BE51" s="360"/>
      <c r="BF51" s="360"/>
      <c r="BG51" s="360"/>
      <c r="BH51" s="360"/>
      <c r="BI51" s="360"/>
      <c r="BJ51" s="360"/>
      <c r="BK51" s="360"/>
      <c r="BL51" s="360"/>
      <c r="BM51" s="360"/>
      <c r="BN51" s="360"/>
      <c r="BO51" s="360"/>
      <c r="BP51" s="360"/>
      <c r="BQ51" s="360"/>
      <c r="BR51" s="360"/>
      <c r="BS51" s="360"/>
      <c r="BT51" s="360"/>
      <c r="BU51" s="360"/>
      <c r="BV51" s="360"/>
      <c r="BW51" s="360"/>
      <c r="BX51" s="360"/>
      <c r="BY51" s="360"/>
      <c r="BZ51" s="360"/>
      <c r="CA51" s="360"/>
      <c r="CB51" s="360"/>
      <c r="CC51" s="360"/>
      <c r="CD51" s="360"/>
      <c r="CE51" s="360"/>
      <c r="CF51" s="360"/>
      <c r="CG51" s="360"/>
      <c r="CH51" s="360"/>
    </row>
    <row r="52">
      <c r="A52" s="38"/>
      <c r="B52" s="213" t="s">
        <v>165</v>
      </c>
      <c r="C52" s="213" t="s">
        <v>165</v>
      </c>
      <c r="D52" s="213" t="s">
        <v>165</v>
      </c>
      <c r="E52" s="362" t="s">
        <v>53</v>
      </c>
      <c r="F52" s="213" t="s">
        <v>165</v>
      </c>
      <c r="G52" s="363" t="s">
        <v>215</v>
      </c>
      <c r="H52" s="213" t="s">
        <v>165</v>
      </c>
      <c r="I52" s="363" t="s">
        <v>202</v>
      </c>
      <c r="J52" s="213" t="s">
        <v>165</v>
      </c>
      <c r="K52" s="363" t="s">
        <v>292</v>
      </c>
      <c r="L52" s="213" t="s">
        <v>165</v>
      </c>
      <c r="M52" s="213" t="s">
        <v>165</v>
      </c>
      <c r="N52" s="23"/>
      <c r="O52" s="375" t="s">
        <v>293</v>
      </c>
      <c r="X52" s="23"/>
      <c r="Y52" s="156"/>
      <c r="Z52" s="23"/>
      <c r="AA52" s="69"/>
      <c r="AB52" s="69"/>
      <c r="AC52" s="249" t="s">
        <v>301</v>
      </c>
      <c r="AD52" s="69"/>
      <c r="AE52" s="254"/>
      <c r="AF52" s="310" t="s">
        <v>247</v>
      </c>
      <c r="AI52" s="23"/>
      <c r="AJ52" s="69"/>
      <c r="AK52" s="156"/>
      <c r="AL52" s="38"/>
      <c r="AM52" s="376" t="s">
        <v>169</v>
      </c>
      <c r="AN52" s="23"/>
      <c r="AO52" s="377" t="s">
        <v>286</v>
      </c>
      <c r="AP52" s="386" t="s">
        <v>253</v>
      </c>
      <c r="AQ52" s="161"/>
      <c r="AR52" s="161"/>
      <c r="AS52" s="38"/>
      <c r="AT52" s="69"/>
      <c r="AU52" s="69"/>
      <c r="AV52" s="359"/>
      <c r="AW52" s="163" t="str">
        <f t="array" ref="AW52">TEXTJOIN(" | ", 1, A53:AT53)</f>
        <v>103/104/301/304/305/306/317/421 | 103/104/301/304/305/306/317/421 | 103/104/301/304/305/306/317/421 | 300 | 103/104/301/304/305/306/317/421 | 101 | 103/104/301/304/305/306/317/421 | 314 | 103/104/301/304/305/306/317/421 | 460 | 103/104/301/304/305/306/317/421 | 103/104/301/304/305/306/317/421 | 108 | 312 (318 ON 26/02) | ONLINE ON 12/02, 19/02, 12/03 | 321 | 303</v>
      </c>
      <c r="AX52" s="346"/>
      <c r="AY52" s="346"/>
      <c r="AZ52" s="346"/>
      <c r="BA52" s="346"/>
      <c r="BB52" s="346"/>
      <c r="BC52" s="346"/>
      <c r="BD52" s="346"/>
      <c r="BE52" s="346"/>
      <c r="BF52" s="346"/>
      <c r="BG52" s="346"/>
      <c r="BH52" s="346"/>
      <c r="BI52" s="346"/>
      <c r="BJ52" s="346"/>
      <c r="BK52" s="346"/>
      <c r="BL52" s="346"/>
      <c r="BM52" s="346"/>
      <c r="BN52" s="346"/>
      <c r="BO52" s="346"/>
      <c r="BP52" s="346"/>
      <c r="BQ52" s="346"/>
      <c r="BR52" s="346"/>
      <c r="BS52" s="346"/>
      <c r="BT52" s="346"/>
      <c r="BU52" s="346"/>
      <c r="BV52" s="346"/>
      <c r="BW52" s="346"/>
      <c r="BX52" s="346"/>
      <c r="BY52" s="346"/>
      <c r="BZ52" s="346"/>
      <c r="CA52" s="346"/>
      <c r="CB52" s="346"/>
      <c r="CC52" s="346"/>
      <c r="CD52" s="346"/>
      <c r="CE52" s="346"/>
      <c r="CF52" s="346"/>
      <c r="CG52" s="346"/>
      <c r="CH52" s="346"/>
    </row>
    <row r="53">
      <c r="A53" s="44"/>
      <c r="B53" s="221" t="s">
        <v>518</v>
      </c>
      <c r="C53" s="221" t="s">
        <v>518</v>
      </c>
      <c r="D53" s="221" t="s">
        <v>518</v>
      </c>
      <c r="E53" s="369">
        <v>300.0</v>
      </c>
      <c r="F53" s="221" t="s">
        <v>518</v>
      </c>
      <c r="G53" s="368">
        <v>101.0</v>
      </c>
      <c r="H53" s="221" t="s">
        <v>518</v>
      </c>
      <c r="I53" s="368">
        <v>314.0</v>
      </c>
      <c r="J53" s="221" t="s">
        <v>518</v>
      </c>
      <c r="K53" s="368">
        <v>460.0</v>
      </c>
      <c r="L53" s="221" t="s">
        <v>518</v>
      </c>
      <c r="M53" s="221" t="s">
        <v>518</v>
      </c>
      <c r="N53" s="47"/>
      <c r="O53" s="370">
        <v>108.0</v>
      </c>
      <c r="P53" s="46"/>
      <c r="Q53" s="46"/>
      <c r="R53" s="46"/>
      <c r="S53" s="46"/>
      <c r="T53" s="46"/>
      <c r="U53" s="46"/>
      <c r="V53" s="46"/>
      <c r="W53" s="46"/>
      <c r="X53" s="47"/>
      <c r="Y53" s="172"/>
      <c r="Z53" s="47"/>
      <c r="AA53" s="76"/>
      <c r="AB53" s="76"/>
      <c r="AC53" s="251" t="s">
        <v>533</v>
      </c>
      <c r="AD53" s="76"/>
      <c r="AE53" s="254"/>
      <c r="AF53" s="316" t="s">
        <v>418</v>
      </c>
      <c r="AG53" s="46"/>
      <c r="AH53" s="46"/>
      <c r="AI53" s="47"/>
      <c r="AJ53" s="76"/>
      <c r="AK53" s="172"/>
      <c r="AL53" s="44"/>
      <c r="AM53" s="173">
        <v>321.0</v>
      </c>
      <c r="AN53" s="47"/>
      <c r="AO53" s="378">
        <v>303.0</v>
      </c>
      <c r="AP53" s="611"/>
      <c r="AQ53" s="177"/>
      <c r="AR53" s="177"/>
      <c r="AS53" s="44"/>
      <c r="AT53" s="76"/>
      <c r="AU53" s="76"/>
      <c r="AV53" s="164" t="str">
        <f>IFERROR(__xludf.DUMMYFUNCTION("TEXTJOIN("" / "", TRUE, FILTER(TO_TEXT(SPLIT($AZ$4, "" / "")), NOT(REGEXMATCH(TO_TEXT(SPLIT($AZ$4, "" / "")), ""\b"" &amp; TEXTJOIN(""|"", TRUE, SPLIT(AW53, "" / "")) &amp; ""\b""))))"),"102 / 105 / 106 / 107 / 111 / 209 / 307 / 308 / 313 / 316 / 320 / 461")</f>
        <v>102 / 105 / 106 / 107 / 111 / 209 / 307 / 308 / 313 / 316 / 320 / 461</v>
      </c>
      <c r="AW53" s="178" t="str">
        <f>IFERROR(__xludf.DUMMYFUNCTION("TEXTJOIN("" / "", 1, SORT(UNIQUE(TRANSPOSE(SPLIT(TRIM(REGEXREPLACE(AW52,""([0-9]{3}[a-zA-Z]?)|."",""$1 "")), "" "")))))"),"101 / 103 / 104 / 108 / 300 / 301 / 303 / 304 / 305 / 306 / 312 / 314 / 317 / 318 / 321 / 421 / 460")</f>
        <v>101 / 103 / 104 / 108 / 300 / 301 / 303 / 304 / 305 / 306 / 312 / 314 / 317 / 318 / 321 / 421 / 460</v>
      </c>
      <c r="AX53" s="164"/>
      <c r="AY53" s="163"/>
      <c r="AZ53" s="163"/>
      <c r="BA53" s="163"/>
      <c r="BB53" s="163"/>
      <c r="BC53" s="163"/>
      <c r="BD53" s="163"/>
      <c r="BE53" s="163"/>
      <c r="BF53" s="163"/>
      <c r="BG53" s="163"/>
      <c r="BH53" s="163"/>
      <c r="BI53" s="163"/>
      <c r="BJ53" s="163"/>
      <c r="BK53" s="163"/>
      <c r="BL53" s="163"/>
      <c r="BM53" s="163"/>
      <c r="BN53" s="163"/>
      <c r="BO53" s="163"/>
      <c r="BP53" s="163"/>
      <c r="BQ53" s="163"/>
      <c r="BR53" s="163"/>
      <c r="BS53" s="163"/>
      <c r="BT53" s="163"/>
      <c r="BU53" s="163"/>
      <c r="BV53" s="163"/>
      <c r="BW53" s="163"/>
      <c r="BX53" s="163"/>
      <c r="BY53" s="163"/>
      <c r="BZ53" s="163"/>
      <c r="CA53" s="163"/>
      <c r="CB53" s="163"/>
      <c r="CC53" s="163"/>
      <c r="CD53" s="163"/>
      <c r="CE53" s="163"/>
      <c r="CF53" s="163"/>
      <c r="CG53" s="163"/>
      <c r="CH53" s="163"/>
    </row>
    <row r="54">
      <c r="A54" s="152" t="s">
        <v>64</v>
      </c>
      <c r="B54" s="208" t="s">
        <v>157</v>
      </c>
      <c r="C54" s="356" t="s">
        <v>287</v>
      </c>
      <c r="D54" s="208" t="s">
        <v>157</v>
      </c>
      <c r="E54" s="208" t="s">
        <v>157</v>
      </c>
      <c r="F54" s="356" t="s">
        <v>287</v>
      </c>
      <c r="G54" s="208" t="s">
        <v>157</v>
      </c>
      <c r="H54" s="208" t="s">
        <v>157</v>
      </c>
      <c r="I54" s="208" t="s">
        <v>157</v>
      </c>
      <c r="J54" s="208" t="s">
        <v>157</v>
      </c>
      <c r="K54" s="208" t="s">
        <v>157</v>
      </c>
      <c r="L54" s="208" t="s">
        <v>157</v>
      </c>
      <c r="M54" s="356" t="s">
        <v>287</v>
      </c>
      <c r="N54" s="154" t="s">
        <v>184</v>
      </c>
      <c r="O54" s="63"/>
      <c r="P54" s="63"/>
      <c r="Q54" s="379" t="s">
        <v>302</v>
      </c>
      <c r="R54" s="156"/>
      <c r="S54" s="156"/>
      <c r="T54" s="156"/>
      <c r="U54" s="156"/>
      <c r="V54" s="156"/>
      <c r="W54" s="156"/>
      <c r="X54" s="156"/>
      <c r="Y54" s="156"/>
      <c r="Z54" s="154" t="s">
        <v>185</v>
      </c>
      <c r="AA54" s="63"/>
      <c r="AB54" s="63"/>
      <c r="AC54" s="63"/>
      <c r="AE54" s="380" t="s">
        <v>303</v>
      </c>
      <c r="AF54" s="159"/>
      <c r="AG54" s="158"/>
      <c r="AH54" s="63"/>
      <c r="AI54" s="156"/>
      <c r="AJ54" s="156"/>
      <c r="AK54" s="156"/>
      <c r="AL54" s="152" t="s">
        <v>64</v>
      </c>
      <c r="AM54" s="230"/>
      <c r="AN54" s="156"/>
      <c r="AO54" s="381" t="s">
        <v>304</v>
      </c>
      <c r="AP54" s="228"/>
      <c r="AQ54" s="228"/>
      <c r="AR54" s="228"/>
      <c r="AS54" s="152" t="s">
        <v>64</v>
      </c>
      <c r="AT54" s="63"/>
      <c r="AU54" s="63"/>
      <c r="AV54" s="258"/>
      <c r="AW54" s="258"/>
      <c r="AX54" s="258"/>
      <c r="AY54" s="258"/>
      <c r="AZ54" s="258"/>
      <c r="BA54" s="258"/>
      <c r="BB54" s="258"/>
      <c r="BC54" s="258"/>
      <c r="BD54" s="258"/>
      <c r="BE54" s="258"/>
      <c r="BF54" s="258"/>
      <c r="BG54" s="258"/>
      <c r="BH54" s="258"/>
      <c r="BI54" s="258"/>
      <c r="BJ54" s="258"/>
      <c r="BK54" s="258"/>
      <c r="BL54" s="258"/>
      <c r="BM54" s="258"/>
      <c r="BN54" s="258"/>
      <c r="BO54" s="258"/>
      <c r="BP54" s="258"/>
      <c r="BQ54" s="258"/>
      <c r="BR54" s="258"/>
      <c r="BS54" s="258"/>
      <c r="BT54" s="258"/>
      <c r="BU54" s="258"/>
      <c r="BV54" s="258"/>
      <c r="BW54" s="258"/>
      <c r="BX54" s="258"/>
      <c r="BY54" s="258"/>
      <c r="BZ54" s="258"/>
      <c r="CA54" s="258"/>
      <c r="CB54" s="258"/>
      <c r="CC54" s="258"/>
      <c r="CD54" s="258"/>
      <c r="CE54" s="258"/>
      <c r="CF54" s="258"/>
      <c r="CG54" s="258"/>
      <c r="CH54" s="258"/>
    </row>
    <row r="55">
      <c r="A55" s="38"/>
      <c r="B55" s="213" t="s">
        <v>165</v>
      </c>
      <c r="C55" s="361" t="s">
        <v>215</v>
      </c>
      <c r="D55" s="213" t="s">
        <v>165</v>
      </c>
      <c r="E55" s="213" t="s">
        <v>165</v>
      </c>
      <c r="F55" s="363" t="s">
        <v>166</v>
      </c>
      <c r="G55" s="213" t="s">
        <v>165</v>
      </c>
      <c r="H55" s="213" t="s">
        <v>165</v>
      </c>
      <c r="I55" s="213" t="s">
        <v>165</v>
      </c>
      <c r="J55" s="213" t="s">
        <v>165</v>
      </c>
      <c r="K55" s="213" t="s">
        <v>165</v>
      </c>
      <c r="L55" s="213" t="s">
        <v>165</v>
      </c>
      <c r="M55" s="362" t="s">
        <v>53</v>
      </c>
      <c r="N55" s="23"/>
      <c r="O55" s="69"/>
      <c r="P55" s="69"/>
      <c r="Q55" s="383" t="s">
        <v>168</v>
      </c>
      <c r="R55" s="156"/>
      <c r="S55" s="156"/>
      <c r="T55" s="156"/>
      <c r="U55" s="156"/>
      <c r="V55" s="156"/>
      <c r="W55" s="156"/>
      <c r="X55" s="156"/>
      <c r="Y55" s="156"/>
      <c r="Z55" s="23"/>
      <c r="AA55" s="69"/>
      <c r="AB55" s="69"/>
      <c r="AC55" s="69"/>
      <c r="AE55" s="384" t="s">
        <v>202</v>
      </c>
      <c r="AF55" s="159"/>
      <c r="AG55" s="168"/>
      <c r="AH55" s="69"/>
      <c r="AI55" s="156"/>
      <c r="AJ55" s="156"/>
      <c r="AK55" s="156"/>
      <c r="AL55" s="38"/>
      <c r="AM55" s="230"/>
      <c r="AN55" s="156"/>
      <c r="AO55" s="385" t="s">
        <v>200</v>
      </c>
      <c r="AP55" s="161"/>
      <c r="AQ55" s="161"/>
      <c r="AR55" s="161"/>
      <c r="AS55" s="38"/>
      <c r="AT55" s="69"/>
      <c r="AU55" s="69"/>
      <c r="AV55" s="258"/>
      <c r="AW55" s="163" t="str">
        <f t="array" ref="AW55">TEXTJOIN(" | ", 1, A56:AT56)</f>
        <v>103/104/301/304/305/306/317/421 | 101 | 103/104/301/304/305/306/317/421 | 103/104/301/304/305/306/317/421 | 308 | 103/104/301/304/305/306/317/421 | 103/104/301/304/305/306/317/421 | 103/104/301/304/305/306/317/421 | 103/104/301/304/305/306/317/421 | 103/104/301/304/305/306/317/421 | 103/104/301/304/305/306/317/421 | 300 | 321 | 318 | 303</v>
      </c>
      <c r="AX55" s="258"/>
      <c r="AY55" s="258"/>
      <c r="AZ55" s="258"/>
      <c r="BA55" s="258"/>
      <c r="BB55" s="258"/>
      <c r="BC55" s="258"/>
      <c r="BD55" s="258"/>
      <c r="BE55" s="258"/>
      <c r="BF55" s="258"/>
      <c r="BG55" s="258"/>
      <c r="BH55" s="258"/>
      <c r="BI55" s="258"/>
      <c r="BJ55" s="258"/>
      <c r="BK55" s="258"/>
      <c r="BL55" s="258"/>
      <c r="BM55" s="258"/>
      <c r="BN55" s="258"/>
      <c r="BO55" s="258"/>
      <c r="BP55" s="258"/>
      <c r="BQ55" s="258"/>
      <c r="BR55" s="258"/>
      <c r="BS55" s="258"/>
      <c r="BT55" s="258"/>
      <c r="BU55" s="258"/>
      <c r="BV55" s="258"/>
      <c r="BW55" s="258"/>
      <c r="BX55" s="258"/>
      <c r="BY55" s="258"/>
      <c r="BZ55" s="258"/>
      <c r="CA55" s="258"/>
      <c r="CB55" s="258"/>
      <c r="CC55" s="258"/>
      <c r="CD55" s="258"/>
      <c r="CE55" s="258"/>
      <c r="CF55" s="258"/>
      <c r="CG55" s="258"/>
      <c r="CH55" s="258"/>
    </row>
    <row r="56">
      <c r="A56" s="44"/>
      <c r="B56" s="221" t="s">
        <v>518</v>
      </c>
      <c r="C56" s="368">
        <v>101.0</v>
      </c>
      <c r="D56" s="221" t="s">
        <v>518</v>
      </c>
      <c r="E56" s="221" t="s">
        <v>518</v>
      </c>
      <c r="F56" s="368">
        <v>308.0</v>
      </c>
      <c r="G56" s="221" t="s">
        <v>518</v>
      </c>
      <c r="H56" s="221" t="s">
        <v>518</v>
      </c>
      <c r="I56" s="221" t="s">
        <v>518</v>
      </c>
      <c r="J56" s="221" t="s">
        <v>518</v>
      </c>
      <c r="K56" s="221" t="s">
        <v>518</v>
      </c>
      <c r="L56" s="221" t="s">
        <v>518</v>
      </c>
      <c r="M56" s="368">
        <v>300.0</v>
      </c>
      <c r="N56" s="47"/>
      <c r="O56" s="76"/>
      <c r="P56" s="76"/>
      <c r="Q56" s="387">
        <v>321.0</v>
      </c>
      <c r="R56" s="172"/>
      <c r="S56" s="172"/>
      <c r="T56" s="172"/>
      <c r="U56" s="172"/>
      <c r="V56" s="172"/>
      <c r="W56" s="172"/>
      <c r="X56" s="172"/>
      <c r="Y56" s="172"/>
      <c r="Z56" s="47"/>
      <c r="AA56" s="76"/>
      <c r="AB56" s="76"/>
      <c r="AC56" s="76"/>
      <c r="AD56" s="388"/>
      <c r="AE56" s="389">
        <v>318.0</v>
      </c>
      <c r="AF56" s="175"/>
      <c r="AG56" s="174"/>
      <c r="AH56" s="76"/>
      <c r="AI56" s="172"/>
      <c r="AJ56" s="172"/>
      <c r="AK56" s="172"/>
      <c r="AL56" s="44"/>
      <c r="AM56" s="243"/>
      <c r="AN56" s="172"/>
      <c r="AO56" s="221">
        <v>303.0</v>
      </c>
      <c r="AP56" s="177"/>
      <c r="AQ56" s="177"/>
      <c r="AR56" s="177"/>
      <c r="AS56" s="44"/>
      <c r="AT56" s="76"/>
      <c r="AU56" s="76"/>
      <c r="AV56" s="164" t="str">
        <f>IFERROR(__xludf.DUMMYFUNCTION("TEXTJOIN("" / "", TRUE, FILTER(TO_TEXT(SPLIT($AZ$4, "" / "")), NOT(REGEXMATCH(TO_TEXT(SPLIT($AZ$4, "" / "")), ""\b"" &amp; TEXTJOIN(""|"", TRUE, SPLIT(AW56, "" / "")) &amp; ""\b""))))"),"102 / 105 / 106 / 107 / 108 / 111 / 209 / 307 / 312 / 313 / 314 / 316 / 320 / 460 / 461")</f>
        <v>102 / 105 / 106 / 107 / 108 / 111 / 209 / 307 / 312 / 313 / 314 / 316 / 320 / 460 / 461</v>
      </c>
      <c r="AW56" s="178" t="str">
        <f>IFERROR(__xludf.DUMMYFUNCTION("TEXTJOIN("" / "", 1, SORT(UNIQUE(TRANSPOSE(SPLIT(TRIM(REGEXREPLACE(AW55,""([0-9]{3}[a-zA-Z]?)|."",""$1 "")), "" "")))))"),"101 / 103 / 104 / 300 / 301 / 303 / 304 / 305 / 306 / 308 / 317 / 318 / 321 / 421")</f>
        <v>101 / 103 / 104 / 300 / 301 / 303 / 304 / 305 / 306 / 308 / 317 / 318 / 321 / 421</v>
      </c>
      <c r="AX56" s="258"/>
      <c r="AY56" s="258"/>
      <c r="AZ56" s="258"/>
      <c r="BA56" s="258"/>
      <c r="BB56" s="258"/>
      <c r="BC56" s="258"/>
      <c r="BD56" s="258"/>
      <c r="BE56" s="258"/>
      <c r="BF56" s="258"/>
      <c r="BG56" s="258"/>
      <c r="BH56" s="258"/>
      <c r="BI56" s="258"/>
      <c r="BJ56" s="258"/>
      <c r="BK56" s="258"/>
      <c r="BL56" s="258"/>
      <c r="BM56" s="258"/>
      <c r="BN56" s="258"/>
      <c r="BO56" s="258"/>
      <c r="BP56" s="258"/>
      <c r="BQ56" s="258"/>
      <c r="BR56" s="258"/>
      <c r="BS56" s="258"/>
      <c r="BT56" s="258"/>
      <c r="BU56" s="258"/>
      <c r="BV56" s="258"/>
      <c r="BW56" s="258"/>
      <c r="BX56" s="258"/>
      <c r="BY56" s="258"/>
      <c r="BZ56" s="258"/>
      <c r="CA56" s="258"/>
      <c r="CB56" s="258"/>
      <c r="CC56" s="258"/>
      <c r="CD56" s="258"/>
      <c r="CE56" s="258"/>
      <c r="CF56" s="258"/>
      <c r="CG56" s="258"/>
      <c r="CH56" s="258"/>
    </row>
    <row r="57">
      <c r="A57" s="152" t="s">
        <v>66</v>
      </c>
      <c r="B57" s="230"/>
      <c r="C57" s="230"/>
      <c r="D57" s="230"/>
      <c r="E57" s="230"/>
      <c r="F57" s="230"/>
      <c r="G57" s="230"/>
      <c r="H57" s="156"/>
      <c r="J57" s="156"/>
      <c r="K57" s="158"/>
      <c r="L57" s="356" t="s">
        <v>287</v>
      </c>
      <c r="M57" s="156"/>
      <c r="N57" s="154" t="s">
        <v>191</v>
      </c>
      <c r="O57" s="156"/>
      <c r="P57" s="156"/>
      <c r="Q57" s="156"/>
      <c r="R57" s="156"/>
      <c r="S57" s="156"/>
      <c r="T57" s="156"/>
      <c r="U57" s="156"/>
      <c r="V57" s="156"/>
      <c r="W57" s="379" t="s">
        <v>302</v>
      </c>
      <c r="X57" s="156"/>
      <c r="Y57" s="156"/>
      <c r="Z57" s="154" t="s">
        <v>192</v>
      </c>
      <c r="AA57" s="156"/>
      <c r="AB57" s="156"/>
      <c r="AC57" s="156"/>
      <c r="AD57" s="391" t="s">
        <v>303</v>
      </c>
      <c r="AE57" s="156"/>
      <c r="AF57" s="156"/>
      <c r="AG57" s="156"/>
      <c r="AH57" s="156"/>
      <c r="AI57" s="156"/>
      <c r="AJ57" s="156"/>
      <c r="AK57" s="156"/>
      <c r="AL57" s="152" t="s">
        <v>66</v>
      </c>
      <c r="AM57" s="228"/>
      <c r="AN57" s="228"/>
      <c r="AO57" s="228"/>
      <c r="AP57" s="228"/>
      <c r="AQ57" s="392" t="s">
        <v>308</v>
      </c>
      <c r="AR57" s="228"/>
      <c r="AS57" s="152" t="s">
        <v>66</v>
      </c>
      <c r="AT57" s="161"/>
      <c r="AU57" s="161"/>
      <c r="AV57" s="258"/>
      <c r="AW57" s="258"/>
      <c r="AX57" s="258"/>
      <c r="AY57" s="258"/>
      <c r="AZ57" s="258"/>
      <c r="BA57" s="258"/>
      <c r="BB57" s="258"/>
      <c r="BC57" s="258"/>
      <c r="BD57" s="258"/>
      <c r="BE57" s="258"/>
      <c r="BF57" s="258"/>
      <c r="BG57" s="258"/>
      <c r="BH57" s="258"/>
      <c r="BI57" s="258"/>
      <c r="BJ57" s="258"/>
      <c r="BK57" s="258"/>
      <c r="BL57" s="258"/>
      <c r="BM57" s="258"/>
      <c r="BN57" s="258"/>
      <c r="BO57" s="258"/>
      <c r="BP57" s="258"/>
      <c r="BQ57" s="258"/>
      <c r="BR57" s="258"/>
      <c r="BS57" s="258"/>
      <c r="BT57" s="258"/>
      <c r="BU57" s="258"/>
      <c r="BV57" s="258"/>
      <c r="BW57" s="258"/>
      <c r="BX57" s="258"/>
      <c r="BY57" s="258"/>
      <c r="BZ57" s="258"/>
      <c r="CA57" s="258"/>
      <c r="CB57" s="258"/>
      <c r="CC57" s="258"/>
      <c r="CD57" s="258"/>
      <c r="CE57" s="258"/>
      <c r="CF57" s="258"/>
      <c r="CG57" s="258"/>
      <c r="CH57" s="258"/>
    </row>
    <row r="58">
      <c r="A58" s="38"/>
      <c r="B58" s="230"/>
      <c r="C58" s="230"/>
      <c r="D58" s="230"/>
      <c r="E58" s="230"/>
      <c r="F58" s="230"/>
      <c r="G58" s="230"/>
      <c r="H58" s="156"/>
      <c r="J58" s="156"/>
      <c r="K58" s="393"/>
      <c r="L58" s="363" t="s">
        <v>166</v>
      </c>
      <c r="M58" s="156"/>
      <c r="N58" s="23"/>
      <c r="O58" s="156"/>
      <c r="P58" s="156"/>
      <c r="Q58" s="156"/>
      <c r="R58" s="156"/>
      <c r="S58" s="156"/>
      <c r="T58" s="156"/>
      <c r="U58" s="156"/>
      <c r="V58" s="156"/>
      <c r="W58" s="383" t="s">
        <v>168</v>
      </c>
      <c r="X58" s="156"/>
      <c r="Y58" s="156"/>
      <c r="Z58" s="23"/>
      <c r="AA58" s="156"/>
      <c r="AB58" s="156"/>
      <c r="AC58" s="359"/>
      <c r="AD58" s="394" t="s">
        <v>202</v>
      </c>
      <c r="AE58" s="156"/>
      <c r="AF58" s="156"/>
      <c r="AG58" s="156"/>
      <c r="AH58" s="156"/>
      <c r="AI58" s="156"/>
      <c r="AJ58" s="156"/>
      <c r="AK58" s="156"/>
      <c r="AL58" s="38"/>
      <c r="AM58" s="161"/>
      <c r="AN58" s="161"/>
      <c r="AO58" s="161"/>
      <c r="AP58" s="161"/>
      <c r="AQ58" s="192" t="s">
        <v>310</v>
      </c>
      <c r="AR58" s="161"/>
      <c r="AS58" s="38"/>
      <c r="AT58" s="161"/>
      <c r="AU58" s="161"/>
      <c r="AV58" s="258"/>
      <c r="AW58" s="163" t="str">
        <f t="array" ref="AW58">TEXTJOIN(" | ", 1, A59:AT59)</f>
        <v>308 | 321 | 318 | ONLINE STARTS ON 05/03 STARTS AT 18:00</v>
      </c>
      <c r="AX58" s="258"/>
      <c r="AY58" s="258"/>
      <c r="AZ58" s="258"/>
      <c r="BA58" s="258"/>
      <c r="BB58" s="258"/>
      <c r="BC58" s="258"/>
      <c r="BD58" s="258"/>
      <c r="BE58" s="258"/>
      <c r="BF58" s="258"/>
      <c r="BG58" s="258"/>
      <c r="BH58" s="258"/>
      <c r="BI58" s="258"/>
      <c r="BJ58" s="258"/>
      <c r="BK58" s="258"/>
      <c r="BL58" s="258"/>
      <c r="BM58" s="258"/>
      <c r="BN58" s="258"/>
      <c r="BO58" s="258"/>
      <c r="BP58" s="258"/>
      <c r="BQ58" s="258"/>
      <c r="BR58" s="258"/>
      <c r="BS58" s="258"/>
      <c r="BT58" s="258"/>
      <c r="BU58" s="258"/>
      <c r="BV58" s="258"/>
      <c r="BW58" s="258"/>
      <c r="BX58" s="258"/>
      <c r="BY58" s="258"/>
      <c r="BZ58" s="258"/>
      <c r="CA58" s="258"/>
      <c r="CB58" s="258"/>
      <c r="CC58" s="258"/>
      <c r="CD58" s="258"/>
      <c r="CE58" s="258"/>
      <c r="CF58" s="258"/>
      <c r="CG58" s="258"/>
      <c r="CH58" s="258"/>
    </row>
    <row r="59">
      <c r="A59" s="44"/>
      <c r="B59" s="243"/>
      <c r="C59" s="243"/>
      <c r="D59" s="243"/>
      <c r="E59" s="243"/>
      <c r="F59" s="243"/>
      <c r="G59" s="243"/>
      <c r="H59" s="172"/>
      <c r="J59" s="172"/>
      <c r="K59" s="174"/>
      <c r="L59" s="368">
        <v>308.0</v>
      </c>
      <c r="M59" s="172"/>
      <c r="N59" s="47"/>
      <c r="O59" s="172"/>
      <c r="P59" s="172"/>
      <c r="Q59" s="172"/>
      <c r="R59" s="172"/>
      <c r="S59" s="172"/>
      <c r="T59" s="172"/>
      <c r="U59" s="172"/>
      <c r="V59" s="172"/>
      <c r="W59" s="387">
        <v>321.0</v>
      </c>
      <c r="X59" s="172"/>
      <c r="Y59" s="172"/>
      <c r="Z59" s="47"/>
      <c r="AA59" s="172"/>
      <c r="AB59" s="172"/>
      <c r="AC59" s="172"/>
      <c r="AD59" s="389">
        <v>318.0</v>
      </c>
      <c r="AE59" s="172"/>
      <c r="AF59" s="172"/>
      <c r="AG59" s="172"/>
      <c r="AH59" s="172"/>
      <c r="AI59" s="172"/>
      <c r="AJ59" s="172"/>
      <c r="AK59" s="172"/>
      <c r="AL59" s="44"/>
      <c r="AM59" s="177"/>
      <c r="AN59" s="177"/>
      <c r="AO59" s="177"/>
      <c r="AP59" s="177"/>
      <c r="AQ59" s="395" t="s">
        <v>312</v>
      </c>
      <c r="AR59" s="177"/>
      <c r="AS59" s="44"/>
      <c r="AT59" s="161"/>
      <c r="AU59" s="161"/>
      <c r="AV59" s="164" t="str">
        <f>IFERROR(__xludf.DUMMYFUNCTION("TEXTJOIN("" / "", TRUE, FILTER(TO_TEXT(SPLIT($AZ$4, "" / "")), NOT(REGEXMATCH(TO_TEXT(SPLIT($AZ$4, "" / "")), ""\b"" &amp; TEXTJOIN(""|"", TRUE, SPLIT(AW59, "" / "")) &amp; ""\b""))))"),"101 / 102 / 103 / 104 / 105 / 106 / 107 / 108 / 111 / 209 / 300 / 301 / 303 / 304 / 305 / 306 / 307 / 312 / 313 / 314 / 316 / 317 / 320 / 421 / 460 / 461")</f>
        <v>101 / 102 / 103 / 104 / 105 / 106 / 107 / 108 / 111 / 209 / 300 / 301 / 303 / 304 / 305 / 306 / 307 / 312 / 313 / 314 / 316 / 317 / 320 / 421 / 460 / 461</v>
      </c>
      <c r="AW59" s="178" t="str">
        <f>IFERROR(__xludf.DUMMYFUNCTION("TEXTJOIN("" / "", 1, SORT(UNIQUE(TRANSPOSE(SPLIT(TRIM(REGEXREPLACE(AW58,""([0-9]{3}[a-zA-Z]?)|."",""$1 "")), "" "")))))"),"308 / 318 / 321")</f>
        <v>308 / 318 / 321</v>
      </c>
      <c r="AX59" s="258"/>
      <c r="AY59" s="258"/>
      <c r="AZ59" s="258"/>
      <c r="BA59" s="258"/>
      <c r="BB59" s="258"/>
      <c r="BC59" s="258"/>
      <c r="BD59" s="258"/>
      <c r="BE59" s="258"/>
      <c r="BF59" s="258"/>
      <c r="BG59" s="258"/>
      <c r="BH59" s="258"/>
      <c r="BI59" s="258"/>
      <c r="BJ59" s="258"/>
      <c r="BK59" s="258"/>
      <c r="BL59" s="258"/>
      <c r="BM59" s="258"/>
      <c r="BN59" s="258"/>
      <c r="BO59" s="258"/>
      <c r="BP59" s="258"/>
      <c r="BQ59" s="258"/>
      <c r="BR59" s="258"/>
      <c r="BS59" s="258"/>
      <c r="BT59" s="258"/>
      <c r="BU59" s="258"/>
      <c r="BV59" s="258"/>
      <c r="BW59" s="258"/>
      <c r="BX59" s="258"/>
      <c r="BY59" s="258"/>
      <c r="BZ59" s="258"/>
      <c r="CA59" s="258"/>
      <c r="CB59" s="258"/>
      <c r="CC59" s="258"/>
      <c r="CD59" s="258"/>
      <c r="CE59" s="258"/>
      <c r="CF59" s="258"/>
      <c r="CG59" s="258"/>
      <c r="CH59" s="258"/>
    </row>
    <row r="60">
      <c r="A60" s="147" t="s">
        <v>86</v>
      </c>
      <c r="B60" s="148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7"/>
      <c r="N60" s="149" t="s">
        <v>86</v>
      </c>
      <c r="O60" s="148"/>
      <c r="P60" s="46"/>
      <c r="Q60" s="46"/>
      <c r="R60" s="46"/>
      <c r="S60" s="46"/>
      <c r="T60" s="46"/>
      <c r="U60" s="46"/>
      <c r="V60" s="46"/>
      <c r="W60" s="46"/>
      <c r="X60" s="46"/>
      <c r="Y60" s="47"/>
      <c r="Z60" s="149" t="s">
        <v>86</v>
      </c>
      <c r="AA60" s="148"/>
      <c r="AB60" s="46"/>
      <c r="AC60" s="46"/>
      <c r="AD60" s="46"/>
      <c r="AE60" s="46"/>
      <c r="AF60" s="46"/>
      <c r="AG60" s="46"/>
      <c r="AH60" s="46"/>
      <c r="AI60" s="46"/>
      <c r="AJ60" s="46"/>
      <c r="AK60" s="47"/>
      <c r="AL60" s="147" t="s">
        <v>86</v>
      </c>
      <c r="AM60" s="148"/>
      <c r="AN60" s="46"/>
      <c r="AO60" s="46"/>
      <c r="AP60" s="46"/>
      <c r="AQ60" s="46"/>
      <c r="AR60" s="47"/>
      <c r="AS60" s="147" t="s">
        <v>86</v>
      </c>
      <c r="AT60" s="150"/>
      <c r="AU60" s="150"/>
      <c r="AV60" s="151"/>
      <c r="AW60" s="151"/>
      <c r="AX60" s="151"/>
      <c r="AY60" s="151"/>
      <c r="AZ60" s="151"/>
      <c r="BA60" s="151"/>
      <c r="BB60" s="151"/>
      <c r="BC60" s="151"/>
      <c r="BD60" s="151"/>
      <c r="BE60" s="151"/>
      <c r="BF60" s="151"/>
      <c r="BG60" s="151"/>
      <c r="BH60" s="151"/>
      <c r="BI60" s="151"/>
      <c r="BJ60" s="151"/>
      <c r="BK60" s="151"/>
      <c r="BL60" s="151"/>
      <c r="BM60" s="151"/>
      <c r="BN60" s="151"/>
      <c r="BO60" s="151"/>
      <c r="BP60" s="151"/>
      <c r="BQ60" s="151"/>
      <c r="BR60" s="151"/>
      <c r="BS60" s="151"/>
      <c r="BT60" s="151"/>
      <c r="BU60" s="151"/>
      <c r="BV60" s="151"/>
      <c r="BW60" s="151"/>
      <c r="BX60" s="151"/>
      <c r="BY60" s="151"/>
      <c r="BZ60" s="151"/>
      <c r="CA60" s="151"/>
      <c r="CB60" s="151"/>
      <c r="CC60" s="151"/>
      <c r="CD60" s="151"/>
      <c r="CE60" s="151"/>
      <c r="CF60" s="151"/>
      <c r="CG60" s="151"/>
      <c r="CH60" s="151"/>
    </row>
    <row r="61">
      <c r="A61" s="152" t="s">
        <v>39</v>
      </c>
      <c r="B61" s="396" t="s">
        <v>85</v>
      </c>
      <c r="M61" s="23"/>
      <c r="N61" s="154" t="s">
        <v>128</v>
      </c>
      <c r="O61" s="209" t="s">
        <v>159</v>
      </c>
      <c r="S61" s="23"/>
      <c r="T61" s="156"/>
      <c r="U61" s="156"/>
      <c r="V61" s="209" t="s">
        <v>159</v>
      </c>
      <c r="W61" s="23"/>
      <c r="X61" s="156"/>
      <c r="Y61" s="156"/>
      <c r="Z61" s="154" t="s">
        <v>130</v>
      </c>
      <c r="AA61" s="328" t="s">
        <v>289</v>
      </c>
      <c r="AC61" s="23"/>
      <c r="AD61" s="397" t="s">
        <v>85</v>
      </c>
      <c r="AK61" s="23"/>
      <c r="AL61" s="152" t="s">
        <v>39</v>
      </c>
      <c r="AM61" s="228"/>
      <c r="AN61" s="228"/>
      <c r="AO61" s="231" t="s">
        <v>264</v>
      </c>
      <c r="AP61" s="228"/>
      <c r="AQ61" s="156"/>
      <c r="AR61" s="228"/>
      <c r="AS61" s="152" t="s">
        <v>39</v>
      </c>
      <c r="AT61" s="158"/>
      <c r="AU61" s="331" t="s">
        <v>267</v>
      </c>
      <c r="AV61" s="258"/>
      <c r="AW61" s="258"/>
      <c r="AX61" s="258"/>
      <c r="AY61" s="258"/>
      <c r="AZ61" s="258"/>
      <c r="BA61" s="258"/>
      <c r="BB61" s="258"/>
      <c r="BC61" s="258"/>
      <c r="BD61" s="258"/>
      <c r="BE61" s="258"/>
      <c r="BF61" s="258"/>
      <c r="BG61" s="258"/>
      <c r="BH61" s="258"/>
      <c r="BI61" s="258"/>
      <c r="BJ61" s="258"/>
      <c r="BK61" s="258"/>
      <c r="BL61" s="258"/>
      <c r="BM61" s="258"/>
      <c r="BN61" s="258"/>
      <c r="BO61" s="258"/>
      <c r="BP61" s="258"/>
      <c r="BQ61" s="258"/>
      <c r="BR61" s="258"/>
      <c r="BS61" s="258"/>
      <c r="BT61" s="258"/>
      <c r="BU61" s="258"/>
      <c r="BV61" s="258"/>
      <c r="BW61" s="258"/>
      <c r="BX61" s="258"/>
      <c r="BY61" s="258"/>
      <c r="BZ61" s="258"/>
      <c r="CA61" s="258"/>
      <c r="CB61" s="258"/>
      <c r="CC61" s="258"/>
      <c r="CD61" s="258"/>
      <c r="CE61" s="258"/>
      <c r="CF61" s="258"/>
      <c r="CG61" s="258"/>
      <c r="CH61" s="258"/>
    </row>
    <row r="62">
      <c r="A62" s="38"/>
      <c r="M62" s="23"/>
      <c r="N62" s="23"/>
      <c r="O62" s="215" t="s">
        <v>169</v>
      </c>
      <c r="S62" s="23"/>
      <c r="T62" s="156"/>
      <c r="U62" s="156"/>
      <c r="V62" s="215" t="s">
        <v>169</v>
      </c>
      <c r="W62" s="23"/>
      <c r="X62" s="156"/>
      <c r="Y62" s="156"/>
      <c r="Z62" s="23"/>
      <c r="AA62" s="365" t="s">
        <v>294</v>
      </c>
      <c r="AC62" s="23"/>
      <c r="AK62" s="23"/>
      <c r="AL62" s="38"/>
      <c r="AM62" s="161"/>
      <c r="AN62" s="161"/>
      <c r="AO62" s="451" t="s">
        <v>349</v>
      </c>
      <c r="AP62" s="161"/>
      <c r="AQ62" s="156"/>
      <c r="AR62" s="161"/>
      <c r="AS62" s="38"/>
      <c r="AT62" s="168"/>
      <c r="AU62" s="338" t="s">
        <v>273</v>
      </c>
      <c r="AV62" s="258"/>
      <c r="AW62" s="163" t="str">
        <f t="array" ref="AW62">TEXTJOIN(" | ", 1, A63:AT63)</f>
        <v>108 | 108 | 105 ON 27/02 STARTS AT 9:00 | ONLINE</v>
      </c>
      <c r="AX62" s="258"/>
      <c r="AY62" s="258"/>
      <c r="AZ62" s="258"/>
      <c r="BA62" s="258"/>
      <c r="BB62" s="258"/>
      <c r="BC62" s="258"/>
      <c r="BD62" s="258"/>
      <c r="BE62" s="258"/>
      <c r="BF62" s="258"/>
      <c r="BG62" s="258"/>
      <c r="BH62" s="258"/>
      <c r="BI62" s="258"/>
      <c r="BJ62" s="258"/>
      <c r="BK62" s="258"/>
      <c r="BL62" s="258"/>
      <c r="BM62" s="258"/>
      <c r="BN62" s="258"/>
      <c r="BO62" s="258"/>
      <c r="BP62" s="258"/>
      <c r="BQ62" s="258"/>
      <c r="BR62" s="258"/>
      <c r="BS62" s="258"/>
      <c r="BT62" s="258"/>
      <c r="BU62" s="258"/>
      <c r="BV62" s="258"/>
      <c r="BW62" s="258"/>
      <c r="BX62" s="258"/>
      <c r="BY62" s="258"/>
      <c r="BZ62" s="258"/>
      <c r="CA62" s="258"/>
      <c r="CB62" s="258"/>
      <c r="CC62" s="258"/>
      <c r="CD62" s="258"/>
      <c r="CE62" s="258"/>
      <c r="CF62" s="258"/>
      <c r="CG62" s="258"/>
      <c r="CH62" s="258"/>
    </row>
    <row r="63">
      <c r="A63" s="44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7"/>
      <c r="N63" s="47"/>
      <c r="O63" s="223">
        <v>108.0</v>
      </c>
      <c r="P63" s="46"/>
      <c r="Q63" s="46"/>
      <c r="R63" s="46"/>
      <c r="S63" s="47"/>
      <c r="T63" s="172"/>
      <c r="U63" s="172"/>
      <c r="V63" s="223">
        <v>108.0</v>
      </c>
      <c r="W63" s="47"/>
      <c r="X63" s="172"/>
      <c r="Y63" s="172"/>
      <c r="Z63" s="47"/>
      <c r="AA63" s="371" t="s">
        <v>534</v>
      </c>
      <c r="AB63" s="46"/>
      <c r="AC63" s="47"/>
      <c r="AD63" s="46"/>
      <c r="AE63" s="46"/>
      <c r="AF63" s="46"/>
      <c r="AG63" s="46"/>
      <c r="AH63" s="46"/>
      <c r="AI63" s="46"/>
      <c r="AJ63" s="46"/>
      <c r="AK63" s="47"/>
      <c r="AL63" s="44"/>
      <c r="AM63" s="177"/>
      <c r="AN63" s="177"/>
      <c r="AO63" s="452" t="s">
        <v>137</v>
      </c>
      <c r="AP63" s="177"/>
      <c r="AQ63" s="172"/>
      <c r="AR63" s="177"/>
      <c r="AS63" s="44"/>
      <c r="AT63" s="202"/>
      <c r="AU63" s="345">
        <v>304.0</v>
      </c>
      <c r="AV63" s="164" t="str">
        <f>IFERROR(__xludf.DUMMYFUNCTION("TEXTJOIN("" / "", TRUE, FILTER(TO_TEXT(SPLIT($AZ$4, "" / "")), NOT(REGEXMATCH(TO_TEXT(SPLIT($AZ$4, "" / "")), ""\b"" &amp; TEXTJOIN(""|"", TRUE, SPLIT(AW63, "" / "")) &amp; ""\b""))))"),"101 / 102 / 103 / 104 / 106 / 107 / 111 / 209 / 300 / 301 / 303 / 304 / 305 / 306 / 307 / 308 / 312 / 313 / 314 / 316 / 317 / 318 / 320 / 321 / 421 / 460 / 461")</f>
        <v>101 / 102 / 103 / 104 / 106 / 107 / 111 / 209 / 300 / 301 / 303 / 304 / 305 / 306 / 307 / 308 / 312 / 313 / 314 / 316 / 317 / 318 / 320 / 321 / 421 / 460 / 461</v>
      </c>
      <c r="AW63" s="178" t="str">
        <f>IFERROR(__xludf.DUMMYFUNCTION("TEXTJOIN("" / "", 1, SORT(UNIQUE(TRANSPOSE(SPLIT(TRIM(REGEXREPLACE(AW62,""([0-9]{3}[a-zA-Z]?)|."",""$1 "")), "" "")))))"),"105 / 108")</f>
        <v>105 / 108</v>
      </c>
      <c r="AX63" s="163"/>
      <c r="AY63" s="163"/>
      <c r="AZ63" s="163"/>
      <c r="BA63" s="163"/>
      <c r="BB63" s="163"/>
      <c r="BC63" s="163"/>
      <c r="BD63" s="163"/>
      <c r="BE63" s="163"/>
      <c r="BF63" s="163"/>
      <c r="BG63" s="163"/>
      <c r="BH63" s="163"/>
      <c r="BI63" s="163"/>
      <c r="BJ63" s="163"/>
      <c r="BK63" s="163"/>
      <c r="BL63" s="163"/>
      <c r="BM63" s="163"/>
      <c r="BN63" s="163"/>
      <c r="BO63" s="163"/>
      <c r="BP63" s="163"/>
      <c r="BQ63" s="163"/>
      <c r="BR63" s="163"/>
      <c r="BS63" s="163"/>
      <c r="BT63" s="163"/>
      <c r="BU63" s="163"/>
      <c r="BV63" s="163"/>
      <c r="BW63" s="163"/>
      <c r="BX63" s="163"/>
      <c r="BY63" s="163"/>
      <c r="BZ63" s="163"/>
      <c r="CA63" s="163"/>
      <c r="CB63" s="163"/>
      <c r="CC63" s="163"/>
      <c r="CD63" s="163"/>
      <c r="CE63" s="163"/>
      <c r="CF63" s="163"/>
      <c r="CG63" s="163"/>
      <c r="CH63" s="163"/>
    </row>
    <row r="64">
      <c r="A64" s="152" t="s">
        <v>49</v>
      </c>
      <c r="B64" s="179" t="s">
        <v>315</v>
      </c>
      <c r="M64" s="23"/>
      <c r="N64" s="154" t="s">
        <v>139</v>
      </c>
      <c r="O64" s="256" t="s">
        <v>197</v>
      </c>
      <c r="P64" s="156"/>
      <c r="Q64" s="256" t="s">
        <v>197</v>
      </c>
      <c r="R64" s="379" t="s">
        <v>302</v>
      </c>
      <c r="S64" s="256" t="s">
        <v>197</v>
      </c>
      <c r="T64" s="156"/>
      <c r="U64" s="156"/>
      <c r="V64" s="156"/>
      <c r="W64" s="156"/>
      <c r="X64" s="156"/>
      <c r="Y64" s="156"/>
      <c r="Z64" s="154" t="s">
        <v>145</v>
      </c>
      <c r="AA64" s="156"/>
      <c r="AB64" s="156"/>
      <c r="AC64" s="156"/>
      <c r="AD64" s="156"/>
      <c r="AE64" s="156"/>
      <c r="AF64" s="400" t="s">
        <v>316</v>
      </c>
      <c r="AG64" s="23"/>
      <c r="AH64" s="401" t="s">
        <v>317</v>
      </c>
      <c r="AI64" s="23"/>
      <c r="AJ64" s="402" t="s">
        <v>318</v>
      </c>
      <c r="AK64" s="403" t="s">
        <v>319</v>
      </c>
      <c r="AL64" s="152" t="s">
        <v>49</v>
      </c>
      <c r="AM64" s="230"/>
      <c r="AN64" s="156"/>
      <c r="AO64" s="453" t="s">
        <v>281</v>
      </c>
      <c r="AP64" s="237"/>
      <c r="AQ64" s="158"/>
      <c r="AR64" s="277" t="s">
        <v>213</v>
      </c>
      <c r="AS64" s="152" t="s">
        <v>49</v>
      </c>
      <c r="AT64" s="449"/>
      <c r="AU64" s="331" t="s">
        <v>282</v>
      </c>
      <c r="AV64" s="163"/>
      <c r="AW64" s="163"/>
      <c r="AX64" s="163"/>
      <c r="AY64" s="163"/>
      <c r="AZ64" s="163"/>
      <c r="BA64" s="163"/>
      <c r="BB64" s="163"/>
      <c r="BC64" s="163"/>
      <c r="BD64" s="163"/>
      <c r="BE64" s="163"/>
      <c r="BF64" s="163"/>
      <c r="BG64" s="163"/>
      <c r="BH64" s="163"/>
      <c r="BI64" s="163"/>
      <c r="BJ64" s="163"/>
      <c r="BK64" s="163"/>
      <c r="BL64" s="163"/>
      <c r="BM64" s="163"/>
      <c r="BN64" s="163"/>
      <c r="BO64" s="163"/>
      <c r="BP64" s="163"/>
      <c r="BQ64" s="163"/>
      <c r="BR64" s="163"/>
      <c r="BS64" s="163"/>
      <c r="BT64" s="163"/>
      <c r="BU64" s="163"/>
      <c r="BV64" s="163"/>
      <c r="BW64" s="163"/>
      <c r="BX64" s="163"/>
      <c r="BY64" s="163"/>
      <c r="BZ64" s="163"/>
      <c r="CA64" s="163"/>
      <c r="CB64" s="163"/>
      <c r="CC64" s="163"/>
      <c r="CD64" s="163"/>
      <c r="CE64" s="163"/>
      <c r="CF64" s="163"/>
      <c r="CG64" s="163"/>
      <c r="CH64" s="163"/>
    </row>
    <row r="65">
      <c r="A65" s="38"/>
      <c r="B65" s="187" t="s">
        <v>285</v>
      </c>
      <c r="M65" s="23"/>
      <c r="N65" s="23"/>
      <c r="O65" s="620"/>
      <c r="P65" s="156"/>
      <c r="Q65" s="262" t="s">
        <v>202</v>
      </c>
      <c r="R65" s="404" t="s">
        <v>215</v>
      </c>
      <c r="S65" s="262" t="s">
        <v>535</v>
      </c>
      <c r="T65" s="156"/>
      <c r="U65" s="156"/>
      <c r="V65" s="156"/>
      <c r="W65" s="156"/>
      <c r="X65" s="156"/>
      <c r="Y65" s="156"/>
      <c r="Z65" s="23"/>
      <c r="AA65" s="156"/>
      <c r="AB65" s="156"/>
      <c r="AC65" s="156"/>
      <c r="AD65" s="156"/>
      <c r="AE65" s="156"/>
      <c r="AF65" s="406" t="s">
        <v>45</v>
      </c>
      <c r="AG65" s="23"/>
      <c r="AH65" s="407" t="s">
        <v>320</v>
      </c>
      <c r="AI65" s="23"/>
      <c r="AJ65" s="263" t="s">
        <v>218</v>
      </c>
      <c r="AK65" s="408" t="s">
        <v>321</v>
      </c>
      <c r="AL65" s="38"/>
      <c r="AM65" s="230"/>
      <c r="AN65" s="156"/>
      <c r="AO65" s="454" t="s">
        <v>168</v>
      </c>
      <c r="AP65" s="237"/>
      <c r="AQ65" s="168"/>
      <c r="AR65" s="192" t="s">
        <v>79</v>
      </c>
      <c r="AS65" s="38"/>
      <c r="AT65" s="168"/>
      <c r="AU65" s="338" t="s">
        <v>273</v>
      </c>
      <c r="AV65" s="163"/>
      <c r="AW65" s="163" t="str">
        <f t="array" ref="AW65">TEXTJOIN(" | ", 1, A66:AT66)</f>
        <v>108 | 308 | 107 | ONLINE | 103 | 461 | 317</v>
      </c>
      <c r="AX65" s="163"/>
      <c r="AY65" s="163"/>
      <c r="AZ65" s="163"/>
      <c r="BA65" s="163"/>
      <c r="BB65" s="163"/>
      <c r="BC65" s="163"/>
      <c r="BD65" s="163"/>
      <c r="BE65" s="163"/>
      <c r="BF65" s="163"/>
      <c r="BG65" s="163"/>
      <c r="BH65" s="163"/>
      <c r="BI65" s="163"/>
      <c r="BJ65" s="163"/>
      <c r="BK65" s="163"/>
      <c r="BL65" s="163"/>
      <c r="BM65" s="163"/>
      <c r="BN65" s="163"/>
      <c r="BO65" s="163"/>
      <c r="BP65" s="163"/>
      <c r="BQ65" s="163"/>
      <c r="BR65" s="163"/>
      <c r="BS65" s="163"/>
      <c r="BT65" s="163"/>
      <c r="BU65" s="163"/>
      <c r="BV65" s="163"/>
      <c r="BW65" s="163"/>
      <c r="BX65" s="163"/>
      <c r="BY65" s="163"/>
      <c r="BZ65" s="163"/>
      <c r="CA65" s="163"/>
      <c r="CB65" s="163"/>
      <c r="CC65" s="163"/>
      <c r="CD65" s="163"/>
      <c r="CE65" s="163"/>
      <c r="CF65" s="163"/>
      <c r="CG65" s="163"/>
      <c r="CH65" s="163"/>
    </row>
    <row r="66">
      <c r="A66" s="44"/>
      <c r="B66" s="196">
        <v>108.0</v>
      </c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7"/>
      <c r="N66" s="47"/>
      <c r="O66" s="616"/>
      <c r="P66" s="172"/>
      <c r="Q66" s="616"/>
      <c r="R66" s="399">
        <v>308.0</v>
      </c>
      <c r="S66" s="616"/>
      <c r="T66" s="172"/>
      <c r="U66" s="172"/>
      <c r="V66" s="172"/>
      <c r="W66" s="172"/>
      <c r="X66" s="172"/>
      <c r="Y66" s="172"/>
      <c r="Z66" s="47"/>
      <c r="AA66" s="172"/>
      <c r="AB66" s="172"/>
      <c r="AC66" s="172"/>
      <c r="AD66" s="172"/>
      <c r="AE66" s="172"/>
      <c r="AF66" s="409">
        <v>107.0</v>
      </c>
      <c r="AG66" s="47"/>
      <c r="AH66" s="410" t="s">
        <v>137</v>
      </c>
      <c r="AI66" s="47"/>
      <c r="AJ66" s="200">
        <v>103.0</v>
      </c>
      <c r="AK66" s="411">
        <v>461.0</v>
      </c>
      <c r="AL66" s="44"/>
      <c r="AM66" s="243"/>
      <c r="AN66" s="172"/>
      <c r="AO66" s="458">
        <v>317.0</v>
      </c>
      <c r="AP66" s="412"/>
      <c r="AQ66" s="205"/>
      <c r="AR66" s="201"/>
      <c r="AS66" s="44"/>
      <c r="AT66" s="202"/>
      <c r="AU66" s="345">
        <v>304.0</v>
      </c>
      <c r="AV66" s="164" t="str">
        <f>IFERROR(__xludf.DUMMYFUNCTION("TEXTJOIN("" / "", TRUE, FILTER(TO_TEXT(SPLIT($AZ$4, "" / "")), NOT(REGEXMATCH(TO_TEXT(SPLIT($AZ$4, "" / "")), ""\b"" &amp; TEXTJOIN(""|"", TRUE, SPLIT(AW66, "" / "")) &amp; ""\b""))))"),"101 / 102 / 104 / 105 / 106 / 111 / 209 / 300 / 301 / 303 / 304 / 305 / 306 / 307 / 312 / 313 / 314 / 316 / 318 / 320 / 321 / 421 / 460")</f>
        <v>101 / 102 / 104 / 105 / 106 / 111 / 209 / 300 / 301 / 303 / 304 / 305 / 306 / 307 / 312 / 313 / 314 / 316 / 318 / 320 / 321 / 421 / 460</v>
      </c>
      <c r="AW66" s="178" t="str">
        <f>IFERROR(__xludf.DUMMYFUNCTION("TEXTJOIN("" / "", 1, SORT(UNIQUE(TRANSPOSE(SPLIT(TRIM(REGEXREPLACE(AW65,""([0-9]{3}[a-zA-Z]?)|."",""$1 "")), "" "")))))"),"103 / 107 / 108 / 308 / 317 / 461")</f>
        <v>103 / 107 / 108 / 308 / 317 / 461</v>
      </c>
      <c r="AX66" s="163"/>
      <c r="AY66" s="163"/>
      <c r="AZ66" s="163"/>
      <c r="BA66" s="163"/>
      <c r="BB66" s="163"/>
      <c r="BC66" s="163"/>
      <c r="BD66" s="163"/>
      <c r="BE66" s="163"/>
      <c r="BF66" s="163"/>
      <c r="BG66" s="163"/>
      <c r="BH66" s="163"/>
      <c r="BI66" s="163"/>
      <c r="BJ66" s="163"/>
      <c r="BK66" s="163"/>
      <c r="BL66" s="163"/>
      <c r="BM66" s="163"/>
      <c r="BN66" s="163"/>
      <c r="BO66" s="163"/>
      <c r="BP66" s="163"/>
      <c r="BQ66" s="163"/>
      <c r="BR66" s="163"/>
      <c r="BS66" s="163"/>
      <c r="BT66" s="163"/>
      <c r="BU66" s="163"/>
      <c r="BV66" s="163"/>
      <c r="BW66" s="163"/>
      <c r="BX66" s="163"/>
      <c r="BY66" s="163"/>
      <c r="BZ66" s="163"/>
      <c r="CA66" s="163"/>
      <c r="CB66" s="163"/>
      <c r="CC66" s="163"/>
      <c r="CD66" s="163"/>
      <c r="CE66" s="163"/>
      <c r="CF66" s="163"/>
      <c r="CG66" s="163"/>
      <c r="CH66" s="163"/>
    </row>
    <row r="67">
      <c r="A67" s="152" t="s">
        <v>51</v>
      </c>
      <c r="B67" s="179" t="s">
        <v>323</v>
      </c>
      <c r="M67" s="23"/>
      <c r="N67" s="154" t="s">
        <v>158</v>
      </c>
      <c r="O67" s="156"/>
      <c r="P67" s="256" t="s">
        <v>197</v>
      </c>
      <c r="Q67" s="156"/>
      <c r="R67" s="256" t="s">
        <v>197</v>
      </c>
      <c r="S67" s="379" t="s">
        <v>302</v>
      </c>
      <c r="T67" s="379" t="s">
        <v>302</v>
      </c>
      <c r="U67" s="156"/>
      <c r="V67" s="156"/>
      <c r="W67" s="156"/>
      <c r="X67" s="379" t="s">
        <v>302</v>
      </c>
      <c r="Y67" s="156"/>
      <c r="Z67" s="154" t="s">
        <v>162</v>
      </c>
      <c r="AA67" s="414" t="s">
        <v>324</v>
      </c>
      <c r="AE67" s="23"/>
      <c r="AF67" s="63"/>
      <c r="AG67" s="415" t="s">
        <v>325</v>
      </c>
      <c r="AH67" s="63"/>
      <c r="AI67" s="416" t="s">
        <v>326</v>
      </c>
      <c r="AJ67" s="417" t="s">
        <v>327</v>
      </c>
      <c r="AK67" s="403" t="s">
        <v>319</v>
      </c>
      <c r="AL67" s="152" t="s">
        <v>51</v>
      </c>
      <c r="AM67" s="230"/>
      <c r="AN67" s="156"/>
      <c r="AO67" s="418" t="s">
        <v>328</v>
      </c>
      <c r="AP67" s="237"/>
      <c r="AQ67" s="419"/>
      <c r="AR67" s="277" t="s">
        <v>228</v>
      </c>
      <c r="AS67" s="152" t="s">
        <v>51</v>
      </c>
      <c r="AT67" s="254"/>
      <c r="AU67" s="254"/>
      <c r="AV67" s="163"/>
      <c r="AW67" s="163"/>
      <c r="AX67" s="163"/>
      <c r="AY67" s="163"/>
      <c r="AZ67" s="163"/>
      <c r="BA67" s="163"/>
      <c r="BB67" s="163"/>
      <c r="BC67" s="163"/>
      <c r="BD67" s="163"/>
      <c r="BE67" s="163"/>
      <c r="BF67" s="163"/>
      <c r="BG67" s="163"/>
      <c r="BH67" s="163"/>
      <c r="BI67" s="163"/>
      <c r="BJ67" s="163"/>
      <c r="BK67" s="163"/>
      <c r="BL67" s="163"/>
      <c r="BM67" s="163"/>
      <c r="BN67" s="163"/>
      <c r="BO67" s="163"/>
      <c r="BP67" s="163"/>
      <c r="BQ67" s="163"/>
      <c r="BR67" s="163"/>
      <c r="BS67" s="163"/>
      <c r="BT67" s="163"/>
      <c r="BU67" s="163"/>
      <c r="BV67" s="163"/>
      <c r="BW67" s="163"/>
      <c r="BX67" s="163"/>
      <c r="BY67" s="163"/>
      <c r="BZ67" s="163"/>
      <c r="CA67" s="163"/>
      <c r="CB67" s="163"/>
      <c r="CC67" s="163"/>
      <c r="CD67" s="163"/>
      <c r="CE67" s="163"/>
      <c r="CF67" s="163"/>
      <c r="CG67" s="163"/>
      <c r="CH67" s="163"/>
    </row>
    <row r="68">
      <c r="A68" s="38"/>
      <c r="B68" s="420" t="s">
        <v>283</v>
      </c>
      <c r="M68" s="23"/>
      <c r="N68" s="23"/>
      <c r="O68" s="156"/>
      <c r="P68" s="262" t="s">
        <v>202</v>
      </c>
      <c r="Q68" s="156"/>
      <c r="R68" s="262" t="s">
        <v>202</v>
      </c>
      <c r="S68" s="404" t="s">
        <v>215</v>
      </c>
      <c r="T68" s="405" t="s">
        <v>53</v>
      </c>
      <c r="U68" s="156"/>
      <c r="V68" s="156"/>
      <c r="W68" s="156"/>
      <c r="X68" s="398" t="s">
        <v>152</v>
      </c>
      <c r="Y68" s="156"/>
      <c r="Z68" s="23"/>
      <c r="AA68" s="422" t="s">
        <v>329</v>
      </c>
      <c r="AE68" s="23"/>
      <c r="AF68" s="69"/>
      <c r="AG68" s="423" t="s">
        <v>200</v>
      </c>
      <c r="AH68" s="69"/>
      <c r="AI68" s="424" t="s">
        <v>166</v>
      </c>
      <c r="AJ68" s="425" t="s">
        <v>329</v>
      </c>
      <c r="AK68" s="426" t="s">
        <v>330</v>
      </c>
      <c r="AL68" s="38"/>
      <c r="AM68" s="230"/>
      <c r="AN68" s="156"/>
      <c r="AO68" s="427" t="s">
        <v>320</v>
      </c>
      <c r="AP68" s="237"/>
      <c r="AQ68" s="237"/>
      <c r="AR68" s="192" t="s">
        <v>201</v>
      </c>
      <c r="AS68" s="38"/>
      <c r="AT68" s="254"/>
      <c r="AU68" s="254"/>
      <c r="AV68" s="163"/>
      <c r="AW68" s="163" t="str">
        <f t="array" ref="AW68">TEXTJOIN(" | ", 1, A69:AT69)</f>
        <v>108 | 308 | 314 | 460 | 105 STARTS ON 20/02 | 317 | 312 | 105 STARTS ON 20/02 | 461 | ONLINE</v>
      </c>
      <c r="AX68" s="163"/>
      <c r="AY68" s="163"/>
      <c r="AZ68" s="163"/>
      <c r="BA68" s="163"/>
      <c r="BB68" s="163"/>
      <c r="BC68" s="163"/>
      <c r="BD68" s="163"/>
      <c r="BE68" s="163"/>
      <c r="BF68" s="163"/>
      <c r="BG68" s="163"/>
      <c r="BH68" s="163"/>
      <c r="BI68" s="163"/>
      <c r="BJ68" s="163"/>
      <c r="BK68" s="163"/>
      <c r="BL68" s="163"/>
      <c r="BM68" s="163"/>
      <c r="BN68" s="163"/>
      <c r="BO68" s="163"/>
      <c r="BP68" s="163"/>
      <c r="BQ68" s="163"/>
      <c r="BR68" s="163"/>
      <c r="BS68" s="163"/>
      <c r="BT68" s="163"/>
      <c r="BU68" s="163"/>
      <c r="BV68" s="163"/>
      <c r="BW68" s="163"/>
      <c r="BX68" s="163"/>
      <c r="BY68" s="163"/>
      <c r="BZ68" s="163"/>
      <c r="CA68" s="163"/>
      <c r="CB68" s="163"/>
      <c r="CC68" s="163"/>
      <c r="CD68" s="163"/>
      <c r="CE68" s="163"/>
      <c r="CF68" s="163"/>
      <c r="CG68" s="163"/>
      <c r="CH68" s="163"/>
    </row>
    <row r="69">
      <c r="A69" s="44"/>
      <c r="B69" s="225">
        <v>108.0</v>
      </c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7"/>
      <c r="N69" s="47"/>
      <c r="O69" s="172"/>
      <c r="P69" s="616"/>
      <c r="Q69" s="172"/>
      <c r="R69" s="616"/>
      <c r="S69" s="399">
        <v>308.0</v>
      </c>
      <c r="T69" s="387">
        <v>314.0</v>
      </c>
      <c r="U69" s="172"/>
      <c r="V69" s="172"/>
      <c r="W69" s="172"/>
      <c r="X69" s="399">
        <v>460.0</v>
      </c>
      <c r="Y69" s="172"/>
      <c r="Z69" s="47"/>
      <c r="AA69" s="429" t="s">
        <v>536</v>
      </c>
      <c r="AB69" s="46"/>
      <c r="AC69" s="46"/>
      <c r="AD69" s="46"/>
      <c r="AE69" s="47"/>
      <c r="AF69" s="76"/>
      <c r="AG69" s="430">
        <v>317.0</v>
      </c>
      <c r="AH69" s="76"/>
      <c r="AI69" s="431">
        <v>312.0</v>
      </c>
      <c r="AJ69" s="432" t="s">
        <v>536</v>
      </c>
      <c r="AK69" s="411">
        <v>461.0</v>
      </c>
      <c r="AL69" s="44"/>
      <c r="AM69" s="243"/>
      <c r="AN69" s="172"/>
      <c r="AO69" s="433" t="s">
        <v>137</v>
      </c>
      <c r="AP69" s="412"/>
      <c r="AQ69" s="412"/>
      <c r="AR69" s="201"/>
      <c r="AS69" s="44"/>
      <c r="AT69" s="254"/>
      <c r="AU69" s="254"/>
      <c r="AV69" s="164" t="str">
        <f>IFERROR(__xludf.DUMMYFUNCTION("TEXTJOIN("" / "", TRUE, FILTER(TO_TEXT(SPLIT($AZ$4, "" / "")), NOT(REGEXMATCH(TO_TEXT(SPLIT($AZ$4, "" / "")), ""\b"" &amp; TEXTJOIN(""|"", TRUE, SPLIT(AW69, "" / "")) &amp; ""\b""))))"),"101 / 102 / 103 / 104 / 106 / 107 / 111 / 209 / 300 / 301 / 303 / 304 / 305 / 306 / 307 / 313 / 316 / 318 / 320 / 321 / 421")</f>
        <v>101 / 102 / 103 / 104 / 106 / 107 / 111 / 209 / 300 / 301 / 303 / 304 / 305 / 306 / 307 / 313 / 316 / 318 / 320 / 321 / 421</v>
      </c>
      <c r="AW69" s="178" t="str">
        <f>IFERROR(__xludf.DUMMYFUNCTION("TEXTJOIN("" / "", 1, SORT(UNIQUE(TRANSPOSE(SPLIT(TRIM(REGEXREPLACE(AW68,""([0-9]{3}[a-zA-Z]?)|."",""$1 "")), "" "")))))"),"105 / 108 / 308 / 312 / 314 / 317 / 460 / 461")</f>
        <v>105 / 108 / 308 / 312 / 314 / 317 / 460 / 461</v>
      </c>
      <c r="AX69" s="163"/>
      <c r="AY69" s="163"/>
      <c r="AZ69" s="163"/>
      <c r="BA69" s="163"/>
      <c r="BB69" s="163"/>
      <c r="BC69" s="163"/>
      <c r="BD69" s="163"/>
      <c r="BE69" s="163"/>
      <c r="BF69" s="163"/>
      <c r="BG69" s="163"/>
      <c r="BH69" s="163"/>
      <c r="BI69" s="163"/>
      <c r="BJ69" s="163"/>
      <c r="BK69" s="163"/>
      <c r="BL69" s="163"/>
      <c r="BM69" s="163"/>
      <c r="BN69" s="163"/>
      <c r="BO69" s="163"/>
      <c r="BP69" s="163"/>
      <c r="BQ69" s="163"/>
      <c r="BR69" s="163"/>
      <c r="BS69" s="163"/>
      <c r="BT69" s="163"/>
      <c r="BU69" s="163"/>
      <c r="BV69" s="163"/>
      <c r="BW69" s="163"/>
      <c r="BX69" s="163"/>
      <c r="BY69" s="163"/>
      <c r="BZ69" s="163"/>
      <c r="CA69" s="163"/>
      <c r="CB69" s="163"/>
      <c r="CC69" s="163"/>
      <c r="CD69" s="163"/>
      <c r="CE69" s="163"/>
      <c r="CF69" s="163"/>
      <c r="CG69" s="163"/>
      <c r="CH69" s="163"/>
    </row>
    <row r="70">
      <c r="A70" s="152" t="s">
        <v>59</v>
      </c>
      <c r="B70" s="231" t="s">
        <v>331</v>
      </c>
      <c r="C70" s="208" t="s">
        <v>157</v>
      </c>
      <c r="D70" s="208" t="s">
        <v>157</v>
      </c>
      <c r="E70" s="231" t="s">
        <v>331</v>
      </c>
      <c r="F70" s="208" t="s">
        <v>157</v>
      </c>
      <c r="G70" s="208" t="s">
        <v>157</v>
      </c>
      <c r="H70" s="231" t="s">
        <v>331</v>
      </c>
      <c r="I70" s="208" t="s">
        <v>157</v>
      </c>
      <c r="J70" s="231" t="s">
        <v>331</v>
      </c>
      <c r="K70" s="208" t="s">
        <v>157</v>
      </c>
      <c r="L70" s="231" t="s">
        <v>331</v>
      </c>
      <c r="M70" s="208" t="s">
        <v>157</v>
      </c>
      <c r="N70" s="154" t="s">
        <v>172</v>
      </c>
      <c r="O70" s="63"/>
      <c r="P70" s="379" t="s">
        <v>302</v>
      </c>
      <c r="Q70" s="156"/>
      <c r="R70" s="156"/>
      <c r="S70" s="156"/>
      <c r="T70" s="156"/>
      <c r="U70" s="379" t="s">
        <v>302</v>
      </c>
      <c r="V70" s="156"/>
      <c r="W70" s="156"/>
      <c r="X70" s="434" t="s">
        <v>332</v>
      </c>
      <c r="Y70" s="156"/>
      <c r="Z70" s="154" t="s">
        <v>174</v>
      </c>
      <c r="AA70" s="358" t="s">
        <v>333</v>
      </c>
      <c r="AE70" s="23"/>
      <c r="AF70" s="415" t="s">
        <v>325</v>
      </c>
      <c r="AG70" s="63"/>
      <c r="AH70" s="416" t="s">
        <v>326</v>
      </c>
      <c r="AI70" s="63"/>
      <c r="AJ70" s="402" t="s">
        <v>334</v>
      </c>
      <c r="AK70" s="435" t="s">
        <v>335</v>
      </c>
      <c r="AL70" s="152" t="s">
        <v>59</v>
      </c>
      <c r="AM70" s="230"/>
      <c r="AN70" s="156"/>
      <c r="AO70" s="436" t="s">
        <v>336</v>
      </c>
      <c r="AP70" s="237"/>
      <c r="AQ70" s="419"/>
      <c r="AR70" s="228"/>
      <c r="AS70" s="152" t="s">
        <v>59</v>
      </c>
      <c r="AT70" s="63"/>
      <c r="AU70" s="63"/>
      <c r="AV70" s="163"/>
      <c r="AW70" s="163"/>
      <c r="AX70" s="163"/>
      <c r="AY70" s="163"/>
      <c r="AZ70" s="163"/>
      <c r="BA70" s="163"/>
      <c r="BB70" s="163"/>
      <c r="BC70" s="163"/>
      <c r="BD70" s="163"/>
      <c r="BE70" s="163"/>
      <c r="BF70" s="163"/>
      <c r="BG70" s="163"/>
      <c r="BH70" s="163"/>
      <c r="BI70" s="163"/>
      <c r="BJ70" s="163"/>
      <c r="BK70" s="163"/>
      <c r="BL70" s="163"/>
      <c r="BM70" s="163"/>
      <c r="BN70" s="163"/>
      <c r="BO70" s="163"/>
      <c r="BP70" s="163"/>
      <c r="BQ70" s="163"/>
      <c r="BR70" s="163"/>
      <c r="BS70" s="163"/>
      <c r="BT70" s="163"/>
      <c r="BU70" s="163"/>
      <c r="BV70" s="163"/>
      <c r="BW70" s="163"/>
      <c r="BX70" s="163"/>
      <c r="BY70" s="163"/>
      <c r="BZ70" s="163"/>
      <c r="CA70" s="163"/>
      <c r="CB70" s="163"/>
      <c r="CC70" s="163"/>
      <c r="CD70" s="163"/>
      <c r="CE70" s="163"/>
      <c r="CF70" s="163"/>
      <c r="CG70" s="163"/>
      <c r="CH70" s="163"/>
    </row>
    <row r="71">
      <c r="A71" s="38"/>
      <c r="B71" s="235" t="s">
        <v>283</v>
      </c>
      <c r="C71" s="213" t="s">
        <v>165</v>
      </c>
      <c r="D71" s="213" t="s">
        <v>165</v>
      </c>
      <c r="E71" s="236" t="s">
        <v>229</v>
      </c>
      <c r="F71" s="213" t="s">
        <v>165</v>
      </c>
      <c r="G71" s="213" t="s">
        <v>165</v>
      </c>
      <c r="H71" s="236" t="s">
        <v>54</v>
      </c>
      <c r="I71" s="213" t="s">
        <v>165</v>
      </c>
      <c r="J71" s="279" t="s">
        <v>338</v>
      </c>
      <c r="K71" s="213" t="s">
        <v>165</v>
      </c>
      <c r="L71" s="236" t="s">
        <v>232</v>
      </c>
      <c r="M71" s="213" t="s">
        <v>165</v>
      </c>
      <c r="N71" s="23"/>
      <c r="O71" s="69"/>
      <c r="P71" s="398" t="s">
        <v>152</v>
      </c>
      <c r="Q71" s="156"/>
      <c r="R71" s="156"/>
      <c r="S71" s="156"/>
      <c r="T71" s="156"/>
      <c r="U71" s="405" t="s">
        <v>53</v>
      </c>
      <c r="V71" s="156"/>
      <c r="W71" s="156"/>
      <c r="X71" s="438" t="s">
        <v>339</v>
      </c>
      <c r="Y71" s="156"/>
      <c r="Z71" s="23"/>
      <c r="AA71" s="439" t="s">
        <v>340</v>
      </c>
      <c r="AE71" s="23"/>
      <c r="AF71" s="423" t="s">
        <v>200</v>
      </c>
      <c r="AG71" s="69"/>
      <c r="AH71" s="424" t="s">
        <v>166</v>
      </c>
      <c r="AI71" s="69"/>
      <c r="AJ71" s="285" t="s">
        <v>215</v>
      </c>
      <c r="AK71" s="320" t="s">
        <v>341</v>
      </c>
      <c r="AL71" s="38"/>
      <c r="AM71" s="230"/>
      <c r="AN71" s="156"/>
      <c r="AO71" s="440" t="s">
        <v>219</v>
      </c>
      <c r="AP71" s="237"/>
      <c r="AQ71" s="237"/>
      <c r="AR71" s="161"/>
      <c r="AS71" s="38"/>
      <c r="AT71" s="69"/>
      <c r="AU71" s="69"/>
      <c r="AV71" s="163"/>
      <c r="AW71" s="163" t="str">
        <f t="array" ref="AW71">TEXTJOIN(" | ", 1, A72:AT72)</f>
        <v>303 | 103/104/301/304/305/306/421/460 | 103/104/301/304/305/306/421/460 | 320 | 103/104/301/304/305/306/421/460 | 103/104/301/304/305/306/421/460 | 101 | 103/104/301/304/305/306/421/460 | 318 | 103/104/301/304/305/306/421/460 | 300 | 103/104/301/304/305/306/421/460 | 308 | 314 | 102 ON 06/02, 27/02, 20/03 | 108 | 317 | 312 | 209 | 461 | 321</v>
      </c>
      <c r="AX71" s="163"/>
      <c r="AY71" s="163"/>
      <c r="AZ71" s="163"/>
      <c r="BA71" s="163"/>
      <c r="BB71" s="163"/>
      <c r="BC71" s="163"/>
      <c r="BD71" s="163"/>
      <c r="BE71" s="163"/>
      <c r="BF71" s="163"/>
      <c r="BG71" s="163"/>
      <c r="BH71" s="163"/>
      <c r="BI71" s="163"/>
      <c r="BJ71" s="163"/>
      <c r="BK71" s="163"/>
      <c r="BL71" s="163"/>
      <c r="BM71" s="163"/>
      <c r="BN71" s="163"/>
      <c r="BO71" s="163"/>
      <c r="BP71" s="163"/>
      <c r="BQ71" s="163"/>
      <c r="BR71" s="163"/>
      <c r="BS71" s="163"/>
      <c r="BT71" s="163"/>
      <c r="BU71" s="163"/>
      <c r="BV71" s="163"/>
      <c r="BW71" s="163"/>
      <c r="BX71" s="163"/>
      <c r="BY71" s="163"/>
      <c r="BZ71" s="163"/>
      <c r="CA71" s="163"/>
      <c r="CB71" s="163"/>
      <c r="CC71" s="163"/>
      <c r="CD71" s="163"/>
      <c r="CE71" s="163"/>
      <c r="CF71" s="163"/>
      <c r="CG71" s="163"/>
      <c r="CH71" s="163"/>
    </row>
    <row r="72">
      <c r="A72" s="44"/>
      <c r="B72" s="244">
        <v>303.0</v>
      </c>
      <c r="C72" s="221" t="s">
        <v>537</v>
      </c>
      <c r="D72" s="221" t="s">
        <v>537</v>
      </c>
      <c r="E72" s="244">
        <v>320.0</v>
      </c>
      <c r="F72" s="221" t="s">
        <v>537</v>
      </c>
      <c r="G72" s="221" t="s">
        <v>537</v>
      </c>
      <c r="H72" s="442">
        <v>101.0</v>
      </c>
      <c r="I72" s="221" t="s">
        <v>537</v>
      </c>
      <c r="J72" s="244">
        <v>318.0</v>
      </c>
      <c r="K72" s="221" t="s">
        <v>537</v>
      </c>
      <c r="L72" s="244">
        <v>300.0</v>
      </c>
      <c r="M72" s="221" t="s">
        <v>537</v>
      </c>
      <c r="N72" s="47"/>
      <c r="O72" s="76"/>
      <c r="P72" s="399">
        <v>308.0</v>
      </c>
      <c r="Q72" s="241"/>
      <c r="R72" s="241"/>
      <c r="S72" s="241"/>
      <c r="T72" s="172"/>
      <c r="U72" s="387">
        <v>314.0</v>
      </c>
      <c r="V72" s="172"/>
      <c r="W72" s="172"/>
      <c r="X72" s="443" t="s">
        <v>426</v>
      </c>
      <c r="Y72" s="172"/>
      <c r="Z72" s="47"/>
      <c r="AA72" s="444">
        <v>108.0</v>
      </c>
      <c r="AB72" s="46"/>
      <c r="AC72" s="46"/>
      <c r="AD72" s="46"/>
      <c r="AE72" s="47"/>
      <c r="AF72" s="430">
        <v>317.0</v>
      </c>
      <c r="AG72" s="76"/>
      <c r="AH72" s="431">
        <v>312.0</v>
      </c>
      <c r="AI72" s="76"/>
      <c r="AJ72" s="200">
        <v>209.0</v>
      </c>
      <c r="AK72" s="445">
        <v>461.0</v>
      </c>
      <c r="AL72" s="44"/>
      <c r="AM72" s="243"/>
      <c r="AN72" s="172"/>
      <c r="AO72" s="446">
        <v>321.0</v>
      </c>
      <c r="AP72" s="412"/>
      <c r="AQ72" s="412"/>
      <c r="AR72" s="177"/>
      <c r="AS72" s="44"/>
      <c r="AT72" s="76"/>
      <c r="AU72" s="76"/>
      <c r="AV72" s="164" t="str">
        <f>IFERROR(__xludf.DUMMYFUNCTION("TEXTJOIN("" / "", TRUE, FILTER(TO_TEXT(SPLIT($AZ$4, "" / "")), NOT(REGEXMATCH(TO_TEXT(SPLIT($AZ$4, "" / "")), ""\b"" &amp; TEXTJOIN(""|"", TRUE, SPLIT(AW72, "" / "")) &amp; ""\b""))))"),"105 / 106 / 107 / 111 / 307 / 313 / 316")</f>
        <v>105 / 106 / 107 / 111 / 307 / 313 / 316</v>
      </c>
      <c r="AW72" s="178" t="str">
        <f>IFERROR(__xludf.DUMMYFUNCTION("TEXTJOIN("" / "", 1, SORT(UNIQUE(TRANSPOSE(SPLIT(TRIM(REGEXREPLACE(AW71,""([0-9]{3}[a-zA-Z]?)|."",""$1 "")), "" "")))))"),"101 / 102 / 103 / 104 / 108 / 209 / 300 / 301 / 303 / 304 / 305 / 306 / 308 / 312 / 314 / 317 / 318 / 320 / 321 / 421 / 460 / 461")</f>
        <v>101 / 102 / 103 / 104 / 108 / 209 / 300 / 301 / 303 / 304 / 305 / 306 / 308 / 312 / 314 / 317 / 318 / 320 / 321 / 421 / 460 / 461</v>
      </c>
      <c r="AX72" s="163"/>
      <c r="AY72" s="163"/>
      <c r="AZ72" s="163"/>
      <c r="BA72" s="163"/>
      <c r="BB72" s="163"/>
      <c r="BC72" s="163"/>
      <c r="BD72" s="163"/>
      <c r="BE72" s="163"/>
      <c r="BF72" s="163"/>
      <c r="BG72" s="163"/>
      <c r="BH72" s="163"/>
      <c r="BI72" s="163"/>
      <c r="BJ72" s="163"/>
      <c r="BK72" s="163"/>
      <c r="BL72" s="163"/>
      <c r="BM72" s="163"/>
      <c r="BN72" s="163"/>
      <c r="BO72" s="163"/>
      <c r="BP72" s="163"/>
      <c r="BQ72" s="163"/>
      <c r="BR72" s="163"/>
      <c r="BS72" s="163"/>
      <c r="BT72" s="163"/>
      <c r="BU72" s="163"/>
      <c r="BV72" s="163"/>
      <c r="BW72" s="163"/>
      <c r="BX72" s="163"/>
      <c r="BY72" s="163"/>
      <c r="BZ72" s="163"/>
      <c r="CA72" s="163"/>
      <c r="CB72" s="163"/>
      <c r="CC72" s="163"/>
      <c r="CD72" s="163"/>
      <c r="CE72" s="163"/>
      <c r="CF72" s="163"/>
      <c r="CG72" s="163"/>
      <c r="CH72" s="163"/>
    </row>
    <row r="73">
      <c r="A73" s="152" t="s">
        <v>64</v>
      </c>
      <c r="B73" s="208" t="s">
        <v>157</v>
      </c>
      <c r="C73" s="231" t="s">
        <v>331</v>
      </c>
      <c r="D73" s="208" t="s">
        <v>157</v>
      </c>
      <c r="E73" s="208" t="s">
        <v>157</v>
      </c>
      <c r="F73" s="231" t="s">
        <v>331</v>
      </c>
      <c r="G73" s="208" t="s">
        <v>157</v>
      </c>
      <c r="H73" s="208" t="s">
        <v>157</v>
      </c>
      <c r="I73" s="231" t="s">
        <v>331</v>
      </c>
      <c r="J73" s="208" t="s">
        <v>157</v>
      </c>
      <c r="K73" s="231" t="s">
        <v>331</v>
      </c>
      <c r="L73" s="208" t="s">
        <v>157</v>
      </c>
      <c r="M73" s="231" t="s">
        <v>331</v>
      </c>
      <c r="N73" s="154" t="s">
        <v>184</v>
      </c>
      <c r="O73" s="379" t="s">
        <v>302</v>
      </c>
      <c r="P73" s="156"/>
      <c r="Q73" s="156"/>
      <c r="R73" s="156"/>
      <c r="S73" s="156"/>
      <c r="T73" s="156"/>
      <c r="U73" s="158"/>
      <c r="V73" s="379" t="s">
        <v>302</v>
      </c>
      <c r="W73" s="156"/>
      <c r="X73" s="434" t="s">
        <v>332</v>
      </c>
      <c r="Y73" s="156"/>
      <c r="Z73" s="154" t="s">
        <v>185</v>
      </c>
      <c r="AA73" s="358" t="s">
        <v>346</v>
      </c>
      <c r="AE73" s="23"/>
      <c r="AF73" s="159"/>
      <c r="AG73" s="448"/>
      <c r="AH73" s="305"/>
      <c r="AI73" s="305"/>
      <c r="AJ73" s="63"/>
      <c r="AK73" s="435" t="s">
        <v>347</v>
      </c>
      <c r="AL73" s="152" t="s">
        <v>64</v>
      </c>
      <c r="AM73" s="228"/>
      <c r="AN73" s="228"/>
      <c r="AO73" s="228"/>
      <c r="AP73" s="237"/>
      <c r="AQ73" s="228"/>
      <c r="AR73" s="228"/>
      <c r="AS73" s="152" t="s">
        <v>64</v>
      </c>
      <c r="AT73" s="319"/>
      <c r="AU73" s="319"/>
      <c r="AV73" s="258"/>
      <c r="AW73" s="258"/>
      <c r="AX73" s="258"/>
      <c r="AY73" s="258"/>
      <c r="AZ73" s="258"/>
      <c r="BA73" s="258"/>
      <c r="BB73" s="258"/>
      <c r="BC73" s="258"/>
      <c r="BD73" s="258"/>
      <c r="BE73" s="258"/>
      <c r="BF73" s="258"/>
      <c r="BG73" s="258"/>
      <c r="BH73" s="258"/>
      <c r="BI73" s="258"/>
      <c r="BJ73" s="258"/>
      <c r="BK73" s="258"/>
      <c r="BL73" s="258"/>
      <c r="BM73" s="258"/>
      <c r="BN73" s="258"/>
      <c r="BO73" s="258"/>
      <c r="BP73" s="258"/>
      <c r="BQ73" s="258"/>
      <c r="BR73" s="258"/>
      <c r="BS73" s="258"/>
      <c r="BT73" s="258"/>
      <c r="BU73" s="258"/>
      <c r="BV73" s="258"/>
      <c r="BW73" s="258"/>
      <c r="BX73" s="258"/>
      <c r="BY73" s="258"/>
      <c r="BZ73" s="258"/>
      <c r="CA73" s="258"/>
      <c r="CB73" s="258"/>
      <c r="CC73" s="258"/>
      <c r="CD73" s="258"/>
      <c r="CE73" s="258"/>
      <c r="CF73" s="258"/>
      <c r="CG73" s="258"/>
      <c r="CH73" s="258"/>
    </row>
    <row r="74">
      <c r="A74" s="38"/>
      <c r="B74" s="213" t="s">
        <v>165</v>
      </c>
      <c r="C74" s="235" t="s">
        <v>283</v>
      </c>
      <c r="D74" s="213" t="s">
        <v>165</v>
      </c>
      <c r="E74" s="213" t="s">
        <v>165</v>
      </c>
      <c r="F74" s="235" t="s">
        <v>179</v>
      </c>
      <c r="G74" s="213" t="s">
        <v>165</v>
      </c>
      <c r="H74" s="213" t="s">
        <v>165</v>
      </c>
      <c r="I74" s="236" t="s">
        <v>338</v>
      </c>
      <c r="J74" s="213" t="s">
        <v>165</v>
      </c>
      <c r="K74" s="279" t="s">
        <v>54</v>
      </c>
      <c r="L74" s="213" t="s">
        <v>165</v>
      </c>
      <c r="M74" s="236" t="s">
        <v>232</v>
      </c>
      <c r="N74" s="23"/>
      <c r="O74" s="398" t="s">
        <v>152</v>
      </c>
      <c r="P74" s="156"/>
      <c r="Q74" s="156"/>
      <c r="R74" s="156"/>
      <c r="S74" s="156"/>
      <c r="T74" s="156"/>
      <c r="U74" s="237"/>
      <c r="V74" s="405" t="s">
        <v>53</v>
      </c>
      <c r="W74" s="156"/>
      <c r="X74" s="438" t="s">
        <v>339</v>
      </c>
      <c r="Y74" s="156"/>
      <c r="Z74" s="23"/>
      <c r="AA74" s="439" t="s">
        <v>340</v>
      </c>
      <c r="AE74" s="23"/>
      <c r="AF74" s="159"/>
      <c r="AG74" s="168"/>
      <c r="AH74" s="156"/>
      <c r="AI74" s="156"/>
      <c r="AJ74" s="69"/>
      <c r="AK74" s="450" t="s">
        <v>348</v>
      </c>
      <c r="AL74" s="38"/>
      <c r="AM74" s="161"/>
      <c r="AN74" s="161"/>
      <c r="AO74" s="161"/>
      <c r="AP74" s="237"/>
      <c r="AQ74" s="161"/>
      <c r="AR74" s="161"/>
      <c r="AS74" s="38"/>
      <c r="AT74" s="152"/>
      <c r="AU74" s="152"/>
      <c r="AV74" s="258"/>
      <c r="AW74" s="163" t="str">
        <f t="array" ref="AW74">TEXTJOIN(" | ", 1, A75:AT75)</f>
        <v>103/104/301/304/305/306/421/460 | 303 | 103/104/301/304/305/306/421/460 | 103/104/301/304/305/306/421/460 | 321 | 103/104/301/304/305/306/421/460 | 103/104/301/304/305/306/421/460 | 318 | 103/104/301/304/305/306/421/460 | 101 | 103/104/301/304/305/306/421/460 | 300 | 308 | 314 | 102 ON 06/02, 27/02, 20/03 | 108 | 461</v>
      </c>
      <c r="AX74" s="258"/>
      <c r="AY74" s="258"/>
      <c r="AZ74" s="258"/>
      <c r="BA74" s="258"/>
      <c r="BB74" s="258"/>
      <c r="BC74" s="258"/>
      <c r="BD74" s="258"/>
      <c r="BE74" s="258"/>
      <c r="BF74" s="258"/>
      <c r="BG74" s="258"/>
      <c r="BH74" s="258"/>
      <c r="BI74" s="258"/>
      <c r="BJ74" s="258"/>
      <c r="BK74" s="258"/>
      <c r="BL74" s="258"/>
      <c r="BM74" s="258"/>
      <c r="BN74" s="258"/>
      <c r="BO74" s="258"/>
      <c r="BP74" s="258"/>
      <c r="BQ74" s="258"/>
      <c r="BR74" s="258"/>
      <c r="BS74" s="258"/>
      <c r="BT74" s="258"/>
      <c r="BU74" s="258"/>
      <c r="BV74" s="258"/>
      <c r="BW74" s="258"/>
      <c r="BX74" s="258"/>
      <c r="BY74" s="258"/>
      <c r="BZ74" s="258"/>
      <c r="CA74" s="258"/>
      <c r="CB74" s="258"/>
      <c r="CC74" s="258"/>
      <c r="CD74" s="258"/>
      <c r="CE74" s="258"/>
      <c r="CF74" s="258"/>
      <c r="CG74" s="258"/>
      <c r="CH74" s="258"/>
    </row>
    <row r="75">
      <c r="A75" s="44"/>
      <c r="B75" s="221" t="s">
        <v>537</v>
      </c>
      <c r="C75" s="244">
        <v>303.0</v>
      </c>
      <c r="D75" s="221" t="s">
        <v>537</v>
      </c>
      <c r="E75" s="221" t="s">
        <v>537</v>
      </c>
      <c r="F75" s="442">
        <v>321.0</v>
      </c>
      <c r="G75" s="221" t="s">
        <v>537</v>
      </c>
      <c r="H75" s="221" t="s">
        <v>537</v>
      </c>
      <c r="I75" s="244">
        <v>318.0</v>
      </c>
      <c r="J75" s="221" t="s">
        <v>537</v>
      </c>
      <c r="K75" s="442">
        <v>101.0</v>
      </c>
      <c r="L75" s="221" t="s">
        <v>537</v>
      </c>
      <c r="M75" s="244">
        <v>300.0</v>
      </c>
      <c r="N75" s="47"/>
      <c r="O75" s="399">
        <v>308.0</v>
      </c>
      <c r="P75" s="172"/>
      <c r="Q75" s="172"/>
      <c r="R75" s="172"/>
      <c r="S75" s="172"/>
      <c r="T75" s="172"/>
      <c r="U75" s="202"/>
      <c r="V75" s="387">
        <v>314.0</v>
      </c>
      <c r="W75" s="172"/>
      <c r="X75" s="443" t="s">
        <v>426</v>
      </c>
      <c r="Y75" s="172"/>
      <c r="Z75" s="47"/>
      <c r="AA75" s="444">
        <v>108.0</v>
      </c>
      <c r="AB75" s="46"/>
      <c r="AC75" s="46"/>
      <c r="AD75" s="46"/>
      <c r="AE75" s="47"/>
      <c r="AF75" s="175"/>
      <c r="AG75" s="174"/>
      <c r="AH75" s="172"/>
      <c r="AI75" s="172"/>
      <c r="AJ75" s="76"/>
      <c r="AK75" s="445">
        <v>461.0</v>
      </c>
      <c r="AL75" s="44"/>
      <c r="AM75" s="177"/>
      <c r="AN75" s="177"/>
      <c r="AO75" s="177"/>
      <c r="AP75" s="412"/>
      <c r="AQ75" s="177"/>
      <c r="AR75" s="177"/>
      <c r="AS75" s="44"/>
      <c r="AT75" s="323"/>
      <c r="AU75" s="323"/>
      <c r="AV75" s="164" t="str">
        <f>IFERROR(__xludf.DUMMYFUNCTION("TEXTJOIN("" / "", TRUE, FILTER(TO_TEXT(SPLIT($AZ$4, "" / "")), NOT(REGEXMATCH(TO_TEXT(SPLIT($AZ$4, "" / "")), ""\b"" &amp; TEXTJOIN(""|"", TRUE, SPLIT(AW75, "" / "")) &amp; ""\b""))))"),"105 / 106 / 107 / 111 / 209 / 307 / 312 / 313 / 316 / 317 / 320")</f>
        <v>105 / 106 / 107 / 111 / 209 / 307 / 312 / 313 / 316 / 317 / 320</v>
      </c>
      <c r="AW75" s="178" t="str">
        <f>IFERROR(__xludf.DUMMYFUNCTION("TEXTJOIN("" / "", 1, SORT(UNIQUE(TRANSPOSE(SPLIT(TRIM(REGEXREPLACE(AW74,""([0-9]{3}[a-zA-Z]?)|."",""$1 "")), "" "")))))"),"101 / 102 / 103 / 104 / 108 / 300 / 301 / 303 / 304 / 305 / 306 / 308 / 314 / 318 / 321 / 421 / 460 / 461")</f>
        <v>101 / 102 / 103 / 104 / 108 / 300 / 301 / 303 / 304 / 305 / 306 / 308 / 314 / 318 / 321 / 421 / 460 / 461</v>
      </c>
      <c r="AX75" s="163"/>
      <c r="AY75" s="163"/>
      <c r="AZ75" s="163"/>
      <c r="BA75" s="163"/>
      <c r="BB75" s="163"/>
      <c r="BC75" s="163"/>
      <c r="BD75" s="163"/>
      <c r="BE75" s="163"/>
      <c r="BF75" s="163"/>
      <c r="BG75" s="163"/>
      <c r="BH75" s="163"/>
      <c r="BI75" s="163"/>
      <c r="BJ75" s="163"/>
      <c r="BK75" s="163"/>
      <c r="BL75" s="163"/>
      <c r="BM75" s="163"/>
      <c r="BN75" s="163"/>
      <c r="BO75" s="163"/>
      <c r="BP75" s="163"/>
      <c r="BQ75" s="163"/>
      <c r="BR75" s="163"/>
      <c r="BS75" s="163"/>
      <c r="BT75" s="163"/>
      <c r="BU75" s="163"/>
      <c r="BV75" s="163"/>
      <c r="BW75" s="163"/>
      <c r="BX75" s="163"/>
      <c r="BY75" s="163"/>
      <c r="BZ75" s="163"/>
      <c r="CA75" s="163"/>
      <c r="CB75" s="163"/>
      <c r="CC75" s="163"/>
      <c r="CD75" s="163"/>
      <c r="CE75" s="163"/>
      <c r="CF75" s="163"/>
      <c r="CG75" s="163"/>
      <c r="CH75" s="163"/>
    </row>
    <row r="76">
      <c r="A76" s="152" t="s">
        <v>66</v>
      </c>
      <c r="B76" s="156"/>
      <c r="C76" s="156"/>
      <c r="D76" s="231" t="s">
        <v>331</v>
      </c>
      <c r="F76" s="156"/>
      <c r="G76" s="231" t="s">
        <v>331</v>
      </c>
      <c r="H76" s="156"/>
      <c r="I76" s="63"/>
      <c r="J76" s="63"/>
      <c r="K76" s="156"/>
      <c r="L76" s="156"/>
      <c r="M76" s="156"/>
      <c r="N76" s="154" t="s">
        <v>191</v>
      </c>
      <c r="O76" s="156"/>
      <c r="P76" s="156"/>
      <c r="Q76" s="156"/>
      <c r="R76" s="156"/>
      <c r="S76" s="156"/>
      <c r="T76" s="156"/>
      <c r="U76" s="156"/>
      <c r="V76" s="156"/>
      <c r="W76" s="156"/>
      <c r="X76" s="434" t="s">
        <v>332</v>
      </c>
      <c r="Y76" s="156"/>
      <c r="Z76" s="154" t="s">
        <v>192</v>
      </c>
      <c r="AA76" s="156"/>
      <c r="AB76" s="156"/>
      <c r="AC76" s="156"/>
      <c r="AD76" s="156"/>
      <c r="AE76" s="156"/>
      <c r="AF76" s="159"/>
      <c r="AG76" s="158"/>
      <c r="AH76" s="156"/>
      <c r="AI76" s="156"/>
      <c r="AJ76" s="156"/>
      <c r="AK76" s="156"/>
      <c r="AL76" s="152" t="s">
        <v>66</v>
      </c>
      <c r="AM76" s="156"/>
      <c r="AN76" s="156"/>
      <c r="AO76" s="158"/>
      <c r="AQ76" s="158"/>
      <c r="AR76" s="161"/>
      <c r="AS76" s="152" t="s">
        <v>66</v>
      </c>
      <c r="AT76" s="254"/>
      <c r="AU76" s="254"/>
      <c r="AV76" s="258"/>
      <c r="AW76" s="258"/>
      <c r="AX76" s="258"/>
      <c r="AY76" s="258"/>
      <c r="AZ76" s="258"/>
      <c r="BA76" s="258"/>
      <c r="BB76" s="258"/>
      <c r="BC76" s="258"/>
      <c r="BD76" s="258"/>
      <c r="BE76" s="258"/>
      <c r="BF76" s="258"/>
      <c r="BG76" s="258"/>
      <c r="BH76" s="258"/>
      <c r="BI76" s="258"/>
      <c r="BJ76" s="258"/>
      <c r="BK76" s="258"/>
      <c r="BL76" s="258"/>
      <c r="BM76" s="258"/>
      <c r="BN76" s="258"/>
      <c r="BO76" s="258"/>
      <c r="BP76" s="258"/>
      <c r="BQ76" s="258"/>
      <c r="BR76" s="258"/>
      <c r="BS76" s="258"/>
      <c r="BT76" s="258"/>
      <c r="BU76" s="258"/>
      <c r="BV76" s="258"/>
      <c r="BW76" s="258"/>
      <c r="BX76" s="258"/>
      <c r="BY76" s="258"/>
      <c r="BZ76" s="258"/>
      <c r="CA76" s="258"/>
      <c r="CB76" s="258"/>
      <c r="CC76" s="258"/>
      <c r="CD76" s="258"/>
      <c r="CE76" s="258"/>
      <c r="CF76" s="258"/>
      <c r="CG76" s="258"/>
      <c r="CH76" s="258"/>
    </row>
    <row r="77">
      <c r="A77" s="38"/>
      <c r="B77" s="156"/>
      <c r="C77" s="156"/>
      <c r="D77" s="236" t="s">
        <v>54</v>
      </c>
      <c r="F77" s="156"/>
      <c r="G77" s="235" t="s">
        <v>179</v>
      </c>
      <c r="H77" s="156"/>
      <c r="I77" s="69"/>
      <c r="J77" s="69"/>
      <c r="K77" s="156"/>
      <c r="L77" s="156"/>
      <c r="M77" s="156"/>
      <c r="N77" s="23"/>
      <c r="O77" s="156"/>
      <c r="P77" s="156"/>
      <c r="Q77" s="156"/>
      <c r="R77" s="156"/>
      <c r="S77" s="156"/>
      <c r="T77" s="156"/>
      <c r="U77" s="156"/>
      <c r="V77" s="156"/>
      <c r="W77" s="156"/>
      <c r="X77" s="438" t="s">
        <v>339</v>
      </c>
      <c r="Y77" s="156"/>
      <c r="Z77" s="23"/>
      <c r="AA77" s="156"/>
      <c r="AB77" s="156"/>
      <c r="AC77" s="156"/>
      <c r="AD77" s="156"/>
      <c r="AE77" s="156"/>
      <c r="AF77" s="159"/>
      <c r="AG77" s="168"/>
      <c r="AH77" s="156"/>
      <c r="AI77" s="156"/>
      <c r="AJ77" s="156"/>
      <c r="AK77" s="156"/>
      <c r="AL77" s="38"/>
      <c r="AM77" s="156"/>
      <c r="AN77" s="156"/>
      <c r="AO77" s="531"/>
      <c r="AQ77" s="168"/>
      <c r="AR77" s="161"/>
      <c r="AS77" s="38"/>
      <c r="AT77" s="254"/>
      <c r="AU77" s="254"/>
      <c r="AV77" s="258"/>
      <c r="AW77" s="163" t="str">
        <f t="array" ref="AW77">TEXTJOIN(" | ", 1, A78:AT78)</f>
        <v>101 | 321 | 102 ON 06/02, 27/02, 20/03</v>
      </c>
      <c r="AX77" s="258"/>
      <c r="AY77" s="258"/>
      <c r="AZ77" s="258"/>
      <c r="BA77" s="258"/>
      <c r="BB77" s="258"/>
      <c r="BC77" s="258"/>
      <c r="BD77" s="258"/>
      <c r="BE77" s="258"/>
      <c r="BF77" s="258"/>
      <c r="BG77" s="258"/>
      <c r="BH77" s="258"/>
      <c r="BI77" s="258"/>
      <c r="BJ77" s="258"/>
      <c r="BK77" s="258"/>
      <c r="BL77" s="258"/>
      <c r="BM77" s="258"/>
      <c r="BN77" s="258"/>
      <c r="BO77" s="258"/>
      <c r="BP77" s="258"/>
      <c r="BQ77" s="258"/>
      <c r="BR77" s="258"/>
      <c r="BS77" s="258"/>
      <c r="BT77" s="258"/>
      <c r="BU77" s="258"/>
      <c r="BV77" s="258"/>
      <c r="BW77" s="258"/>
      <c r="BX77" s="258"/>
      <c r="BY77" s="258"/>
      <c r="BZ77" s="258"/>
      <c r="CA77" s="258"/>
      <c r="CB77" s="258"/>
      <c r="CC77" s="258"/>
      <c r="CD77" s="258"/>
      <c r="CE77" s="258"/>
      <c r="CF77" s="258"/>
      <c r="CG77" s="258"/>
      <c r="CH77" s="258"/>
    </row>
    <row r="78">
      <c r="A78" s="44"/>
      <c r="B78" s="172"/>
      <c r="C78" s="172"/>
      <c r="D78" s="456">
        <v>101.0</v>
      </c>
      <c r="F78" s="172"/>
      <c r="G78" s="244">
        <v>321.0</v>
      </c>
      <c r="H78" s="172"/>
      <c r="I78" s="76"/>
      <c r="J78" s="76"/>
      <c r="K78" s="172"/>
      <c r="L78" s="172"/>
      <c r="M78" s="172"/>
      <c r="N78" s="47"/>
      <c r="O78" s="241"/>
      <c r="P78" s="241"/>
      <c r="Q78" s="241"/>
      <c r="R78" s="241"/>
      <c r="S78" s="241"/>
      <c r="T78" s="241"/>
      <c r="U78" s="241"/>
      <c r="V78" s="241"/>
      <c r="W78" s="241"/>
      <c r="X78" s="443" t="s">
        <v>426</v>
      </c>
      <c r="Y78" s="241"/>
      <c r="Z78" s="47"/>
      <c r="AA78" s="172"/>
      <c r="AB78" s="172"/>
      <c r="AC78" s="172"/>
      <c r="AD78" s="172"/>
      <c r="AE78" s="172"/>
      <c r="AF78" s="175"/>
      <c r="AG78" s="174"/>
      <c r="AH78" s="172"/>
      <c r="AI78" s="172"/>
      <c r="AJ78" s="172"/>
      <c r="AK78" s="172"/>
      <c r="AL78" s="44"/>
      <c r="AM78" s="172"/>
      <c r="AN78" s="172"/>
      <c r="AO78" s="205"/>
      <c r="AQ78" s="205"/>
      <c r="AR78" s="177"/>
      <c r="AS78" s="44"/>
      <c r="AT78" s="254"/>
      <c r="AU78" s="254"/>
      <c r="AV78" s="164" t="str">
        <f>IFERROR(__xludf.DUMMYFUNCTION("TEXTJOIN("" / "", TRUE, FILTER(TO_TEXT(SPLIT($AZ$4, "" / "")), NOT(REGEXMATCH(TO_TEXT(SPLIT($AZ$4, "" / "")), ""\b"" &amp; TEXTJOIN(""|"", TRUE, SPLIT(AW78, "" / "")) &amp; ""\b""))))"),"103 / 104 / 105 / 106 / 107 / 108 / 111 / 209 / 300 / 301 / 303 / 304 / 305 / 306 / 307 / 308 / 312 / 313 / 314 / 316 / 317 / 318 / 320 / 421 / 460 / 461")</f>
        <v>103 / 104 / 105 / 106 / 107 / 108 / 111 / 209 / 300 / 301 / 303 / 304 / 305 / 306 / 307 / 308 / 312 / 313 / 314 / 316 / 317 / 318 / 320 / 421 / 460 / 461</v>
      </c>
      <c r="AW78" s="178" t="str">
        <f>IFERROR(__xludf.DUMMYFUNCTION("TEXTJOIN("" / "", 1, SORT(UNIQUE(TRANSPOSE(SPLIT(TRIM(REGEXREPLACE(AW77,""([0-9]{3}[a-zA-Z]?)|."",""$1 "")), "" "")))))"),"101 / 102 / 321")</f>
        <v>101 / 102 / 321</v>
      </c>
      <c r="AX78" s="164"/>
      <c r="AY78" s="163"/>
      <c r="AZ78" s="163"/>
      <c r="BA78" s="163"/>
      <c r="BB78" s="163"/>
      <c r="BC78" s="163"/>
      <c r="BD78" s="163"/>
      <c r="BE78" s="163"/>
      <c r="BF78" s="163"/>
      <c r="BG78" s="163"/>
      <c r="BH78" s="163"/>
      <c r="BI78" s="163"/>
      <c r="BJ78" s="163"/>
      <c r="BK78" s="163"/>
      <c r="BL78" s="163"/>
      <c r="BM78" s="163"/>
      <c r="BN78" s="163"/>
      <c r="BO78" s="163"/>
      <c r="BP78" s="163"/>
      <c r="BQ78" s="163"/>
      <c r="BR78" s="163"/>
      <c r="BS78" s="163"/>
      <c r="BT78" s="163"/>
      <c r="BU78" s="163"/>
      <c r="BV78" s="163"/>
      <c r="BW78" s="163"/>
      <c r="BX78" s="163"/>
      <c r="BY78" s="163"/>
      <c r="BZ78" s="163"/>
      <c r="CA78" s="163"/>
      <c r="CB78" s="163"/>
      <c r="CC78" s="163"/>
      <c r="CD78" s="163"/>
      <c r="CE78" s="163"/>
      <c r="CF78" s="163"/>
      <c r="CG78" s="163"/>
      <c r="CH78" s="163"/>
    </row>
    <row r="79">
      <c r="A79" s="147" t="s">
        <v>92</v>
      </c>
      <c r="B79" s="148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7"/>
      <c r="N79" s="149" t="s">
        <v>92</v>
      </c>
      <c r="O79" s="148"/>
      <c r="P79" s="46"/>
      <c r="Q79" s="46"/>
      <c r="R79" s="46"/>
      <c r="S79" s="46"/>
      <c r="T79" s="46"/>
      <c r="U79" s="46"/>
      <c r="V79" s="46"/>
      <c r="W79" s="46"/>
      <c r="X79" s="46"/>
      <c r="Y79" s="47"/>
      <c r="Z79" s="149" t="s">
        <v>92</v>
      </c>
      <c r="AA79" s="148"/>
      <c r="AB79" s="46"/>
      <c r="AC79" s="46"/>
      <c r="AD79" s="46"/>
      <c r="AE79" s="46"/>
      <c r="AF79" s="46"/>
      <c r="AG79" s="46"/>
      <c r="AH79" s="46"/>
      <c r="AI79" s="46"/>
      <c r="AJ79" s="46"/>
      <c r="AK79" s="47"/>
      <c r="AL79" s="147" t="s">
        <v>92</v>
      </c>
      <c r="AM79" s="459"/>
      <c r="AN79" s="3"/>
      <c r="AO79" s="3"/>
      <c r="AP79" s="3"/>
      <c r="AQ79" s="3"/>
      <c r="AR79" s="4"/>
      <c r="AS79" s="147" t="s">
        <v>92</v>
      </c>
      <c r="AT79" s="150"/>
      <c r="AU79" s="150"/>
      <c r="AV79" s="151"/>
      <c r="AW79" s="151"/>
      <c r="AX79" s="151"/>
      <c r="AY79" s="151"/>
      <c r="AZ79" s="151"/>
      <c r="BA79" s="151"/>
      <c r="BB79" s="151"/>
      <c r="BC79" s="151"/>
      <c r="BD79" s="151"/>
      <c r="BE79" s="151"/>
      <c r="BF79" s="151"/>
      <c r="BG79" s="151"/>
      <c r="BH79" s="151"/>
      <c r="BI79" s="151"/>
      <c r="BJ79" s="151"/>
      <c r="BK79" s="151"/>
      <c r="BL79" s="151"/>
      <c r="BM79" s="151"/>
      <c r="BN79" s="151"/>
      <c r="BO79" s="151"/>
      <c r="BP79" s="151"/>
      <c r="BQ79" s="151"/>
      <c r="BR79" s="151"/>
      <c r="BS79" s="151"/>
      <c r="BT79" s="151"/>
      <c r="BU79" s="151"/>
      <c r="BV79" s="151"/>
      <c r="BW79" s="151"/>
      <c r="BX79" s="151"/>
      <c r="BY79" s="151"/>
      <c r="BZ79" s="151"/>
      <c r="CA79" s="151"/>
      <c r="CB79" s="151"/>
      <c r="CC79" s="151"/>
      <c r="CD79" s="151"/>
      <c r="CE79" s="151"/>
      <c r="CF79" s="151"/>
      <c r="CG79" s="151"/>
      <c r="CH79" s="151"/>
    </row>
    <row r="80">
      <c r="A80" s="152" t="s">
        <v>39</v>
      </c>
      <c r="B80" s="460" t="s">
        <v>352</v>
      </c>
      <c r="M80" s="23"/>
      <c r="N80" s="154" t="s">
        <v>128</v>
      </c>
      <c r="O80" s="156"/>
      <c r="P80" s="156"/>
      <c r="Q80" s="156"/>
      <c r="R80" s="156"/>
      <c r="S80" s="156"/>
      <c r="T80" s="358" t="s">
        <v>353</v>
      </c>
      <c r="U80" s="23"/>
      <c r="V80" s="156"/>
      <c r="W80" s="156"/>
      <c r="X80" s="461" t="s">
        <v>353</v>
      </c>
      <c r="Y80" s="318" t="s">
        <v>251</v>
      </c>
      <c r="Z80" s="154" t="s">
        <v>130</v>
      </c>
      <c r="AA80" s="159"/>
      <c r="AB80" s="159"/>
      <c r="AC80" s="159"/>
      <c r="AD80" s="230"/>
      <c r="AE80" s="230"/>
      <c r="AF80" s="159"/>
      <c r="AG80" s="159"/>
      <c r="AH80" s="230"/>
      <c r="AI80" s="230"/>
      <c r="AJ80" s="230"/>
      <c r="AK80" s="230"/>
      <c r="AL80" s="152" t="s">
        <v>39</v>
      </c>
      <c r="AM80" s="156"/>
      <c r="AN80" s="156"/>
      <c r="AO80" s="156"/>
      <c r="AP80" s="156"/>
      <c r="AQ80" s="228"/>
      <c r="AR80" s="228"/>
      <c r="AS80" s="152" t="s">
        <v>39</v>
      </c>
      <c r="AT80" s="63"/>
      <c r="AU80" s="63"/>
      <c r="AV80" s="258"/>
      <c r="AW80" s="258"/>
      <c r="AX80" s="258"/>
      <c r="AY80" s="258"/>
      <c r="AZ80" s="258"/>
      <c r="BA80" s="258"/>
      <c r="BB80" s="258"/>
      <c r="BC80" s="258"/>
      <c r="BD80" s="258"/>
      <c r="BE80" s="258"/>
      <c r="BF80" s="258"/>
      <c r="BG80" s="258"/>
      <c r="BH80" s="258"/>
      <c r="BI80" s="258"/>
      <c r="BJ80" s="258"/>
      <c r="BK80" s="258"/>
      <c r="BL80" s="258"/>
      <c r="BM80" s="258"/>
      <c r="BN80" s="258"/>
      <c r="BO80" s="258"/>
      <c r="BP80" s="258"/>
      <c r="BQ80" s="258"/>
      <c r="BR80" s="258"/>
      <c r="BS80" s="258"/>
      <c r="BT80" s="258"/>
      <c r="BU80" s="258"/>
      <c r="BV80" s="258"/>
      <c r="BW80" s="258"/>
      <c r="BX80" s="258"/>
      <c r="BY80" s="258"/>
      <c r="BZ80" s="258"/>
      <c r="CA80" s="258"/>
      <c r="CB80" s="258"/>
      <c r="CC80" s="258"/>
      <c r="CD80" s="258"/>
      <c r="CE80" s="258"/>
      <c r="CF80" s="258"/>
      <c r="CG80" s="258"/>
      <c r="CH80" s="258"/>
    </row>
    <row r="81">
      <c r="A81" s="38"/>
      <c r="B81" s="463" t="s">
        <v>354</v>
      </c>
      <c r="M81" s="23"/>
      <c r="N81" s="23"/>
      <c r="O81" s="156"/>
      <c r="P81" s="156"/>
      <c r="Q81" s="156"/>
      <c r="R81" s="156"/>
      <c r="S81" s="156"/>
      <c r="T81" s="167" t="s">
        <v>136</v>
      </c>
      <c r="U81" s="23"/>
      <c r="V81" s="156"/>
      <c r="W81" s="156"/>
      <c r="X81" s="464" t="s">
        <v>136</v>
      </c>
      <c r="Y81" s="320" t="s">
        <v>253</v>
      </c>
      <c r="Z81" s="23"/>
      <c r="AA81" s="159"/>
      <c r="AB81" s="159"/>
      <c r="AC81" s="159"/>
      <c r="AD81" s="230"/>
      <c r="AE81" s="230"/>
      <c r="AF81" s="159"/>
      <c r="AG81" s="159"/>
      <c r="AH81" s="230"/>
      <c r="AI81" s="230"/>
      <c r="AJ81" s="230"/>
      <c r="AK81" s="230"/>
      <c r="AL81" s="38"/>
      <c r="AM81" s="156"/>
      <c r="AN81" s="156"/>
      <c r="AO81" s="156"/>
      <c r="AP81" s="156"/>
      <c r="AQ81" s="161"/>
      <c r="AR81" s="161"/>
      <c r="AS81" s="38"/>
      <c r="AT81" s="69"/>
      <c r="AU81" s="69"/>
      <c r="AV81" s="258"/>
      <c r="AW81" s="163" t="str">
        <f t="array" ref="AW81">TEXTJOIN(" | ", 1, A82:AT82)</f>
        <v>108 | ONLINE | ONLINE | ONLINE</v>
      </c>
      <c r="AX81" s="258"/>
      <c r="AY81" s="258"/>
      <c r="AZ81" s="258"/>
      <c r="BA81" s="258"/>
      <c r="BB81" s="258"/>
      <c r="BC81" s="258"/>
      <c r="BD81" s="258"/>
      <c r="BE81" s="258"/>
      <c r="BF81" s="258"/>
      <c r="BG81" s="258"/>
      <c r="BH81" s="258"/>
      <c r="BI81" s="258"/>
      <c r="BJ81" s="258"/>
      <c r="BK81" s="258"/>
      <c r="BL81" s="258"/>
      <c r="BM81" s="258"/>
      <c r="BN81" s="258"/>
      <c r="BO81" s="258"/>
      <c r="BP81" s="258"/>
      <c r="BQ81" s="258"/>
      <c r="BR81" s="258"/>
      <c r="BS81" s="258"/>
      <c r="BT81" s="258"/>
      <c r="BU81" s="258"/>
      <c r="BV81" s="258"/>
      <c r="BW81" s="258"/>
      <c r="BX81" s="258"/>
      <c r="BY81" s="258"/>
      <c r="BZ81" s="258"/>
      <c r="CA81" s="258"/>
      <c r="CB81" s="258"/>
      <c r="CC81" s="258"/>
      <c r="CD81" s="258"/>
      <c r="CE81" s="258"/>
      <c r="CF81" s="258"/>
      <c r="CG81" s="258"/>
      <c r="CH81" s="258"/>
    </row>
    <row r="82">
      <c r="A82" s="44"/>
      <c r="B82" s="466">
        <v>108.0</v>
      </c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7"/>
      <c r="N82" s="47"/>
      <c r="O82" s="172"/>
      <c r="P82" s="172"/>
      <c r="Q82" s="172"/>
      <c r="R82" s="172"/>
      <c r="S82" s="172"/>
      <c r="T82" s="173" t="s">
        <v>137</v>
      </c>
      <c r="U82" s="47"/>
      <c r="V82" s="172"/>
      <c r="W82" s="172"/>
      <c r="X82" s="467" t="s">
        <v>137</v>
      </c>
      <c r="Y82" s="322" t="s">
        <v>137</v>
      </c>
      <c r="Z82" s="47"/>
      <c r="AA82" s="175"/>
      <c r="AB82" s="175"/>
      <c r="AC82" s="175"/>
      <c r="AD82" s="243"/>
      <c r="AE82" s="243"/>
      <c r="AF82" s="175"/>
      <c r="AG82" s="175"/>
      <c r="AH82" s="243"/>
      <c r="AI82" s="243"/>
      <c r="AJ82" s="243"/>
      <c r="AK82" s="243"/>
      <c r="AL82" s="44"/>
      <c r="AM82" s="172"/>
      <c r="AN82" s="172"/>
      <c r="AO82" s="172"/>
      <c r="AP82" s="172"/>
      <c r="AQ82" s="177"/>
      <c r="AR82" s="177"/>
      <c r="AS82" s="44"/>
      <c r="AT82" s="76"/>
      <c r="AU82" s="76"/>
      <c r="AV82" s="164" t="str">
        <f>IFERROR(__xludf.DUMMYFUNCTION("TEXTJOIN("" / "", TRUE, FILTER(TO_TEXT(SPLIT($AZ$4, "" / "")), NOT(REGEXMATCH(TO_TEXT(SPLIT($AZ$4, "" / "")), ""\b"" &amp; TEXTJOIN(""|"", TRUE, SPLIT(AW82, "" / "")) &amp; ""\b""))))"),"101 / 102 / 103 / 104 / 105 / 106 / 107 / 111 / 209 / 300 / 301 / 303 / 304 / 305 / 306 / 307 / 308 / 312 / 313 / 314 / 316 / 317 / 318 / 320 / 321 / 421 / 460 / 461")</f>
        <v>101 / 102 / 103 / 104 / 105 / 106 / 107 / 111 / 209 / 300 / 301 / 303 / 304 / 305 / 306 / 307 / 308 / 312 / 313 / 314 / 316 / 317 / 318 / 320 / 321 / 421 / 460 / 461</v>
      </c>
      <c r="AW82" s="178" t="str">
        <f>IFERROR(__xludf.DUMMYFUNCTION("TEXTJOIN("" / "", 1, SORT(UNIQUE(TRANSPOSE(SPLIT(TRIM(REGEXREPLACE(AW81,""([0-9]{3}[a-zA-Z]?)|."",""$1 "")), "" "")))))"),"108")</f>
        <v>108</v>
      </c>
      <c r="AX82" s="163"/>
      <c r="AY82" s="163"/>
      <c r="AZ82" s="163"/>
      <c r="BA82" s="163"/>
      <c r="BB82" s="163"/>
      <c r="BC82" s="163"/>
      <c r="BD82" s="163"/>
      <c r="BE82" s="163"/>
      <c r="BF82" s="163"/>
      <c r="BG82" s="163"/>
      <c r="BH82" s="163"/>
      <c r="BI82" s="163"/>
      <c r="BJ82" s="163"/>
      <c r="BK82" s="163"/>
      <c r="BL82" s="163"/>
      <c r="BM82" s="163"/>
      <c r="BN82" s="163"/>
      <c r="BO82" s="163"/>
      <c r="BP82" s="163"/>
      <c r="BQ82" s="163"/>
      <c r="BR82" s="163"/>
      <c r="BS82" s="163"/>
      <c r="BT82" s="163"/>
      <c r="BU82" s="163"/>
      <c r="BV82" s="163"/>
      <c r="BW82" s="163"/>
      <c r="BX82" s="163"/>
      <c r="BY82" s="163"/>
      <c r="BZ82" s="163"/>
      <c r="CA82" s="163"/>
      <c r="CB82" s="163"/>
      <c r="CC82" s="163"/>
      <c r="CD82" s="163"/>
      <c r="CE82" s="163"/>
      <c r="CF82" s="163"/>
      <c r="CG82" s="163"/>
      <c r="CH82" s="163"/>
    </row>
    <row r="83">
      <c r="A83" s="152" t="s">
        <v>49</v>
      </c>
      <c r="B83" s="469" t="s">
        <v>356</v>
      </c>
      <c r="M83" s="23"/>
      <c r="N83" s="154" t="s">
        <v>139</v>
      </c>
      <c r="O83" s="156"/>
      <c r="P83" s="156"/>
      <c r="Q83" s="156"/>
      <c r="R83" s="156"/>
      <c r="S83" s="156"/>
      <c r="T83" s="156"/>
      <c r="U83" s="156"/>
      <c r="V83" s="156"/>
      <c r="W83" s="156"/>
      <c r="X83" s="470" t="s">
        <v>357</v>
      </c>
      <c r="Y83" s="318" t="s">
        <v>358</v>
      </c>
      <c r="Z83" s="154" t="s">
        <v>145</v>
      </c>
      <c r="AA83" s="159"/>
      <c r="AB83" s="159"/>
      <c r="AC83" s="159"/>
      <c r="AD83" s="230"/>
      <c r="AE83" s="230"/>
      <c r="AF83" s="159"/>
      <c r="AG83" s="159"/>
      <c r="AH83" s="230"/>
      <c r="AI83" s="230"/>
      <c r="AJ83" s="158"/>
      <c r="AK83" s="158"/>
      <c r="AL83" s="152" t="s">
        <v>49</v>
      </c>
      <c r="AM83" s="347" t="s">
        <v>359</v>
      </c>
      <c r="AN83" s="23"/>
      <c r="AO83" s="471" t="s">
        <v>360</v>
      </c>
      <c r="AP83" s="228"/>
      <c r="AQ83" s="247" t="s">
        <v>265</v>
      </c>
      <c r="AR83" s="254"/>
      <c r="AS83" s="152" t="s">
        <v>49</v>
      </c>
      <c r="AT83" s="63"/>
      <c r="AU83" s="63"/>
      <c r="AV83" s="258"/>
      <c r="AW83" s="258"/>
      <c r="AX83" s="258"/>
      <c r="AY83" s="258"/>
      <c r="AZ83" s="258"/>
      <c r="BA83" s="258"/>
      <c r="BB83" s="258"/>
      <c r="BC83" s="258"/>
      <c r="BD83" s="258"/>
      <c r="BE83" s="258"/>
      <c r="BF83" s="258"/>
      <c r="BG83" s="258"/>
      <c r="BH83" s="258"/>
      <c r="BI83" s="258"/>
      <c r="BJ83" s="258"/>
      <c r="BK83" s="258"/>
      <c r="BL83" s="258"/>
      <c r="BM83" s="258"/>
      <c r="BN83" s="258"/>
      <c r="BO83" s="258"/>
      <c r="BP83" s="258"/>
      <c r="BQ83" s="258"/>
      <c r="BR83" s="258"/>
      <c r="BS83" s="258"/>
      <c r="BT83" s="258"/>
      <c r="BU83" s="258"/>
      <c r="BV83" s="258"/>
      <c r="BW83" s="258"/>
      <c r="BX83" s="258"/>
      <c r="BY83" s="258"/>
      <c r="BZ83" s="258"/>
      <c r="CA83" s="258"/>
      <c r="CB83" s="258"/>
      <c r="CC83" s="258"/>
      <c r="CD83" s="258"/>
      <c r="CE83" s="258"/>
      <c r="CF83" s="258"/>
      <c r="CG83" s="258"/>
      <c r="CH83" s="258"/>
    </row>
    <row r="84">
      <c r="A84" s="38"/>
      <c r="B84" s="472" t="s">
        <v>354</v>
      </c>
      <c r="M84" s="23"/>
      <c r="N84" s="23"/>
      <c r="O84" s="156"/>
      <c r="P84" s="156"/>
      <c r="Q84" s="156"/>
      <c r="R84" s="156"/>
      <c r="S84" s="156"/>
      <c r="T84" s="156"/>
      <c r="U84" s="156"/>
      <c r="V84" s="156"/>
      <c r="W84" s="156"/>
      <c r="X84" s="473" t="s">
        <v>78</v>
      </c>
      <c r="Y84" s="320" t="s">
        <v>361</v>
      </c>
      <c r="Z84" s="23"/>
      <c r="AA84" s="159"/>
      <c r="AB84" s="159"/>
      <c r="AC84" s="159"/>
      <c r="AD84" s="230"/>
      <c r="AE84" s="230"/>
      <c r="AF84" s="159"/>
      <c r="AG84" s="159"/>
      <c r="AH84" s="230"/>
      <c r="AI84" s="230"/>
      <c r="AJ84" s="154"/>
      <c r="AK84" s="154"/>
      <c r="AL84" s="38"/>
      <c r="AM84" s="352" t="s">
        <v>218</v>
      </c>
      <c r="AN84" s="23"/>
      <c r="AO84" s="474" t="s">
        <v>321</v>
      </c>
      <c r="AP84" s="161"/>
      <c r="AQ84" s="337" t="s">
        <v>272</v>
      </c>
      <c r="AR84" s="254"/>
      <c r="AS84" s="38"/>
      <c r="AT84" s="69"/>
      <c r="AU84" s="69"/>
      <c r="AV84" s="258"/>
      <c r="AW84" s="163" t="str">
        <f t="array" ref="AW84">TEXTJOIN(" | ", 1, A85:AT85)</f>
        <v>108 | 104 | 103 | 321 | 300 | ONLINE ON 14/02, 21/02, 07/03 STARTS AT 11:00 TILL 12:30</v>
      </c>
      <c r="AX84" s="258"/>
      <c r="AY84" s="258"/>
      <c r="AZ84" s="258"/>
      <c r="BA84" s="258"/>
      <c r="BB84" s="258"/>
      <c r="BC84" s="258"/>
      <c r="BD84" s="258"/>
      <c r="BE84" s="258"/>
      <c r="BF84" s="258"/>
      <c r="BG84" s="258"/>
      <c r="BH84" s="258"/>
      <c r="BI84" s="258"/>
      <c r="BJ84" s="258"/>
      <c r="BK84" s="258"/>
      <c r="BL84" s="258"/>
      <c r="BM84" s="258"/>
      <c r="BN84" s="258"/>
      <c r="BO84" s="258"/>
      <c r="BP84" s="258"/>
      <c r="BQ84" s="258"/>
      <c r="BR84" s="258"/>
      <c r="BS84" s="258"/>
      <c r="BT84" s="258"/>
      <c r="BU84" s="258"/>
      <c r="BV84" s="258"/>
      <c r="BW84" s="258"/>
      <c r="BX84" s="258"/>
      <c r="BY84" s="258"/>
      <c r="BZ84" s="258"/>
      <c r="CA84" s="258"/>
      <c r="CB84" s="258"/>
      <c r="CC84" s="258"/>
      <c r="CD84" s="258"/>
      <c r="CE84" s="258"/>
      <c r="CF84" s="258"/>
      <c r="CG84" s="258"/>
      <c r="CH84" s="258"/>
    </row>
    <row r="85">
      <c r="A85" s="44"/>
      <c r="B85" s="466">
        <v>108.0</v>
      </c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7"/>
      <c r="N85" s="47"/>
      <c r="O85" s="172"/>
      <c r="P85" s="172"/>
      <c r="Q85" s="172"/>
      <c r="R85" s="172"/>
      <c r="S85" s="172"/>
      <c r="T85" s="172"/>
      <c r="U85" s="172"/>
      <c r="V85" s="172"/>
      <c r="W85" s="172"/>
      <c r="X85" s="201">
        <v>104.0</v>
      </c>
      <c r="Y85" s="445">
        <v>103.0</v>
      </c>
      <c r="Z85" s="47"/>
      <c r="AA85" s="175"/>
      <c r="AB85" s="175"/>
      <c r="AC85" s="175"/>
      <c r="AD85" s="243"/>
      <c r="AE85" s="243"/>
      <c r="AF85" s="175"/>
      <c r="AG85" s="175"/>
      <c r="AH85" s="243"/>
      <c r="AI85" s="243"/>
      <c r="AJ85" s="174"/>
      <c r="AK85" s="174"/>
      <c r="AL85" s="44"/>
      <c r="AM85" s="532">
        <v>321.0</v>
      </c>
      <c r="AN85" s="47"/>
      <c r="AO85" s="533">
        <v>300.0</v>
      </c>
      <c r="AP85" s="177"/>
      <c r="AQ85" s="344" t="s">
        <v>538</v>
      </c>
      <c r="AR85" s="372"/>
      <c r="AS85" s="44"/>
      <c r="AT85" s="76"/>
      <c r="AU85" s="76"/>
      <c r="AV85" s="164" t="str">
        <f>IFERROR(__xludf.DUMMYFUNCTION("TEXTJOIN("" / "", TRUE, FILTER(TO_TEXT(SPLIT($AZ$4, "" / "")), NOT(REGEXMATCH(TO_TEXT(SPLIT($AZ$4, "" / "")), ""\b"" &amp; TEXTJOIN(""|"", TRUE, SPLIT(AW85, "" / "")) &amp; ""\b""))))"),"101 / 102 / 105 / 106 / 107 / 111 / 209 / 301 / 303 / 304 / 305 / 306 / 307 / 308 / 312 / 313 / 314 / 316 / 317 / 318 / 320 / 421 / 460 / 461")</f>
        <v>101 / 102 / 105 / 106 / 107 / 111 / 209 / 301 / 303 / 304 / 305 / 306 / 307 / 308 / 312 / 313 / 314 / 316 / 317 / 318 / 320 / 421 / 460 / 461</v>
      </c>
      <c r="AW85" s="178" t="str">
        <f>IFERROR(__xludf.DUMMYFUNCTION("TEXTJOIN("" / "", 1, SORT(UNIQUE(TRANSPOSE(SPLIT(TRIM(REGEXREPLACE(AW84,""([0-9]{3}[a-zA-Z]?)|."",""$1 "")), "" "")))))"),"103 / 104 / 108 / 300 / 321")</f>
        <v>103 / 104 / 108 / 300 / 321</v>
      </c>
      <c r="AX85" s="164"/>
      <c r="AY85" s="163"/>
      <c r="AZ85" s="163"/>
      <c r="BA85" s="163"/>
      <c r="BB85" s="163"/>
      <c r="BC85" s="163"/>
      <c r="BD85" s="163"/>
      <c r="BE85" s="163"/>
      <c r="BF85" s="163"/>
      <c r="BG85" s="163"/>
      <c r="BH85" s="163"/>
      <c r="BI85" s="163"/>
      <c r="BJ85" s="163"/>
      <c r="BK85" s="163"/>
      <c r="BL85" s="163"/>
      <c r="BM85" s="163"/>
      <c r="BN85" s="163"/>
      <c r="BO85" s="163"/>
      <c r="BP85" s="163"/>
      <c r="BQ85" s="163"/>
      <c r="BR85" s="163"/>
      <c r="BS85" s="163"/>
      <c r="BT85" s="163"/>
      <c r="BU85" s="163"/>
      <c r="BV85" s="163"/>
      <c r="BW85" s="163"/>
      <c r="BX85" s="163"/>
      <c r="BY85" s="163"/>
      <c r="BZ85" s="163"/>
      <c r="CA85" s="163"/>
      <c r="CB85" s="163"/>
      <c r="CC85" s="163"/>
      <c r="CD85" s="163"/>
      <c r="CE85" s="163"/>
      <c r="CF85" s="163"/>
      <c r="CG85" s="163"/>
      <c r="CH85" s="163"/>
    </row>
    <row r="86">
      <c r="A86" s="152" t="s">
        <v>51</v>
      </c>
      <c r="B86" s="418" t="s">
        <v>366</v>
      </c>
      <c r="C86" s="418" t="s">
        <v>366</v>
      </c>
      <c r="D86" s="156"/>
      <c r="E86" s="156"/>
      <c r="F86" s="418" t="s">
        <v>366</v>
      </c>
      <c r="G86" s="143"/>
      <c r="H86" s="293"/>
      <c r="I86" s="418" t="s">
        <v>366</v>
      </c>
      <c r="J86" s="156"/>
      <c r="K86" s="158"/>
      <c r="L86" s="418" t="s">
        <v>366</v>
      </c>
      <c r="M86" s="158"/>
      <c r="N86" s="154" t="s">
        <v>158</v>
      </c>
      <c r="O86" s="476" t="s">
        <v>367</v>
      </c>
      <c r="W86" s="23"/>
      <c r="X86" s="230"/>
      <c r="Y86" s="534" t="s">
        <v>401</v>
      </c>
      <c r="Z86" s="154" t="s">
        <v>162</v>
      </c>
      <c r="AA86" s="230"/>
      <c r="AB86" s="230"/>
      <c r="AC86" s="230"/>
      <c r="AD86" s="156"/>
      <c r="AE86" s="156"/>
      <c r="AF86" s="230"/>
      <c r="AG86" s="230"/>
      <c r="AH86" s="156"/>
      <c r="AI86" s="156"/>
      <c r="AJ86" s="158"/>
      <c r="AK86" s="158"/>
      <c r="AL86" s="152" t="s">
        <v>51</v>
      </c>
      <c r="AM86" s="347" t="s">
        <v>368</v>
      </c>
      <c r="AN86" s="23"/>
      <c r="AO86" s="471" t="s">
        <v>369</v>
      </c>
      <c r="AP86" s="63"/>
      <c r="AQ86" s="247" t="s">
        <v>265</v>
      </c>
      <c r="AR86" s="186" t="s">
        <v>148</v>
      </c>
      <c r="AS86" s="152" t="s">
        <v>51</v>
      </c>
      <c r="AT86" s="254"/>
      <c r="AU86" s="254"/>
      <c r="AV86" s="258"/>
      <c r="AW86" s="258"/>
      <c r="AX86" s="258"/>
      <c r="AY86" s="258"/>
      <c r="AZ86" s="258"/>
      <c r="BA86" s="258"/>
      <c r="BB86" s="258"/>
      <c r="BC86" s="258"/>
      <c r="BD86" s="258"/>
      <c r="BE86" s="258"/>
      <c r="BF86" s="258"/>
      <c r="BG86" s="258"/>
      <c r="BH86" s="258"/>
      <c r="BI86" s="258"/>
      <c r="BJ86" s="258"/>
      <c r="BK86" s="258"/>
      <c r="BL86" s="258"/>
      <c r="BM86" s="258"/>
      <c r="BN86" s="258"/>
      <c r="BO86" s="258"/>
      <c r="BP86" s="258"/>
      <c r="BQ86" s="258"/>
      <c r="BR86" s="258"/>
      <c r="BS86" s="258"/>
      <c r="BT86" s="258"/>
      <c r="BU86" s="258"/>
      <c r="BV86" s="258"/>
      <c r="BW86" s="258"/>
      <c r="BX86" s="258"/>
      <c r="BY86" s="258"/>
      <c r="BZ86" s="258"/>
      <c r="CA86" s="258"/>
      <c r="CB86" s="258"/>
      <c r="CC86" s="258"/>
      <c r="CD86" s="258"/>
      <c r="CE86" s="258"/>
      <c r="CF86" s="258"/>
      <c r="CG86" s="258"/>
      <c r="CH86" s="258"/>
    </row>
    <row r="87">
      <c r="A87" s="38"/>
      <c r="B87" s="477" t="s">
        <v>354</v>
      </c>
      <c r="C87" s="477" t="s">
        <v>167</v>
      </c>
      <c r="D87" s="156"/>
      <c r="E87" s="156"/>
      <c r="F87" s="477" t="s">
        <v>370</v>
      </c>
      <c r="G87" s="143"/>
      <c r="H87" s="478"/>
      <c r="I87" s="477" t="s">
        <v>338</v>
      </c>
      <c r="J87" s="156"/>
      <c r="K87" s="393"/>
      <c r="L87" s="477" t="s">
        <v>179</v>
      </c>
      <c r="M87" s="393"/>
      <c r="N87" s="23"/>
      <c r="O87" s="479" t="s">
        <v>371</v>
      </c>
      <c r="W87" s="23"/>
      <c r="X87" s="230"/>
      <c r="Y87" s="281" t="s">
        <v>99</v>
      </c>
      <c r="Z87" s="23"/>
      <c r="AA87" s="230"/>
      <c r="AB87" s="230"/>
      <c r="AC87" s="230"/>
      <c r="AD87" s="156"/>
      <c r="AE87" s="156"/>
      <c r="AF87" s="230"/>
      <c r="AG87" s="230"/>
      <c r="AH87" s="156"/>
      <c r="AI87" s="156"/>
      <c r="AJ87" s="154"/>
      <c r="AK87" s="154"/>
      <c r="AL87" s="38"/>
      <c r="AM87" s="480" t="s">
        <v>372</v>
      </c>
      <c r="AN87" s="23"/>
      <c r="AO87" s="481" t="s">
        <v>233</v>
      </c>
      <c r="AP87" s="69"/>
      <c r="AQ87" s="337" t="s">
        <v>272</v>
      </c>
      <c r="AR87" s="194"/>
      <c r="AS87" s="38"/>
      <c r="AT87" s="254"/>
      <c r="AU87" s="254"/>
      <c r="AV87" s="258"/>
      <c r="AW87" s="163" t="str">
        <f t="array" ref="AW87">TEXTJOIN(" | ", 1, A88:AT88)</f>
        <v>300 | 303 | 320 (305 ON 14/02, 28/02) | 461 | 318 | 108 | 103 | 321 | 304 | ONLINE ON 14/02, 21/02, 07/03 STARTS AT 12:30 TILL 14:00</v>
      </c>
      <c r="AX87" s="258"/>
      <c r="AY87" s="258"/>
      <c r="AZ87" s="258"/>
      <c r="BA87" s="258"/>
      <c r="BB87" s="258"/>
      <c r="BC87" s="258"/>
      <c r="BD87" s="258"/>
      <c r="BE87" s="258"/>
      <c r="BF87" s="258"/>
      <c r="BG87" s="258"/>
      <c r="BH87" s="258"/>
      <c r="BI87" s="258"/>
      <c r="BJ87" s="258"/>
      <c r="BK87" s="258"/>
      <c r="BL87" s="258"/>
      <c r="BM87" s="258"/>
      <c r="BN87" s="258"/>
      <c r="BO87" s="258"/>
      <c r="BP87" s="258"/>
      <c r="BQ87" s="258"/>
      <c r="BR87" s="258"/>
      <c r="BS87" s="258"/>
      <c r="BT87" s="258"/>
      <c r="BU87" s="258"/>
      <c r="BV87" s="258"/>
      <c r="BW87" s="258"/>
      <c r="BX87" s="258"/>
      <c r="BY87" s="258"/>
      <c r="BZ87" s="258"/>
      <c r="CA87" s="258"/>
      <c r="CB87" s="258"/>
      <c r="CC87" s="258"/>
      <c r="CD87" s="258"/>
      <c r="CE87" s="258"/>
      <c r="CF87" s="258"/>
      <c r="CG87" s="258"/>
      <c r="CH87" s="258"/>
    </row>
    <row r="88">
      <c r="A88" s="44"/>
      <c r="B88" s="483">
        <v>300.0</v>
      </c>
      <c r="C88" s="484">
        <v>303.0</v>
      </c>
      <c r="D88" s="172"/>
      <c r="E88" s="172"/>
      <c r="F88" s="483" t="s">
        <v>539</v>
      </c>
      <c r="G88" s="143"/>
      <c r="H88" s="485"/>
      <c r="I88" s="483">
        <v>461.0</v>
      </c>
      <c r="J88" s="172"/>
      <c r="K88" s="174"/>
      <c r="L88" s="483">
        <v>318.0</v>
      </c>
      <c r="M88" s="174"/>
      <c r="N88" s="47"/>
      <c r="O88" s="486">
        <v>108.0</v>
      </c>
      <c r="P88" s="46"/>
      <c r="Q88" s="46"/>
      <c r="R88" s="46"/>
      <c r="S88" s="46"/>
      <c r="T88" s="46"/>
      <c r="U88" s="46"/>
      <c r="V88" s="46"/>
      <c r="W88" s="47"/>
      <c r="X88" s="243"/>
      <c r="Y88" s="290">
        <v>103.0</v>
      </c>
      <c r="Z88" s="47"/>
      <c r="AA88" s="243"/>
      <c r="AB88" s="243"/>
      <c r="AC88" s="243"/>
      <c r="AD88" s="172"/>
      <c r="AE88" s="172"/>
      <c r="AF88" s="243"/>
      <c r="AG88" s="243"/>
      <c r="AH88" s="172"/>
      <c r="AI88" s="172"/>
      <c r="AJ88" s="174"/>
      <c r="AK88" s="174"/>
      <c r="AL88" s="44"/>
      <c r="AM88" s="532">
        <v>321.0</v>
      </c>
      <c r="AN88" s="47"/>
      <c r="AO88" s="200">
        <v>304.0</v>
      </c>
      <c r="AP88" s="76"/>
      <c r="AQ88" s="344" t="s">
        <v>540</v>
      </c>
      <c r="AR88" s="206"/>
      <c r="AS88" s="44"/>
      <c r="AT88" s="254"/>
      <c r="AU88" s="254"/>
      <c r="AV88" s="164" t="str">
        <f>IFERROR(__xludf.DUMMYFUNCTION("TEXTJOIN("" / "", TRUE, FILTER(TO_TEXT(SPLIT($AZ$4, "" / "")), NOT(REGEXMATCH(TO_TEXT(SPLIT($AZ$4, "" / "")), ""\b"" &amp; TEXTJOIN(""|"", TRUE, SPLIT(AW88, "" / "")) &amp; ""\b""))))"),"101 / 102 / 104 / 105 / 106 / 107 / 111 / 209 / 301 / 306 / 307 / 308 / 312 / 313 / 314 / 316 / 317 / 421 / 460")</f>
        <v>101 / 102 / 104 / 105 / 106 / 107 / 111 / 209 / 301 / 306 / 307 / 308 / 312 / 313 / 314 / 316 / 317 / 421 / 460</v>
      </c>
      <c r="AW88" s="178" t="str">
        <f>IFERROR(__xludf.DUMMYFUNCTION("TEXTJOIN("" / "", 1, SORT(UNIQUE(TRANSPOSE(SPLIT(TRIM(REGEXREPLACE(AW87,""([0-9]{3}[a-zA-Z]?)|."",""$1 "")), "" "")))))"),"103 / 108 / 300 / 303 / 304 / 305 / 318 / 320 / 321 / 461")</f>
        <v>103 / 108 / 300 / 303 / 304 / 305 / 318 / 320 / 321 / 461</v>
      </c>
      <c r="AX88" s="164"/>
      <c r="AY88" s="163"/>
      <c r="AZ88" s="163"/>
      <c r="BA88" s="163"/>
      <c r="BB88" s="163"/>
      <c r="BC88" s="163"/>
      <c r="BD88" s="163"/>
      <c r="BE88" s="163"/>
      <c r="BF88" s="163"/>
      <c r="BG88" s="163"/>
      <c r="BH88" s="163"/>
      <c r="BI88" s="163"/>
      <c r="BJ88" s="163"/>
      <c r="BK88" s="163"/>
      <c r="BL88" s="163"/>
      <c r="BM88" s="163"/>
      <c r="BN88" s="163"/>
      <c r="BO88" s="163"/>
      <c r="BP88" s="163"/>
      <c r="BQ88" s="163"/>
      <c r="BR88" s="163"/>
      <c r="BS88" s="163"/>
      <c r="BT88" s="163"/>
      <c r="BU88" s="163"/>
      <c r="BV88" s="163"/>
      <c r="BW88" s="163"/>
      <c r="BX88" s="163"/>
      <c r="BY88" s="163"/>
      <c r="BZ88" s="163"/>
      <c r="CA88" s="163"/>
      <c r="CB88" s="163"/>
      <c r="CC88" s="163"/>
      <c r="CD88" s="163"/>
      <c r="CE88" s="163"/>
      <c r="CF88" s="163"/>
      <c r="CG88" s="163"/>
      <c r="CH88" s="163"/>
    </row>
    <row r="89">
      <c r="A89" s="152" t="s">
        <v>59</v>
      </c>
      <c r="B89" s="227"/>
      <c r="C89" s="156"/>
      <c r="D89" s="156"/>
      <c r="E89" s="418" t="s">
        <v>366</v>
      </c>
      <c r="F89" s="156"/>
      <c r="G89" s="487" t="s">
        <v>366</v>
      </c>
      <c r="H89" s="159"/>
      <c r="I89" s="158"/>
      <c r="J89" s="418" t="s">
        <v>366</v>
      </c>
      <c r="K89" s="230"/>
      <c r="L89" s="158"/>
      <c r="M89" s="418" t="s">
        <v>366</v>
      </c>
      <c r="N89" s="154" t="s">
        <v>172</v>
      </c>
      <c r="O89" s="476" t="s">
        <v>375</v>
      </c>
      <c r="W89" s="23"/>
      <c r="X89" s="158"/>
      <c r="Y89" s="534" t="s">
        <v>403</v>
      </c>
      <c r="Z89" s="154" t="s">
        <v>174</v>
      </c>
      <c r="AA89" s="230"/>
      <c r="AB89" s="230"/>
      <c r="AC89" s="230"/>
      <c r="AD89" s="156"/>
      <c r="AE89" s="156"/>
      <c r="AF89" s="230"/>
      <c r="AG89" s="230"/>
      <c r="AH89" s="156"/>
      <c r="AI89" s="156"/>
      <c r="AJ89" s="230"/>
      <c r="AK89" s="230"/>
      <c r="AL89" s="152" t="s">
        <v>59</v>
      </c>
      <c r="AM89" s="159"/>
      <c r="AN89" s="228"/>
      <c r="AO89" s="228"/>
      <c r="AP89" s="63"/>
      <c r="AQ89" s="207" t="s">
        <v>257</v>
      </c>
      <c r="AR89" s="186" t="s">
        <v>148</v>
      </c>
      <c r="AS89" s="152" t="s">
        <v>59</v>
      </c>
      <c r="AT89" s="382" t="s">
        <v>376</v>
      </c>
      <c r="AU89" s="349"/>
      <c r="AV89" s="258"/>
      <c r="AW89" s="258"/>
      <c r="AX89" s="258"/>
      <c r="AY89" s="258"/>
      <c r="AZ89" s="258"/>
      <c r="BA89" s="258"/>
      <c r="BB89" s="258"/>
      <c r="BC89" s="258"/>
      <c r="BD89" s="258"/>
      <c r="BE89" s="258"/>
      <c r="BF89" s="258"/>
      <c r="BG89" s="258"/>
      <c r="BH89" s="258"/>
      <c r="BI89" s="258"/>
      <c r="BJ89" s="258"/>
      <c r="BK89" s="258"/>
      <c r="BL89" s="258"/>
      <c r="BM89" s="258"/>
      <c r="BN89" s="258"/>
      <c r="BO89" s="258"/>
      <c r="BP89" s="258"/>
      <c r="BQ89" s="258"/>
      <c r="BR89" s="258"/>
      <c r="BS89" s="258"/>
      <c r="BT89" s="258"/>
      <c r="BU89" s="258"/>
      <c r="BV89" s="258"/>
      <c r="BW89" s="258"/>
      <c r="BX89" s="258"/>
      <c r="BY89" s="258"/>
      <c r="BZ89" s="258"/>
      <c r="CA89" s="258"/>
      <c r="CB89" s="258"/>
      <c r="CC89" s="258"/>
      <c r="CD89" s="258"/>
      <c r="CE89" s="258"/>
      <c r="CF89" s="258"/>
      <c r="CG89" s="258"/>
      <c r="CH89" s="258"/>
    </row>
    <row r="90">
      <c r="A90" s="38"/>
      <c r="B90" s="234"/>
      <c r="C90" s="156"/>
      <c r="D90" s="156"/>
      <c r="E90" s="477" t="s">
        <v>370</v>
      </c>
      <c r="F90" s="156"/>
      <c r="G90" s="489" t="s">
        <v>167</v>
      </c>
      <c r="H90" s="159"/>
      <c r="I90" s="393"/>
      <c r="J90" s="477" t="s">
        <v>338</v>
      </c>
      <c r="K90" s="230"/>
      <c r="L90" s="393"/>
      <c r="M90" s="477" t="s">
        <v>179</v>
      </c>
      <c r="N90" s="23"/>
      <c r="O90" s="479" t="s">
        <v>371</v>
      </c>
      <c r="W90" s="23"/>
      <c r="X90" s="490"/>
      <c r="Y90" s="297" t="s">
        <v>406</v>
      </c>
      <c r="Z90" s="23"/>
      <c r="AA90" s="230"/>
      <c r="AB90" s="230"/>
      <c r="AC90" s="230"/>
      <c r="AD90" s="156"/>
      <c r="AE90" s="156"/>
      <c r="AF90" s="230"/>
      <c r="AG90" s="230"/>
      <c r="AH90" s="156"/>
      <c r="AI90" s="156"/>
      <c r="AJ90" s="230"/>
      <c r="AK90" s="230"/>
      <c r="AL90" s="38"/>
      <c r="AM90" s="159"/>
      <c r="AN90" s="161"/>
      <c r="AO90" s="161"/>
      <c r="AP90" s="69"/>
      <c r="AQ90" s="214" t="s">
        <v>258</v>
      </c>
      <c r="AR90" s="194"/>
      <c r="AS90" s="38"/>
      <c r="AT90" s="386" t="s">
        <v>377</v>
      </c>
      <c r="AU90" s="298"/>
      <c r="AV90" s="258"/>
      <c r="AW90" s="163" t="str">
        <f t="array" ref="AW90">TEXTJOIN(" | ", 1, A91:AT91)</f>
        <v>320 (305 ON 14/02, 28/02) | 303 | 461 | 318 | 108 | 103 | ONLINE STARTS AT 15:00 | ONLINE</v>
      </c>
      <c r="AX90" s="258"/>
      <c r="AY90" s="258"/>
      <c r="AZ90" s="258"/>
      <c r="BA90" s="258"/>
      <c r="BB90" s="258"/>
      <c r="BC90" s="258"/>
      <c r="BD90" s="258"/>
      <c r="BE90" s="258"/>
      <c r="BF90" s="258"/>
      <c r="BG90" s="258"/>
      <c r="BH90" s="258"/>
      <c r="BI90" s="258"/>
      <c r="BJ90" s="258"/>
      <c r="BK90" s="258"/>
      <c r="BL90" s="258"/>
      <c r="BM90" s="258"/>
      <c r="BN90" s="258"/>
      <c r="BO90" s="258"/>
      <c r="BP90" s="258"/>
      <c r="BQ90" s="258"/>
      <c r="BR90" s="258"/>
      <c r="BS90" s="258"/>
      <c r="BT90" s="258"/>
      <c r="BU90" s="258"/>
      <c r="BV90" s="258"/>
      <c r="BW90" s="258"/>
      <c r="BX90" s="258"/>
      <c r="BY90" s="258"/>
      <c r="BZ90" s="258"/>
      <c r="CA90" s="258"/>
      <c r="CB90" s="258"/>
      <c r="CC90" s="258"/>
      <c r="CD90" s="258"/>
      <c r="CE90" s="258"/>
      <c r="CF90" s="258"/>
      <c r="CG90" s="258"/>
      <c r="CH90" s="258"/>
    </row>
    <row r="91">
      <c r="A91" s="44"/>
      <c r="B91" s="240"/>
      <c r="C91" s="172"/>
      <c r="D91" s="172"/>
      <c r="E91" s="483" t="s">
        <v>539</v>
      </c>
      <c r="F91" s="172"/>
      <c r="G91" s="446">
        <v>303.0</v>
      </c>
      <c r="H91" s="175"/>
      <c r="I91" s="174"/>
      <c r="J91" s="483">
        <v>461.0</v>
      </c>
      <c r="K91" s="243"/>
      <c r="L91" s="174"/>
      <c r="M91" s="483">
        <v>318.0</v>
      </c>
      <c r="N91" s="47"/>
      <c r="O91" s="486">
        <v>108.0</v>
      </c>
      <c r="P91" s="46"/>
      <c r="Q91" s="46"/>
      <c r="R91" s="46"/>
      <c r="S91" s="46"/>
      <c r="T91" s="46"/>
      <c r="U91" s="46"/>
      <c r="V91" s="46"/>
      <c r="W91" s="47"/>
      <c r="X91" s="457"/>
      <c r="Y91" s="290">
        <v>103.0</v>
      </c>
      <c r="Z91" s="47"/>
      <c r="AA91" s="243"/>
      <c r="AB91" s="243"/>
      <c r="AC91" s="243"/>
      <c r="AD91" s="172"/>
      <c r="AE91" s="172"/>
      <c r="AF91" s="243"/>
      <c r="AG91" s="243"/>
      <c r="AH91" s="172"/>
      <c r="AI91" s="172"/>
      <c r="AJ91" s="243"/>
      <c r="AK91" s="243"/>
      <c r="AL91" s="44"/>
      <c r="AM91" s="175"/>
      <c r="AN91" s="177"/>
      <c r="AO91" s="177"/>
      <c r="AP91" s="76"/>
      <c r="AQ91" s="491" t="s">
        <v>378</v>
      </c>
      <c r="AR91" s="206"/>
      <c r="AS91" s="44"/>
      <c r="AT91" s="390" t="s">
        <v>137</v>
      </c>
      <c r="AU91" s="355"/>
      <c r="AV91" s="164" t="str">
        <f>IFERROR(__xludf.DUMMYFUNCTION("TEXTJOIN("" / "", TRUE, FILTER(TO_TEXT(SPLIT($AZ$4, "" / "")), NOT(REGEXMATCH(TO_TEXT(SPLIT($AZ$4, "" / "")), ""\b"" &amp; TEXTJOIN(""|"", TRUE, SPLIT(AW91, "" / "")) &amp; ""\b""))))"),"101 / 102 / 104 / 105 / 106 / 107 / 111 / 209 / 300 / 301 / 304 / 306 / 307 / 308 / 312 / 313 / 314 / 316 / 317 / 321 / 421 / 460")</f>
        <v>101 / 102 / 104 / 105 / 106 / 107 / 111 / 209 / 300 / 301 / 304 / 306 / 307 / 308 / 312 / 313 / 314 / 316 / 317 / 321 / 421 / 460</v>
      </c>
      <c r="AW91" s="178" t="str">
        <f>IFERROR(__xludf.DUMMYFUNCTION("TEXTJOIN("" / "", 1, SORT(UNIQUE(TRANSPOSE(SPLIT(TRIM(REGEXREPLACE(AW90,""([0-9]{3}[a-zA-Z]?)|."",""$1 "")), "" "")))))"),"103 / 108 / 303 / 305 / 318 / 320 / 461")</f>
        <v>103 / 108 / 303 / 305 / 318 / 320 / 461</v>
      </c>
      <c r="AX91" s="164"/>
      <c r="AY91" s="163"/>
      <c r="AZ91" s="163"/>
      <c r="BA91" s="163"/>
      <c r="BB91" s="163"/>
      <c r="BC91" s="163"/>
      <c r="BD91" s="163"/>
      <c r="BE91" s="163"/>
      <c r="BF91" s="163"/>
      <c r="BG91" s="163"/>
      <c r="BH91" s="163"/>
      <c r="BI91" s="163"/>
      <c r="BJ91" s="163"/>
      <c r="BK91" s="163"/>
      <c r="BL91" s="163"/>
      <c r="BM91" s="163"/>
      <c r="BN91" s="163"/>
      <c r="BO91" s="163"/>
      <c r="BP91" s="163"/>
      <c r="BQ91" s="163"/>
      <c r="BR91" s="163"/>
      <c r="BS91" s="163"/>
      <c r="BT91" s="163"/>
      <c r="BU91" s="163"/>
      <c r="BV91" s="163"/>
      <c r="BW91" s="163"/>
      <c r="BX91" s="163"/>
      <c r="BY91" s="163"/>
      <c r="BZ91" s="163"/>
      <c r="CA91" s="163"/>
      <c r="CB91" s="163"/>
      <c r="CC91" s="163"/>
      <c r="CD91" s="163"/>
      <c r="CE91" s="163"/>
      <c r="CF91" s="163"/>
      <c r="CG91" s="163"/>
      <c r="CH91" s="163"/>
    </row>
    <row r="92">
      <c r="A92" s="152" t="s">
        <v>64</v>
      </c>
      <c r="B92" s="158"/>
      <c r="C92" s="158"/>
      <c r="D92" s="418" t="s">
        <v>366</v>
      </c>
      <c r="E92" s="158"/>
      <c r="F92" s="156"/>
      <c r="G92" s="158"/>
      <c r="H92" s="418" t="s">
        <v>366</v>
      </c>
      <c r="I92" s="158"/>
      <c r="J92" s="158"/>
      <c r="K92" s="418" t="s">
        <v>366</v>
      </c>
      <c r="L92" s="158"/>
      <c r="M92" s="158"/>
      <c r="N92" s="154" t="s">
        <v>184</v>
      </c>
      <c r="O92" s="492" t="s">
        <v>379</v>
      </c>
      <c r="P92" s="156"/>
      <c r="Q92" s="492" t="s">
        <v>379</v>
      </c>
      <c r="R92" s="156"/>
      <c r="S92" s="492" t="s">
        <v>379</v>
      </c>
      <c r="T92" s="461" t="s">
        <v>357</v>
      </c>
      <c r="U92" s="492" t="s">
        <v>379</v>
      </c>
      <c r="V92" s="492" t="s">
        <v>379</v>
      </c>
      <c r="W92" s="256" t="s">
        <v>197</v>
      </c>
      <c r="X92" s="158"/>
      <c r="Y92" s="230"/>
      <c r="Z92" s="154" t="s">
        <v>185</v>
      </c>
      <c r="AA92" s="230"/>
      <c r="AB92" s="230"/>
      <c r="AC92" s="230"/>
      <c r="AD92" s="230"/>
      <c r="AE92" s="230"/>
      <c r="AF92" s="230"/>
      <c r="AG92" s="230"/>
      <c r="AH92" s="230"/>
      <c r="AI92" s="230"/>
      <c r="AJ92" s="230"/>
      <c r="AK92" s="230"/>
      <c r="AL92" s="152" t="s">
        <v>64</v>
      </c>
      <c r="AM92" s="159"/>
      <c r="AN92" s="228"/>
      <c r="AO92" s="156"/>
      <c r="AP92" s="415" t="s">
        <v>380</v>
      </c>
      <c r="AQ92" s="156"/>
      <c r="AR92" s="186" t="s">
        <v>177</v>
      </c>
      <c r="AS92" s="152" t="s">
        <v>64</v>
      </c>
      <c r="AT92" s="493" t="s">
        <v>376</v>
      </c>
      <c r="AU92" s="494"/>
      <c r="AV92" s="258"/>
      <c r="AW92" s="258"/>
      <c r="AX92" s="258"/>
      <c r="AY92" s="258"/>
      <c r="AZ92" s="258"/>
      <c r="BA92" s="258"/>
      <c r="BB92" s="258"/>
      <c r="BC92" s="258"/>
      <c r="BD92" s="258"/>
      <c r="BE92" s="258"/>
      <c r="BF92" s="258"/>
      <c r="BG92" s="258"/>
      <c r="BH92" s="258"/>
      <c r="BI92" s="258"/>
      <c r="BJ92" s="258"/>
      <c r="BK92" s="258"/>
      <c r="BL92" s="258"/>
      <c r="BM92" s="258"/>
      <c r="BN92" s="258"/>
      <c r="BO92" s="258"/>
      <c r="BP92" s="258"/>
      <c r="BQ92" s="258"/>
      <c r="BR92" s="258"/>
      <c r="BS92" s="258"/>
      <c r="BT92" s="258"/>
      <c r="BU92" s="258"/>
      <c r="BV92" s="258"/>
      <c r="BW92" s="258"/>
      <c r="BX92" s="258"/>
      <c r="BY92" s="258"/>
      <c r="BZ92" s="258"/>
      <c r="CA92" s="258"/>
      <c r="CB92" s="258"/>
      <c r="CC92" s="258"/>
      <c r="CD92" s="258"/>
      <c r="CE92" s="258"/>
      <c r="CF92" s="258"/>
      <c r="CG92" s="258"/>
      <c r="CH92" s="258"/>
    </row>
    <row r="93">
      <c r="A93" s="38"/>
      <c r="B93" s="393"/>
      <c r="C93" s="393"/>
      <c r="D93" s="477" t="s">
        <v>370</v>
      </c>
      <c r="E93" s="393"/>
      <c r="F93" s="156"/>
      <c r="G93" s="393"/>
      <c r="H93" s="477" t="s">
        <v>167</v>
      </c>
      <c r="I93" s="393"/>
      <c r="J93" s="393"/>
      <c r="K93" s="477" t="s">
        <v>179</v>
      </c>
      <c r="L93" s="393"/>
      <c r="M93" s="393"/>
      <c r="N93" s="23"/>
      <c r="O93" s="385" t="s">
        <v>233</v>
      </c>
      <c r="P93" s="156"/>
      <c r="Q93" s="385" t="s">
        <v>56</v>
      </c>
      <c r="R93" s="156"/>
      <c r="S93" s="502" t="s">
        <v>381</v>
      </c>
      <c r="T93" s="495" t="s">
        <v>217</v>
      </c>
      <c r="U93" s="385" t="s">
        <v>382</v>
      </c>
      <c r="V93" s="385" t="s">
        <v>383</v>
      </c>
      <c r="W93" s="262" t="s">
        <v>231</v>
      </c>
      <c r="X93" s="154"/>
      <c r="Y93" s="230"/>
      <c r="Z93" s="23"/>
      <c r="AA93" s="230"/>
      <c r="AB93" s="230"/>
      <c r="AC93" s="230"/>
      <c r="AD93" s="230"/>
      <c r="AE93" s="230"/>
      <c r="AF93" s="230"/>
      <c r="AG93" s="230"/>
      <c r="AH93" s="230"/>
      <c r="AI93" s="230"/>
      <c r="AJ93" s="230"/>
      <c r="AK93" s="230"/>
      <c r="AL93" s="38"/>
      <c r="AM93" s="159"/>
      <c r="AN93" s="161"/>
      <c r="AO93" s="156"/>
      <c r="AP93" s="423" t="s">
        <v>384</v>
      </c>
      <c r="AQ93" s="156"/>
      <c r="AR93" s="239" t="s">
        <v>181</v>
      </c>
      <c r="AS93" s="38"/>
      <c r="AT93" s="386" t="s">
        <v>377</v>
      </c>
      <c r="AU93" s="298"/>
      <c r="AV93" s="258"/>
      <c r="AW93" s="300" t="str">
        <f t="array" ref="AW93">TEXTJOIN(" | ", 1, A94:AT94)</f>
        <v>320 (305 ON 14/02, 28/02) | 303 | 318 | 101 | 421 | 308 (461 ON 07/02) | 316 | 312 (321 ON 07/02) | 460 | ONLINE | ONLINE</v>
      </c>
      <c r="AX93" s="258"/>
      <c r="AY93" s="258"/>
      <c r="AZ93" s="258"/>
      <c r="BA93" s="258"/>
      <c r="BB93" s="258"/>
      <c r="BC93" s="258"/>
      <c r="BD93" s="258"/>
      <c r="BE93" s="258"/>
      <c r="BF93" s="258"/>
      <c r="BG93" s="258"/>
      <c r="BH93" s="258"/>
      <c r="BI93" s="258"/>
      <c r="BJ93" s="258"/>
      <c r="BK93" s="258"/>
      <c r="BL93" s="258"/>
      <c r="BM93" s="258"/>
      <c r="BN93" s="258"/>
      <c r="BO93" s="258"/>
      <c r="BP93" s="258"/>
      <c r="BQ93" s="258"/>
      <c r="BR93" s="258"/>
      <c r="BS93" s="258"/>
      <c r="BT93" s="258"/>
      <c r="BU93" s="258"/>
      <c r="BV93" s="258"/>
      <c r="BW93" s="258"/>
      <c r="BX93" s="258"/>
      <c r="BY93" s="258"/>
      <c r="BZ93" s="258"/>
      <c r="CA93" s="258"/>
      <c r="CB93" s="258"/>
      <c r="CC93" s="258"/>
      <c r="CD93" s="258"/>
      <c r="CE93" s="258"/>
      <c r="CF93" s="258"/>
      <c r="CG93" s="258"/>
      <c r="CH93" s="258"/>
    </row>
    <row r="94">
      <c r="A94" s="44"/>
      <c r="B94" s="174"/>
      <c r="C94" s="174"/>
      <c r="D94" s="483" t="s">
        <v>539</v>
      </c>
      <c r="E94" s="174"/>
      <c r="F94" s="172"/>
      <c r="G94" s="174"/>
      <c r="H94" s="483">
        <v>303.0</v>
      </c>
      <c r="I94" s="174"/>
      <c r="J94" s="174"/>
      <c r="K94" s="483">
        <v>318.0</v>
      </c>
      <c r="L94" s="174"/>
      <c r="M94" s="174"/>
      <c r="N94" s="47"/>
      <c r="O94" s="496">
        <v>101.0</v>
      </c>
      <c r="P94" s="172"/>
      <c r="Q94" s="496">
        <v>421.0</v>
      </c>
      <c r="R94" s="172"/>
      <c r="S94" s="496" t="s">
        <v>541</v>
      </c>
      <c r="T94" s="497">
        <v>316.0</v>
      </c>
      <c r="U94" s="496" t="s">
        <v>542</v>
      </c>
      <c r="V94" s="496">
        <v>460.0</v>
      </c>
      <c r="W94" s="616"/>
      <c r="X94" s="457"/>
      <c r="Y94" s="243"/>
      <c r="Z94" s="47"/>
      <c r="AA94" s="243"/>
      <c r="AB94" s="243"/>
      <c r="AC94" s="243"/>
      <c r="AD94" s="243"/>
      <c r="AE94" s="243"/>
      <c r="AF94" s="243"/>
      <c r="AG94" s="243"/>
      <c r="AH94" s="243"/>
      <c r="AI94" s="243"/>
      <c r="AJ94" s="243"/>
      <c r="AK94" s="243"/>
      <c r="AL94" s="44"/>
      <c r="AM94" s="175"/>
      <c r="AN94" s="177"/>
      <c r="AO94" s="172"/>
      <c r="AP94" s="430" t="s">
        <v>137</v>
      </c>
      <c r="AQ94" s="172"/>
      <c r="AR94" s="206"/>
      <c r="AS94" s="44"/>
      <c r="AT94" s="390" t="s">
        <v>137</v>
      </c>
      <c r="AU94" s="355"/>
      <c r="AV94" s="164" t="str">
        <f>IFERROR(__xludf.DUMMYFUNCTION("TEXTJOIN("" / "", TRUE, FILTER(TO_TEXT(SPLIT($AZ$4, "" / "")), NOT(REGEXMATCH(TO_TEXT(SPLIT($AZ$4, "" / "")), ""\b"" &amp; TEXTJOIN(""|"", TRUE, SPLIT(AW94, "" / "")) &amp; ""\b""))))"),"102 / 103 / 104 / 105 / 106 / 107 / 108 / 111 / 209 / 300 / 301 / 304 / 306 / 307 / 313 / 314 / 317")</f>
        <v>102 / 103 / 104 / 105 / 106 / 107 / 108 / 111 / 209 / 300 / 301 / 304 / 306 / 307 / 313 / 314 / 317</v>
      </c>
      <c r="AW94" s="178" t="str">
        <f>IFERROR(__xludf.DUMMYFUNCTION("TEXTJOIN("" / "", 1, SORT(UNIQUE(TRANSPOSE(SPLIT(TRIM(REGEXREPLACE(AW93,""([0-9]{3}[a-zA-Z]?)|."",""$1 "")), "" "")))))"),"101 / 303 / 305 / 308 / 312 / 316 / 318 / 320 / 321 / 421 / 460 / 461")</f>
        <v>101 / 303 / 305 / 308 / 312 / 316 / 318 / 320 / 321 / 421 / 460 / 461</v>
      </c>
      <c r="AX94" s="164"/>
      <c r="AY94" s="163"/>
      <c r="AZ94" s="163"/>
      <c r="BA94" s="163"/>
      <c r="BB94" s="163"/>
      <c r="BC94" s="163"/>
      <c r="BD94" s="163"/>
      <c r="BE94" s="163"/>
      <c r="BF94" s="163"/>
      <c r="BG94" s="163"/>
      <c r="BH94" s="163"/>
      <c r="BI94" s="163"/>
      <c r="BJ94" s="163"/>
      <c r="BK94" s="163"/>
      <c r="BL94" s="163"/>
      <c r="BM94" s="163"/>
      <c r="BN94" s="163"/>
      <c r="BO94" s="163"/>
      <c r="BP94" s="163"/>
      <c r="BQ94" s="163"/>
      <c r="BR94" s="163"/>
      <c r="BS94" s="163"/>
      <c r="BT94" s="163"/>
      <c r="BU94" s="163"/>
      <c r="BV94" s="163"/>
      <c r="BW94" s="163"/>
      <c r="BX94" s="163"/>
      <c r="BY94" s="163"/>
      <c r="BZ94" s="163"/>
      <c r="CA94" s="163"/>
      <c r="CB94" s="163"/>
      <c r="CC94" s="163"/>
      <c r="CD94" s="163"/>
      <c r="CE94" s="163"/>
      <c r="CF94" s="163"/>
      <c r="CG94" s="163"/>
      <c r="CH94" s="163"/>
    </row>
    <row r="95">
      <c r="A95" s="152" t="s">
        <v>66</v>
      </c>
      <c r="B95" s="230"/>
      <c r="C95" s="230"/>
      <c r="D95" s="230"/>
      <c r="E95" s="230"/>
      <c r="F95" s="230"/>
      <c r="G95" s="230"/>
      <c r="H95" s="156"/>
      <c r="I95" s="158"/>
      <c r="J95" s="156"/>
      <c r="K95" s="158"/>
      <c r="L95" s="158"/>
      <c r="M95" s="227"/>
      <c r="N95" s="498" t="s">
        <v>191</v>
      </c>
      <c r="O95" s="156"/>
      <c r="P95" s="492" t="s">
        <v>379</v>
      </c>
      <c r="Q95" s="156"/>
      <c r="R95" s="492" t="s">
        <v>379</v>
      </c>
      <c r="S95" s="156"/>
      <c r="T95" s="492" t="s">
        <v>379</v>
      </c>
      <c r="U95" s="470" t="s">
        <v>357</v>
      </c>
      <c r="V95" s="256" t="s">
        <v>197</v>
      </c>
      <c r="W95" s="492" t="s">
        <v>379</v>
      </c>
      <c r="X95" s="158"/>
      <c r="Y95" s="230"/>
      <c r="Z95" s="154" t="s">
        <v>192</v>
      </c>
      <c r="AA95" s="230"/>
      <c r="AB95" s="230"/>
      <c r="AC95" s="230"/>
      <c r="AD95" s="230"/>
      <c r="AE95" s="230"/>
      <c r="AF95" s="230"/>
      <c r="AG95" s="230"/>
      <c r="AH95" s="227"/>
      <c r="AI95" s="156"/>
      <c r="AJ95" s="230"/>
      <c r="AK95" s="230"/>
      <c r="AL95" s="154" t="s">
        <v>66</v>
      </c>
      <c r="AM95" s="156"/>
      <c r="AN95" s="156"/>
      <c r="AO95" s="228"/>
      <c r="AP95" s="382" t="s">
        <v>307</v>
      </c>
      <c r="AQ95" s="228"/>
      <c r="AR95" s="186" t="s">
        <v>177</v>
      </c>
      <c r="AS95" s="152" t="s">
        <v>66</v>
      </c>
      <c r="AT95" s="330" t="s">
        <v>266</v>
      </c>
      <c r="AU95" s="500"/>
      <c r="AV95" s="258"/>
      <c r="AW95" s="258"/>
      <c r="AX95" s="258"/>
      <c r="AY95" s="258"/>
      <c r="AZ95" s="258"/>
      <c r="BA95" s="258"/>
      <c r="BB95" s="258"/>
      <c r="BC95" s="258"/>
      <c r="BD95" s="258"/>
      <c r="BE95" s="258"/>
      <c r="BF95" s="258"/>
      <c r="BG95" s="258"/>
      <c r="BH95" s="258"/>
      <c r="BI95" s="258"/>
      <c r="BJ95" s="258"/>
      <c r="BK95" s="258"/>
      <c r="BL95" s="258"/>
      <c r="BM95" s="258"/>
      <c r="BN95" s="258"/>
      <c r="BO95" s="258"/>
      <c r="BP95" s="258"/>
      <c r="BQ95" s="258"/>
      <c r="BR95" s="258"/>
      <c r="BS95" s="258"/>
      <c r="BT95" s="258"/>
      <c r="BU95" s="258"/>
      <c r="BV95" s="258"/>
      <c r="BW95" s="258"/>
      <c r="BX95" s="258"/>
      <c r="BY95" s="258"/>
      <c r="BZ95" s="258"/>
      <c r="CA95" s="258"/>
      <c r="CB95" s="258"/>
      <c r="CC95" s="258"/>
      <c r="CD95" s="258"/>
      <c r="CE95" s="258"/>
      <c r="CF95" s="258"/>
      <c r="CG95" s="258"/>
      <c r="CH95" s="258"/>
    </row>
    <row r="96">
      <c r="A96" s="38"/>
      <c r="B96" s="230"/>
      <c r="C96" s="230"/>
      <c r="D96" s="230"/>
      <c r="E96" s="230"/>
      <c r="F96" s="230"/>
      <c r="G96" s="230"/>
      <c r="H96" s="156"/>
      <c r="I96" s="393"/>
      <c r="J96" s="156"/>
      <c r="K96" s="393"/>
      <c r="L96" s="393"/>
      <c r="M96" s="234"/>
      <c r="N96" s="38"/>
      <c r="O96" s="156"/>
      <c r="P96" s="385" t="s">
        <v>233</v>
      </c>
      <c r="Q96" s="156"/>
      <c r="R96" s="385" t="s">
        <v>381</v>
      </c>
      <c r="S96" s="156"/>
      <c r="T96" s="385" t="s">
        <v>382</v>
      </c>
      <c r="U96" s="473" t="s">
        <v>78</v>
      </c>
      <c r="V96" s="262" t="s">
        <v>535</v>
      </c>
      <c r="W96" s="502" t="s">
        <v>383</v>
      </c>
      <c r="X96" s="154"/>
      <c r="Y96" s="230"/>
      <c r="Z96" s="23"/>
      <c r="AA96" s="230"/>
      <c r="AB96" s="230"/>
      <c r="AC96" s="230"/>
      <c r="AD96" s="230"/>
      <c r="AE96" s="230"/>
      <c r="AF96" s="230"/>
      <c r="AG96" s="230"/>
      <c r="AH96" s="234"/>
      <c r="AI96" s="156"/>
      <c r="AJ96" s="230"/>
      <c r="AK96" s="230"/>
      <c r="AL96" s="23"/>
      <c r="AM96" s="156"/>
      <c r="AN96" s="156"/>
      <c r="AO96" s="161"/>
      <c r="AP96" s="386" t="s">
        <v>309</v>
      </c>
      <c r="AQ96" s="161"/>
      <c r="AR96" s="239" t="s">
        <v>181</v>
      </c>
      <c r="AS96" s="38"/>
      <c r="AT96" s="321" t="s">
        <v>254</v>
      </c>
      <c r="AU96" s="152"/>
      <c r="AV96" s="258"/>
      <c r="AW96" s="163" t="str">
        <f t="array" ref="AW96">TEXTJOIN(" | ", 1, A97:AT97)</f>
        <v>101 | 308 (461 ON 07/02) | 312 (321 ON 07/02) | 316 | 460 | 320 ON 28/02</v>
      </c>
      <c r="AX96" s="258"/>
      <c r="AY96" s="258"/>
      <c r="AZ96" s="258"/>
      <c r="BA96" s="258"/>
      <c r="BB96" s="258"/>
      <c r="BC96" s="258"/>
      <c r="BD96" s="258"/>
      <c r="BE96" s="258"/>
      <c r="BF96" s="258"/>
      <c r="BG96" s="258"/>
      <c r="BH96" s="258"/>
      <c r="BI96" s="258"/>
      <c r="BJ96" s="258"/>
      <c r="BK96" s="258"/>
      <c r="BL96" s="258"/>
      <c r="BM96" s="258"/>
      <c r="BN96" s="258"/>
      <c r="BO96" s="258"/>
      <c r="BP96" s="258"/>
      <c r="BQ96" s="258"/>
      <c r="BR96" s="258"/>
      <c r="BS96" s="258"/>
      <c r="BT96" s="258"/>
      <c r="BU96" s="258"/>
      <c r="BV96" s="258"/>
      <c r="BW96" s="258"/>
      <c r="BX96" s="258"/>
      <c r="BY96" s="258"/>
      <c r="BZ96" s="258"/>
      <c r="CA96" s="258"/>
      <c r="CB96" s="258"/>
      <c r="CC96" s="258"/>
      <c r="CD96" s="258"/>
      <c r="CE96" s="258"/>
      <c r="CF96" s="258"/>
      <c r="CG96" s="258"/>
      <c r="CH96" s="258"/>
    </row>
    <row r="97">
      <c r="A97" s="44"/>
      <c r="B97" s="243"/>
      <c r="C97" s="243"/>
      <c r="D97" s="243"/>
      <c r="E97" s="243"/>
      <c r="F97" s="243"/>
      <c r="G97" s="243"/>
      <c r="H97" s="172"/>
      <c r="I97" s="174"/>
      <c r="J97" s="172"/>
      <c r="K97" s="174"/>
      <c r="L97" s="174"/>
      <c r="M97" s="240"/>
      <c r="N97" s="44"/>
      <c r="O97" s="172"/>
      <c r="P97" s="496">
        <v>101.0</v>
      </c>
      <c r="Q97" s="172"/>
      <c r="R97" s="496" t="s">
        <v>541</v>
      </c>
      <c r="S97" s="172"/>
      <c r="T97" s="496" t="s">
        <v>542</v>
      </c>
      <c r="U97" s="503">
        <v>316.0</v>
      </c>
      <c r="V97" s="621"/>
      <c r="W97" s="496">
        <v>460.0</v>
      </c>
      <c r="X97" s="457"/>
      <c r="Y97" s="243"/>
      <c r="Z97" s="47"/>
      <c r="AA97" s="243"/>
      <c r="AB97" s="243"/>
      <c r="AC97" s="243"/>
      <c r="AD97" s="243"/>
      <c r="AE97" s="243"/>
      <c r="AF97" s="243"/>
      <c r="AG97" s="243"/>
      <c r="AH97" s="240"/>
      <c r="AI97" s="172"/>
      <c r="AJ97" s="243"/>
      <c r="AK97" s="243"/>
      <c r="AL97" s="47"/>
      <c r="AM97" s="172"/>
      <c r="AN97" s="172"/>
      <c r="AO97" s="177"/>
      <c r="AP97" s="611"/>
      <c r="AQ97" s="177"/>
      <c r="AR97" s="206"/>
      <c r="AS97" s="44"/>
      <c r="AT97" s="266" t="s">
        <v>543</v>
      </c>
      <c r="AU97" s="323"/>
      <c r="AV97" s="164" t="str">
        <f>IFERROR(__xludf.DUMMYFUNCTION("TEXTJOIN("" / "", TRUE, FILTER(TO_TEXT(SPLIT($AZ$4, "" / "")), NOT(REGEXMATCH(TO_TEXT(SPLIT($AZ$4, "" / "")), ""\b"" &amp; TEXTJOIN(""|"", TRUE, SPLIT(AW97, "" / "")) &amp; ""\b""))))"),"102 / 103 / 104 / 105 / 106 / 107 / 108 / 111 / 209 / 300 / 301 / 303 / 304 / 305 / 306 / 307 / 313 / 314 / 317 / 318 / 421")</f>
        <v>102 / 103 / 104 / 105 / 106 / 107 / 108 / 111 / 209 / 300 / 301 / 303 / 304 / 305 / 306 / 307 / 313 / 314 / 317 / 318 / 421</v>
      </c>
      <c r="AW97" s="178" t="str">
        <f>IFERROR(__xludf.DUMMYFUNCTION("TEXTJOIN("" / "", 1, SORT(UNIQUE(TRANSPOSE(SPLIT(TRIM(REGEXREPLACE(AW96,""([0-9]{3}[a-zA-Z]?)|."",""$1 "")), "" "")))))"),"101 / 308 / 312 / 316 / 320 / 321 / 460 / 461")</f>
        <v>101 / 308 / 312 / 316 / 320 / 321 / 460 / 461</v>
      </c>
      <c r="AX97" s="163"/>
      <c r="AY97" s="163"/>
      <c r="AZ97" s="163"/>
      <c r="BA97" s="163"/>
      <c r="BB97" s="163"/>
      <c r="BC97" s="163"/>
      <c r="BD97" s="163"/>
      <c r="BE97" s="163"/>
      <c r="BF97" s="163"/>
      <c r="BG97" s="163"/>
      <c r="BH97" s="163"/>
      <c r="BI97" s="163"/>
      <c r="BJ97" s="163"/>
      <c r="BK97" s="163"/>
      <c r="BL97" s="163"/>
      <c r="BM97" s="163"/>
      <c r="BN97" s="163"/>
      <c r="BO97" s="163"/>
      <c r="BP97" s="163"/>
      <c r="BQ97" s="163"/>
      <c r="BR97" s="163"/>
      <c r="BS97" s="163"/>
      <c r="BT97" s="163"/>
      <c r="BU97" s="163"/>
      <c r="BV97" s="163"/>
      <c r="BW97" s="163"/>
      <c r="BX97" s="163"/>
      <c r="BY97" s="163"/>
      <c r="BZ97" s="163"/>
      <c r="CA97" s="163"/>
      <c r="CB97" s="163"/>
      <c r="CC97" s="163"/>
      <c r="CD97" s="163"/>
      <c r="CE97" s="163"/>
      <c r="CF97" s="163"/>
      <c r="CG97" s="163"/>
      <c r="CH97" s="163"/>
    </row>
    <row r="98">
      <c r="A98" s="147" t="s">
        <v>103</v>
      </c>
      <c r="B98" s="148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7"/>
      <c r="N98" s="149" t="s">
        <v>103</v>
      </c>
      <c r="O98" s="148"/>
      <c r="P98" s="46"/>
      <c r="Q98" s="46"/>
      <c r="R98" s="46"/>
      <c r="S98" s="46"/>
      <c r="T98" s="46"/>
      <c r="U98" s="46"/>
      <c r="V98" s="46"/>
      <c r="W98" s="46"/>
      <c r="X98" s="46"/>
      <c r="Y98" s="47"/>
      <c r="Z98" s="149" t="s">
        <v>103</v>
      </c>
      <c r="AA98" s="148"/>
      <c r="AB98" s="46"/>
      <c r="AC98" s="46"/>
      <c r="AD98" s="46"/>
      <c r="AE98" s="46"/>
      <c r="AF98" s="46"/>
      <c r="AG98" s="46"/>
      <c r="AH98" s="46"/>
      <c r="AI98" s="46"/>
      <c r="AJ98" s="46"/>
      <c r="AK98" s="47"/>
      <c r="AL98" s="149" t="s">
        <v>103</v>
      </c>
      <c r="AM98" s="148"/>
      <c r="AN98" s="46"/>
      <c r="AO98" s="46"/>
      <c r="AP98" s="46"/>
      <c r="AQ98" s="46"/>
      <c r="AR98" s="47"/>
      <c r="AS98" s="149" t="s">
        <v>103</v>
      </c>
      <c r="AT98" s="326"/>
      <c r="AU98" s="326"/>
      <c r="AV98" s="151"/>
      <c r="AW98" s="151"/>
      <c r="AX98" s="151"/>
      <c r="AY98" s="151"/>
      <c r="AZ98" s="151"/>
      <c r="BA98" s="151"/>
      <c r="BB98" s="151"/>
      <c r="BC98" s="151"/>
      <c r="BD98" s="151"/>
      <c r="BE98" s="151"/>
      <c r="BF98" s="151"/>
      <c r="BG98" s="151"/>
      <c r="BH98" s="151"/>
      <c r="BI98" s="151"/>
      <c r="BJ98" s="151"/>
      <c r="BK98" s="151"/>
      <c r="BL98" s="151"/>
      <c r="BM98" s="151"/>
      <c r="BN98" s="151"/>
      <c r="BO98" s="151"/>
      <c r="BP98" s="151"/>
      <c r="BQ98" s="151"/>
      <c r="BR98" s="151"/>
      <c r="BS98" s="151"/>
      <c r="BT98" s="151"/>
      <c r="BU98" s="151"/>
      <c r="BV98" s="151"/>
      <c r="BW98" s="151"/>
      <c r="BX98" s="151"/>
      <c r="BY98" s="151"/>
      <c r="BZ98" s="151"/>
      <c r="CA98" s="151"/>
      <c r="CB98" s="151"/>
      <c r="CC98" s="151"/>
      <c r="CD98" s="151"/>
      <c r="CE98" s="151"/>
      <c r="CF98" s="151"/>
      <c r="CG98" s="151"/>
      <c r="CH98" s="151"/>
    </row>
    <row r="99">
      <c r="A99" s="152" t="s">
        <v>39</v>
      </c>
      <c r="B99" s="396" t="s">
        <v>85</v>
      </c>
      <c r="M99" s="23"/>
      <c r="N99" s="154" t="s">
        <v>128</v>
      </c>
      <c r="O99" s="396" t="s">
        <v>85</v>
      </c>
      <c r="Y99" s="23"/>
      <c r="Z99" s="154" t="s">
        <v>130</v>
      </c>
      <c r="AA99" s="396" t="s">
        <v>85</v>
      </c>
      <c r="AK99" s="23"/>
      <c r="AL99" s="154" t="s">
        <v>39</v>
      </c>
      <c r="AM99" s="156"/>
      <c r="AN99" s="156"/>
      <c r="AO99" s="156"/>
      <c r="AP99" s="156"/>
      <c r="AQ99" s="156"/>
      <c r="AR99" s="156"/>
      <c r="AS99" s="152" t="s">
        <v>39</v>
      </c>
      <c r="AT99" s="330" t="s">
        <v>266</v>
      </c>
      <c r="AU99" s="500"/>
      <c r="AV99" s="258"/>
      <c r="AW99" s="258"/>
      <c r="AX99" s="258"/>
      <c r="AY99" s="258"/>
      <c r="AZ99" s="258"/>
      <c r="BA99" s="258"/>
      <c r="BB99" s="258"/>
      <c r="BC99" s="258"/>
      <c r="BD99" s="258"/>
      <c r="BE99" s="258"/>
      <c r="BF99" s="258"/>
      <c r="BG99" s="258"/>
      <c r="BH99" s="258"/>
      <c r="BI99" s="258"/>
      <c r="BJ99" s="258"/>
      <c r="BK99" s="258"/>
      <c r="BL99" s="258"/>
      <c r="BM99" s="258"/>
      <c r="BN99" s="258"/>
      <c r="BO99" s="258"/>
      <c r="BP99" s="258"/>
      <c r="BQ99" s="258"/>
      <c r="BR99" s="258"/>
      <c r="BS99" s="258"/>
      <c r="BT99" s="258"/>
      <c r="BU99" s="258"/>
      <c r="BV99" s="258"/>
      <c r="BW99" s="258"/>
      <c r="BX99" s="258"/>
      <c r="BY99" s="258"/>
      <c r="BZ99" s="258"/>
      <c r="CA99" s="258"/>
      <c r="CB99" s="258"/>
      <c r="CC99" s="258"/>
      <c r="CD99" s="258"/>
      <c r="CE99" s="258"/>
      <c r="CF99" s="258"/>
      <c r="CG99" s="258"/>
      <c r="CH99" s="258"/>
    </row>
    <row r="100">
      <c r="A100" s="38"/>
      <c r="M100" s="23"/>
      <c r="N100" s="23"/>
      <c r="Y100" s="23"/>
      <c r="Z100" s="23"/>
      <c r="AK100" s="23"/>
      <c r="AL100" s="23"/>
      <c r="AM100" s="156"/>
      <c r="AN100" s="156"/>
      <c r="AO100" s="156"/>
      <c r="AP100" s="156"/>
      <c r="AQ100" s="156"/>
      <c r="AR100" s="156"/>
      <c r="AS100" s="38"/>
      <c r="AT100" s="321" t="s">
        <v>254</v>
      </c>
      <c r="AU100" s="152"/>
      <c r="AV100" s="258"/>
      <c r="AW100" s="163" t="str">
        <f t="array" ref="AW100">TEXTJOIN(" | ", 1, A101:AT101)</f>
        <v>101 ON 01/03</v>
      </c>
      <c r="AX100" s="164"/>
      <c r="AY100" s="258"/>
      <c r="AZ100" s="258"/>
      <c r="BA100" s="258"/>
      <c r="BB100" s="258"/>
      <c r="BC100" s="258"/>
      <c r="BD100" s="258"/>
      <c r="BE100" s="258"/>
      <c r="BF100" s="258"/>
      <c r="BG100" s="258"/>
      <c r="BH100" s="258"/>
      <c r="BI100" s="258"/>
      <c r="BJ100" s="258"/>
      <c r="BK100" s="258"/>
      <c r="BL100" s="258"/>
      <c r="BM100" s="258"/>
      <c r="BN100" s="258"/>
      <c r="BO100" s="258"/>
      <c r="BP100" s="258"/>
      <c r="BQ100" s="258"/>
      <c r="BR100" s="258"/>
      <c r="BS100" s="258"/>
      <c r="BT100" s="258"/>
      <c r="BU100" s="258"/>
      <c r="BV100" s="258"/>
      <c r="BW100" s="258"/>
      <c r="BX100" s="258"/>
      <c r="BY100" s="258"/>
      <c r="BZ100" s="258"/>
      <c r="CA100" s="258"/>
      <c r="CB100" s="258"/>
      <c r="CC100" s="258"/>
      <c r="CD100" s="258"/>
      <c r="CE100" s="258"/>
      <c r="CF100" s="258"/>
      <c r="CG100" s="258"/>
      <c r="CH100" s="258"/>
    </row>
    <row r="101">
      <c r="A101" s="44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7"/>
      <c r="N101" s="47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7"/>
      <c r="Z101" s="47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7"/>
      <c r="AL101" s="47"/>
      <c r="AM101" s="172"/>
      <c r="AN101" s="172"/>
      <c r="AO101" s="172"/>
      <c r="AP101" s="172"/>
      <c r="AQ101" s="172"/>
      <c r="AR101" s="172"/>
      <c r="AS101" s="44"/>
      <c r="AT101" s="266" t="s">
        <v>544</v>
      </c>
      <c r="AU101" s="323"/>
      <c r="AV101" s="164" t="str">
        <f>IFERROR(__xludf.DUMMYFUNCTION("TEXTJOIN("" / "", TRUE, FILTER(TO_TEXT(SPLIT($AZ$4, "" / "")), NOT(REGEXMATCH(TO_TEXT(SPLIT($AZ$4, "" / "")), ""\b"" &amp; TEXTJOIN(""|"", TRUE, SPLIT(AW101, "" / "")) &amp; ""\b""))))"),"102 / 103 / 104 / 105 / 106 / 107 / 108 / 111 / 209 / 300 / 301 / 303 / 304 / 305 / 306 / 307 / 308 / 312 / 313 / 314 / 316 / 317 / 318 / 320 / 321 / 421 / 460 / 461")</f>
        <v>102 / 103 / 104 / 105 / 106 / 107 / 108 / 111 / 209 / 300 / 301 / 303 / 304 / 305 / 306 / 307 / 308 / 312 / 313 / 314 / 316 / 317 / 318 / 320 / 321 / 421 / 460 / 461</v>
      </c>
      <c r="AW101" s="178" t="str">
        <f>IFERROR(__xludf.DUMMYFUNCTION("TEXTJOIN("" / "", 1, SORT(UNIQUE(TRANSPOSE(SPLIT(TRIM(REGEXREPLACE(AW100,""([0-9]{3}[a-zA-Z]?)|."",""$1 "")), "" "")))))"),"101")</f>
        <v>101</v>
      </c>
      <c r="AX101" s="164"/>
      <c r="AY101" s="163"/>
      <c r="AZ101" s="163"/>
      <c r="BA101" s="163"/>
      <c r="BB101" s="163"/>
      <c r="BC101" s="163"/>
      <c r="BD101" s="163"/>
      <c r="BE101" s="163"/>
      <c r="BF101" s="163"/>
      <c r="BG101" s="163"/>
      <c r="BH101" s="163"/>
      <c r="BI101" s="163"/>
      <c r="BJ101" s="163"/>
      <c r="BK101" s="163"/>
      <c r="BL101" s="163"/>
      <c r="BM101" s="163"/>
      <c r="BN101" s="163"/>
      <c r="BO101" s="163"/>
      <c r="BP101" s="163"/>
      <c r="BQ101" s="163"/>
      <c r="BR101" s="163"/>
      <c r="BS101" s="163"/>
      <c r="BT101" s="163"/>
      <c r="BU101" s="163"/>
      <c r="BV101" s="163"/>
      <c r="BW101" s="163"/>
      <c r="BX101" s="163"/>
      <c r="BY101" s="163"/>
      <c r="BZ101" s="163"/>
      <c r="CA101" s="163"/>
      <c r="CB101" s="163"/>
      <c r="CC101" s="163"/>
      <c r="CD101" s="163"/>
      <c r="CE101" s="163"/>
      <c r="CF101" s="163"/>
      <c r="CG101" s="163"/>
      <c r="CH101" s="163"/>
    </row>
    <row r="102">
      <c r="A102" s="152" t="s">
        <v>49</v>
      </c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154" t="s">
        <v>139</v>
      </c>
      <c r="O102" s="156"/>
      <c r="P102" s="156"/>
      <c r="Q102" s="156"/>
      <c r="R102" s="156"/>
      <c r="S102" s="156"/>
      <c r="T102" s="156"/>
      <c r="U102" s="156"/>
      <c r="V102" s="156"/>
      <c r="W102" s="156"/>
      <c r="X102" s="434" t="s">
        <v>332</v>
      </c>
      <c r="Y102" s="505"/>
      <c r="Z102" s="154" t="s">
        <v>145</v>
      </c>
      <c r="AA102" s="156"/>
      <c r="AB102" s="156"/>
      <c r="AC102" s="156"/>
      <c r="AD102" s="506" t="s">
        <v>386</v>
      </c>
      <c r="AE102" s="23"/>
      <c r="AF102" s="156"/>
      <c r="AG102" s="156"/>
      <c r="AH102" s="156"/>
      <c r="AI102" s="156"/>
      <c r="AJ102" s="156"/>
      <c r="AK102" s="294" t="s">
        <v>263</v>
      </c>
      <c r="AL102" s="154" t="s">
        <v>49</v>
      </c>
      <c r="AM102" s="156"/>
      <c r="AN102" s="156"/>
      <c r="AO102" s="156"/>
      <c r="AP102" s="516" t="s">
        <v>436</v>
      </c>
      <c r="AQ102" s="392" t="s">
        <v>308</v>
      </c>
      <c r="AR102" s="237"/>
      <c r="AS102" s="152" t="s">
        <v>49</v>
      </c>
      <c r="AT102" s="330" t="s">
        <v>266</v>
      </c>
      <c r="AU102" s="500"/>
      <c r="AV102" s="508"/>
      <c r="AW102" s="258"/>
      <c r="AX102" s="258"/>
      <c r="AY102" s="258"/>
      <c r="AZ102" s="258"/>
      <c r="BA102" s="258"/>
      <c r="BB102" s="258"/>
      <c r="BC102" s="258"/>
      <c r="BD102" s="258"/>
      <c r="BE102" s="258"/>
      <c r="BF102" s="258"/>
      <c r="BG102" s="258"/>
      <c r="BH102" s="258"/>
      <c r="BI102" s="258"/>
      <c r="BJ102" s="258"/>
      <c r="BK102" s="258"/>
      <c r="BL102" s="258"/>
      <c r="BM102" s="258"/>
      <c r="BN102" s="258"/>
      <c r="BO102" s="258"/>
      <c r="BP102" s="258"/>
      <c r="BQ102" s="258"/>
      <c r="BR102" s="258"/>
      <c r="BS102" s="258"/>
      <c r="BT102" s="258"/>
      <c r="BU102" s="258"/>
      <c r="BV102" s="258"/>
      <c r="BW102" s="258"/>
      <c r="BX102" s="258"/>
      <c r="BY102" s="258"/>
      <c r="BZ102" s="258"/>
      <c r="CA102" s="258"/>
      <c r="CB102" s="258"/>
      <c r="CC102" s="258"/>
      <c r="CD102" s="258"/>
      <c r="CE102" s="258"/>
      <c r="CF102" s="258"/>
      <c r="CG102" s="258"/>
      <c r="CH102" s="258"/>
    </row>
    <row r="103">
      <c r="A103" s="38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23"/>
      <c r="O103" s="156"/>
      <c r="P103" s="156"/>
      <c r="Q103" s="156"/>
      <c r="R103" s="156"/>
      <c r="S103" s="156"/>
      <c r="T103" s="156"/>
      <c r="U103" s="156"/>
      <c r="V103" s="156"/>
      <c r="W103" s="156"/>
      <c r="X103" s="438" t="s">
        <v>339</v>
      </c>
      <c r="Y103" s="156"/>
      <c r="Z103" s="23"/>
      <c r="AA103" s="156"/>
      <c r="AB103" s="156"/>
      <c r="AC103" s="156"/>
      <c r="AD103" s="509" t="s">
        <v>387</v>
      </c>
      <c r="AE103" s="23"/>
      <c r="AF103" s="156"/>
      <c r="AG103" s="156"/>
      <c r="AH103" s="156"/>
      <c r="AI103" s="156"/>
      <c r="AJ103" s="156"/>
      <c r="AK103" s="622" t="s">
        <v>270</v>
      </c>
      <c r="AL103" s="23"/>
      <c r="AM103" s="156"/>
      <c r="AN103" s="156"/>
      <c r="AO103" s="156"/>
      <c r="AP103" s="518" t="s">
        <v>437</v>
      </c>
      <c r="AQ103" s="192" t="s">
        <v>310</v>
      </c>
      <c r="AR103" s="237"/>
      <c r="AS103" s="38"/>
      <c r="AT103" s="321" t="s">
        <v>254</v>
      </c>
      <c r="AU103" s="152"/>
      <c r="AV103" s="508"/>
      <c r="AW103" s="163" t="str">
        <f t="array" ref="AW103">TEXTJOIN(" | ", 1, A104:AT104)</f>
        <v>304 ON 08/02, 01/03, 22/03 | 107 ON 15/02, 22/02, 15/03, 22/03, 5/04, 12/04, 19/04 (ONLINE ON 26/04) | 301 | 303 EXCEPT 22/02 | 316 STARTS ON 15/03 STARTS AT 11:10 | 101 ON 01/03</v>
      </c>
      <c r="AX103" s="258"/>
      <c r="AY103" s="258"/>
      <c r="AZ103" s="258"/>
      <c r="BA103" s="258"/>
      <c r="BB103" s="258"/>
      <c r="BC103" s="258"/>
      <c r="BD103" s="258"/>
      <c r="BE103" s="258"/>
      <c r="BF103" s="258"/>
      <c r="BG103" s="258"/>
      <c r="BH103" s="258"/>
      <c r="BI103" s="258"/>
      <c r="BJ103" s="258"/>
      <c r="BK103" s="258"/>
      <c r="BL103" s="258"/>
      <c r="BM103" s="258"/>
      <c r="BN103" s="258"/>
      <c r="BO103" s="258"/>
      <c r="BP103" s="258"/>
      <c r="BQ103" s="258"/>
      <c r="BR103" s="258"/>
      <c r="BS103" s="258"/>
      <c r="BT103" s="258"/>
      <c r="BU103" s="258"/>
      <c r="BV103" s="258"/>
      <c r="BW103" s="258"/>
      <c r="BX103" s="258"/>
      <c r="BY103" s="258"/>
      <c r="BZ103" s="258"/>
      <c r="CA103" s="258"/>
      <c r="CB103" s="258"/>
      <c r="CC103" s="258"/>
      <c r="CD103" s="258"/>
      <c r="CE103" s="258"/>
      <c r="CF103" s="258"/>
      <c r="CG103" s="258"/>
      <c r="CH103" s="258"/>
    </row>
    <row r="104">
      <c r="A104" s="44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47"/>
      <c r="O104" s="172"/>
      <c r="P104" s="172"/>
      <c r="Q104" s="172"/>
      <c r="R104" s="172"/>
      <c r="S104" s="172"/>
      <c r="T104" s="172"/>
      <c r="U104" s="172"/>
      <c r="V104" s="172"/>
      <c r="W104" s="172"/>
      <c r="X104" s="443" t="s">
        <v>438</v>
      </c>
      <c r="Y104" s="172"/>
      <c r="Z104" s="47"/>
      <c r="AA104" s="172"/>
      <c r="AB104" s="172"/>
      <c r="AC104" s="172"/>
      <c r="AD104" s="510" t="s">
        <v>545</v>
      </c>
      <c r="AE104" s="47"/>
      <c r="AF104" s="172"/>
      <c r="AG104" s="172"/>
      <c r="AH104" s="172"/>
      <c r="AI104" s="172"/>
      <c r="AJ104" s="172"/>
      <c r="AK104" s="304">
        <v>301.0</v>
      </c>
      <c r="AL104" s="47"/>
      <c r="AM104" s="172"/>
      <c r="AN104" s="172"/>
      <c r="AO104" s="172"/>
      <c r="AP104" s="538" t="s">
        <v>546</v>
      </c>
      <c r="AQ104" s="395" t="s">
        <v>440</v>
      </c>
      <c r="AR104" s="412"/>
      <c r="AS104" s="44"/>
      <c r="AT104" s="266" t="s">
        <v>544</v>
      </c>
      <c r="AU104" s="323"/>
      <c r="AV104" s="164" t="str">
        <f>IFERROR(__xludf.DUMMYFUNCTION("TEXTJOIN("" / "", TRUE, FILTER(TO_TEXT(SPLIT($AZ$4, "" / "")), NOT(REGEXMATCH(TO_TEXT(SPLIT($AZ$4, "" / "")), ""\b"" &amp; TEXTJOIN(""|"", TRUE, SPLIT(AW104, "" / "")) &amp; ""\b""))))"),"102 / 103 / 104 / 105 / 106 / 108 / 111 / 209 / 300 / 305 / 306 / 307 / 308 / 312 / 313 / 314 / 317 / 318 / 320 / 321 / 421 / 460 / 461")</f>
        <v>102 / 103 / 104 / 105 / 106 / 108 / 111 / 209 / 300 / 305 / 306 / 307 / 308 / 312 / 313 / 314 / 317 / 318 / 320 / 321 / 421 / 460 / 461</v>
      </c>
      <c r="AW104" s="178" t="str">
        <f>IFERROR(__xludf.DUMMYFUNCTION("TEXTJOIN("" / "", 1, SORT(UNIQUE(TRANSPOSE(SPLIT(TRIM(REGEXREPLACE(AW103,""([0-9]{3}[a-zA-Z]?)|."",""$1 "")), "" "")))))"),"101 / 107 / 301 / 303 / 304 / 316")</f>
        <v>101 / 107 / 301 / 303 / 304 / 316</v>
      </c>
      <c r="AX104" s="164"/>
      <c r="AY104" s="163"/>
      <c r="AZ104" s="163"/>
      <c r="BA104" s="163"/>
      <c r="BB104" s="163"/>
      <c r="BC104" s="163"/>
      <c r="BD104" s="163"/>
      <c r="BE104" s="163"/>
      <c r="BF104" s="163"/>
      <c r="BG104" s="163"/>
      <c r="BH104" s="163"/>
      <c r="BI104" s="163"/>
      <c r="BJ104" s="163"/>
      <c r="BK104" s="163"/>
      <c r="BL104" s="163"/>
      <c r="BM104" s="163"/>
      <c r="BN104" s="163"/>
      <c r="BO104" s="163"/>
      <c r="BP104" s="163"/>
      <c r="BQ104" s="163"/>
      <c r="BR104" s="163"/>
      <c r="BS104" s="163"/>
      <c r="BT104" s="163"/>
      <c r="BU104" s="163"/>
      <c r="BV104" s="163"/>
      <c r="BW104" s="163"/>
      <c r="BX104" s="163"/>
      <c r="BY104" s="163"/>
      <c r="BZ104" s="163"/>
      <c r="CA104" s="163"/>
      <c r="CB104" s="163"/>
      <c r="CC104" s="163"/>
      <c r="CD104" s="163"/>
      <c r="CE104" s="163"/>
      <c r="CF104" s="163"/>
      <c r="CG104" s="163"/>
      <c r="CH104" s="163"/>
    </row>
    <row r="105">
      <c r="A105" s="152" t="s">
        <v>51</v>
      </c>
      <c r="B105" s="230"/>
      <c r="C105" s="230"/>
      <c r="D105" s="230"/>
      <c r="E105" s="230"/>
      <c r="F105" s="230"/>
      <c r="G105" s="230"/>
      <c r="H105" s="156"/>
      <c r="I105" s="158"/>
      <c r="J105" s="156"/>
      <c r="K105" s="158"/>
      <c r="L105" s="156"/>
      <c r="M105" s="156"/>
      <c r="N105" s="154" t="s">
        <v>158</v>
      </c>
      <c r="O105" s="156"/>
      <c r="P105" s="156"/>
      <c r="Q105" s="156"/>
      <c r="R105" s="156"/>
      <c r="S105" s="156"/>
      <c r="T105" s="156"/>
      <c r="U105" s="156"/>
      <c r="V105" s="156"/>
      <c r="W105" s="156"/>
      <c r="X105" s="434" t="s">
        <v>332</v>
      </c>
      <c r="Y105" s="156"/>
      <c r="Z105" s="154" t="s">
        <v>162</v>
      </c>
      <c r="AA105" s="156"/>
      <c r="AB105" s="156"/>
      <c r="AC105" s="156"/>
      <c r="AD105" s="506" t="s">
        <v>386</v>
      </c>
      <c r="AE105" s="23"/>
      <c r="AF105" s="156"/>
      <c r="AG105" s="156"/>
      <c r="AH105" s="156"/>
      <c r="AI105" s="156"/>
      <c r="AJ105" s="156"/>
      <c r="AK105" s="294" t="s">
        <v>263</v>
      </c>
      <c r="AL105" s="154" t="s">
        <v>51</v>
      </c>
      <c r="AM105" s="156"/>
      <c r="AN105" s="156"/>
      <c r="AO105" s="156"/>
      <c r="AP105" s="516" t="s">
        <v>436</v>
      </c>
      <c r="AQ105" s="156"/>
      <c r="AR105" s="237"/>
      <c r="AS105" s="152" t="s">
        <v>51</v>
      </c>
      <c r="AT105" s="161"/>
      <c r="AU105" s="161"/>
      <c r="AV105" s="258"/>
      <c r="AW105" s="258"/>
      <c r="AX105" s="258"/>
      <c r="AY105" s="258"/>
      <c r="AZ105" s="258"/>
      <c r="BA105" s="258"/>
      <c r="BB105" s="258"/>
      <c r="BC105" s="258"/>
      <c r="BD105" s="258"/>
      <c r="BE105" s="258"/>
      <c r="BF105" s="258"/>
      <c r="BG105" s="258"/>
      <c r="BH105" s="258"/>
      <c r="BI105" s="258"/>
      <c r="BJ105" s="258"/>
      <c r="BK105" s="258"/>
      <c r="BL105" s="258"/>
      <c r="BM105" s="258"/>
      <c r="BN105" s="258"/>
      <c r="BO105" s="258"/>
      <c r="BP105" s="258"/>
      <c r="BQ105" s="258"/>
      <c r="BR105" s="258"/>
      <c r="BS105" s="258"/>
      <c r="BT105" s="258"/>
      <c r="BU105" s="258"/>
      <c r="BV105" s="258"/>
      <c r="BW105" s="258"/>
      <c r="BX105" s="258"/>
      <c r="BY105" s="258"/>
      <c r="BZ105" s="258"/>
      <c r="CA105" s="258"/>
      <c r="CB105" s="258"/>
      <c r="CC105" s="258"/>
      <c r="CD105" s="258"/>
      <c r="CE105" s="258"/>
      <c r="CF105" s="258"/>
      <c r="CG105" s="258"/>
      <c r="CH105" s="258"/>
    </row>
    <row r="106">
      <c r="A106" s="38"/>
      <c r="B106" s="230"/>
      <c r="C106" s="230"/>
      <c r="D106" s="230"/>
      <c r="E106" s="230"/>
      <c r="F106" s="230"/>
      <c r="G106" s="230"/>
      <c r="H106" s="156"/>
      <c r="I106" s="393"/>
      <c r="J106" s="156"/>
      <c r="K106" s="393"/>
      <c r="L106" s="156"/>
      <c r="M106" s="156"/>
      <c r="N106" s="23"/>
      <c r="O106" s="156"/>
      <c r="P106" s="156"/>
      <c r="Q106" s="156"/>
      <c r="R106" s="156"/>
      <c r="S106" s="156"/>
      <c r="T106" s="156"/>
      <c r="U106" s="156"/>
      <c r="V106" s="156"/>
      <c r="W106" s="156"/>
      <c r="X106" s="438" t="s">
        <v>339</v>
      </c>
      <c r="Y106" s="156"/>
      <c r="Z106" s="23"/>
      <c r="AA106" s="156"/>
      <c r="AB106" s="156"/>
      <c r="AC106" s="156"/>
      <c r="AD106" s="509" t="s">
        <v>387</v>
      </c>
      <c r="AE106" s="23"/>
      <c r="AF106" s="156"/>
      <c r="AG106" s="156"/>
      <c r="AH106" s="156"/>
      <c r="AI106" s="156"/>
      <c r="AJ106" s="156"/>
      <c r="AK106" s="299" t="s">
        <v>270</v>
      </c>
      <c r="AL106" s="23"/>
      <c r="AM106" s="156"/>
      <c r="AN106" s="156"/>
      <c r="AO106" s="156"/>
      <c r="AP106" s="518" t="s">
        <v>437</v>
      </c>
      <c r="AQ106" s="156"/>
      <c r="AR106" s="237"/>
      <c r="AS106" s="38"/>
      <c r="AT106" s="161"/>
      <c r="AU106" s="161"/>
      <c r="AV106" s="258"/>
      <c r="AW106" s="163" t="str">
        <f t="array" ref="AW106">TEXTJOIN(" | ", 1, A107:AT107)</f>
        <v>304 ON 08/02, 01/03, 22/03 | 107 ON 15/02, 22/02, 15/03, 22/03, 5/04, 12/04, 19/04 (ONLINE ON 26/04) | 301 | 303 EXCEPT 22/02</v>
      </c>
      <c r="AX106" s="258"/>
      <c r="AY106" s="258"/>
      <c r="AZ106" s="258"/>
      <c r="BA106" s="258"/>
      <c r="BB106" s="258"/>
      <c r="BC106" s="258"/>
      <c r="BD106" s="258"/>
      <c r="BE106" s="258"/>
      <c r="BF106" s="258"/>
      <c r="BG106" s="258"/>
      <c r="BH106" s="258"/>
      <c r="BI106" s="258"/>
      <c r="BJ106" s="258"/>
      <c r="BK106" s="258"/>
      <c r="BL106" s="258"/>
      <c r="BM106" s="258"/>
      <c r="BN106" s="258"/>
      <c r="BO106" s="258"/>
      <c r="BP106" s="258"/>
      <c r="BQ106" s="258"/>
      <c r="BR106" s="258"/>
      <c r="BS106" s="258"/>
      <c r="BT106" s="258"/>
      <c r="BU106" s="258"/>
      <c r="BV106" s="258"/>
      <c r="BW106" s="258"/>
      <c r="BX106" s="258"/>
      <c r="BY106" s="258"/>
      <c r="BZ106" s="258"/>
      <c r="CA106" s="258"/>
      <c r="CB106" s="258"/>
      <c r="CC106" s="258"/>
      <c r="CD106" s="258"/>
      <c r="CE106" s="258"/>
      <c r="CF106" s="258"/>
      <c r="CG106" s="258"/>
      <c r="CH106" s="258"/>
    </row>
    <row r="107">
      <c r="A107" s="44"/>
      <c r="B107" s="243"/>
      <c r="C107" s="243"/>
      <c r="D107" s="243"/>
      <c r="E107" s="243"/>
      <c r="F107" s="243"/>
      <c r="G107" s="243"/>
      <c r="H107" s="172"/>
      <c r="I107" s="174"/>
      <c r="J107" s="172"/>
      <c r="K107" s="174"/>
      <c r="L107" s="172"/>
      <c r="M107" s="172"/>
      <c r="N107" s="47"/>
      <c r="O107" s="172"/>
      <c r="P107" s="172"/>
      <c r="Q107" s="172"/>
      <c r="R107" s="172"/>
      <c r="S107" s="172"/>
      <c r="T107" s="172"/>
      <c r="U107" s="172"/>
      <c r="V107" s="172"/>
      <c r="W107" s="172"/>
      <c r="X107" s="443" t="s">
        <v>438</v>
      </c>
      <c r="Y107" s="172"/>
      <c r="Z107" s="47"/>
      <c r="AA107" s="172"/>
      <c r="AB107" s="172"/>
      <c r="AC107" s="172"/>
      <c r="AD107" s="510" t="s">
        <v>545</v>
      </c>
      <c r="AE107" s="47"/>
      <c r="AF107" s="172"/>
      <c r="AG107" s="172"/>
      <c r="AH107" s="172"/>
      <c r="AI107" s="172"/>
      <c r="AJ107" s="172"/>
      <c r="AK107" s="304">
        <v>301.0</v>
      </c>
      <c r="AL107" s="47"/>
      <c r="AM107" s="172"/>
      <c r="AN107" s="172"/>
      <c r="AO107" s="172"/>
      <c r="AP107" s="538" t="s">
        <v>546</v>
      </c>
      <c r="AQ107" s="172"/>
      <c r="AR107" s="412"/>
      <c r="AS107" s="44"/>
      <c r="AT107" s="177"/>
      <c r="AU107" s="177"/>
      <c r="AV107" s="164" t="str">
        <f>IFERROR(__xludf.DUMMYFUNCTION("TEXTJOIN("" / "", TRUE, FILTER(TO_TEXT(SPLIT($AZ$4, "" / "")), NOT(REGEXMATCH(TO_TEXT(SPLIT($AZ$4, "" / "")), ""\b"" &amp; TEXTJOIN(""|"", TRUE, SPLIT(AW107, "" / "")) &amp; ""\b""))))"),"101 / 102 / 103 / 104 / 105 / 106 / 108 / 111 / 209 / 300 / 305 / 306 / 307 / 308 / 312 / 313 / 314 / 316 / 317 / 318 / 320 / 321 / 421 / 460 / 461")</f>
        <v>101 / 102 / 103 / 104 / 105 / 106 / 108 / 111 / 209 / 300 / 305 / 306 / 307 / 308 / 312 / 313 / 314 / 316 / 317 / 318 / 320 / 321 / 421 / 460 / 461</v>
      </c>
      <c r="AW107" s="178" t="str">
        <f>IFERROR(__xludf.DUMMYFUNCTION("TEXTJOIN("" / "", 1, SORT(UNIQUE(TRANSPOSE(SPLIT(TRIM(REGEXREPLACE(AW106,""([0-9]{3}[a-zA-Z]?)|."",""$1 "")), "" "")))))"),"107 / 301 / 303 / 304")</f>
        <v>107 / 301 / 303 / 304</v>
      </c>
      <c r="AX107" s="164"/>
      <c r="AY107" s="163"/>
      <c r="AZ107" s="163"/>
      <c r="BA107" s="163"/>
      <c r="BB107" s="163"/>
      <c r="BC107" s="163"/>
      <c r="BD107" s="163"/>
      <c r="BE107" s="163"/>
      <c r="BF107" s="163"/>
      <c r="BG107" s="163"/>
      <c r="BH107" s="163"/>
      <c r="BI107" s="163"/>
      <c r="BJ107" s="163"/>
      <c r="BK107" s="163"/>
      <c r="BL107" s="163"/>
      <c r="BM107" s="163"/>
      <c r="BN107" s="163"/>
      <c r="BO107" s="163"/>
      <c r="BP107" s="163"/>
      <c r="BQ107" s="163"/>
      <c r="BR107" s="163"/>
      <c r="BS107" s="163"/>
      <c r="BT107" s="163"/>
      <c r="BU107" s="163"/>
      <c r="BV107" s="163"/>
      <c r="BW107" s="163"/>
      <c r="BX107" s="163"/>
      <c r="BY107" s="163"/>
      <c r="BZ107" s="163"/>
      <c r="CA107" s="163"/>
      <c r="CB107" s="163"/>
      <c r="CC107" s="163"/>
      <c r="CD107" s="163"/>
      <c r="CE107" s="163"/>
      <c r="CF107" s="163"/>
      <c r="CG107" s="163"/>
      <c r="CH107" s="163"/>
    </row>
    <row r="108">
      <c r="A108" s="152" t="s">
        <v>59</v>
      </c>
      <c r="B108" s="230"/>
      <c r="C108" s="230"/>
      <c r="D108" s="230"/>
      <c r="E108" s="230"/>
      <c r="F108" s="230"/>
      <c r="G108" s="230"/>
      <c r="H108" s="156"/>
      <c r="I108" s="158"/>
      <c r="J108" s="156"/>
      <c r="K108" s="158"/>
      <c r="L108" s="156"/>
      <c r="M108" s="156"/>
      <c r="N108" s="154" t="s">
        <v>172</v>
      </c>
      <c r="O108" s="156"/>
      <c r="P108" s="156"/>
      <c r="Q108" s="156"/>
      <c r="R108" s="156"/>
      <c r="S108" s="156"/>
      <c r="T108" s="156"/>
      <c r="U108" s="156"/>
      <c r="V108" s="156"/>
      <c r="W108" s="156"/>
      <c r="X108" s="156"/>
      <c r="Y108" s="156"/>
      <c r="Z108" s="154" t="s">
        <v>174</v>
      </c>
      <c r="AA108" s="156"/>
      <c r="AB108" s="156"/>
      <c r="AC108" s="156"/>
      <c r="AD108" s="512" t="s">
        <v>389</v>
      </c>
      <c r="AE108" s="512" t="s">
        <v>389</v>
      </c>
      <c r="AF108" s="156"/>
      <c r="AG108" s="156"/>
      <c r="AH108" s="156"/>
      <c r="AI108" s="156"/>
      <c r="AJ108" s="156"/>
      <c r="AK108" s="156"/>
      <c r="AL108" s="154" t="s">
        <v>59</v>
      </c>
      <c r="AM108" s="156"/>
      <c r="AN108" s="156"/>
      <c r="AO108" s="228"/>
      <c r="AP108" s="156"/>
      <c r="AQ108" s="156"/>
      <c r="AR108" s="232"/>
      <c r="AS108" s="152" t="s">
        <v>59</v>
      </c>
      <c r="AT108" s="161"/>
      <c r="AU108" s="161"/>
      <c r="AV108" s="258"/>
      <c r="AW108" s="258"/>
      <c r="AX108" s="258"/>
      <c r="AY108" s="258"/>
      <c r="AZ108" s="258"/>
      <c r="BA108" s="258"/>
      <c r="BB108" s="258"/>
      <c r="BC108" s="258"/>
      <c r="BD108" s="258"/>
      <c r="BE108" s="258"/>
      <c r="BF108" s="258"/>
      <c r="BG108" s="258"/>
      <c r="BH108" s="258"/>
      <c r="BI108" s="258"/>
      <c r="BJ108" s="258"/>
      <c r="BK108" s="258"/>
      <c r="BL108" s="258"/>
      <c r="BM108" s="258"/>
      <c r="BN108" s="258"/>
      <c r="BO108" s="258"/>
      <c r="BP108" s="258"/>
      <c r="BQ108" s="258"/>
      <c r="BR108" s="258"/>
      <c r="BS108" s="258"/>
      <c r="BT108" s="258"/>
      <c r="BU108" s="258"/>
      <c r="BV108" s="258"/>
      <c r="BW108" s="258"/>
      <c r="BX108" s="258"/>
      <c r="BY108" s="258"/>
      <c r="BZ108" s="258"/>
      <c r="CA108" s="258"/>
      <c r="CB108" s="258"/>
      <c r="CC108" s="258"/>
      <c r="CD108" s="258"/>
      <c r="CE108" s="258"/>
      <c r="CF108" s="258"/>
      <c r="CG108" s="258"/>
      <c r="CH108" s="258"/>
    </row>
    <row r="109">
      <c r="A109" s="38"/>
      <c r="B109" s="230"/>
      <c r="C109" s="230"/>
      <c r="D109" s="230"/>
      <c r="E109" s="230"/>
      <c r="F109" s="230"/>
      <c r="G109" s="230"/>
      <c r="H109" s="156"/>
      <c r="I109" s="393"/>
      <c r="J109" s="156"/>
      <c r="K109" s="393"/>
      <c r="L109" s="156"/>
      <c r="M109" s="156"/>
      <c r="N109" s="23"/>
      <c r="O109" s="156"/>
      <c r="P109" s="156"/>
      <c r="Q109" s="156"/>
      <c r="R109" s="156"/>
      <c r="S109" s="156"/>
      <c r="T109" s="156"/>
      <c r="U109" s="156"/>
      <c r="V109" s="156"/>
      <c r="W109" s="156"/>
      <c r="X109" s="156"/>
      <c r="Y109" s="156"/>
      <c r="Z109" s="23"/>
      <c r="AA109" s="156"/>
      <c r="AB109" s="156"/>
      <c r="AC109" s="156"/>
      <c r="AD109" s="513" t="s">
        <v>387</v>
      </c>
      <c r="AE109" s="513" t="s">
        <v>390</v>
      </c>
      <c r="AF109" s="156"/>
      <c r="AG109" s="156"/>
      <c r="AH109" s="156"/>
      <c r="AI109" s="156"/>
      <c r="AJ109" s="156"/>
      <c r="AK109" s="156"/>
      <c r="AL109" s="23"/>
      <c r="AM109" s="156"/>
      <c r="AN109" s="156"/>
      <c r="AO109" s="161"/>
      <c r="AP109" s="156"/>
      <c r="AQ109" s="156"/>
      <c r="AR109" s="237"/>
      <c r="AS109" s="38"/>
      <c r="AT109" s="161"/>
      <c r="AU109" s="161"/>
      <c r="AV109" s="258"/>
      <c r="AW109" s="163"/>
      <c r="AX109" s="258"/>
      <c r="AY109" s="258"/>
      <c r="AZ109" s="258"/>
      <c r="BA109" s="258"/>
      <c r="BB109" s="258"/>
      <c r="BC109" s="258"/>
      <c r="BD109" s="258"/>
      <c r="BE109" s="258"/>
      <c r="BF109" s="258"/>
      <c r="BG109" s="258"/>
      <c r="BH109" s="258"/>
      <c r="BI109" s="258"/>
      <c r="BJ109" s="258"/>
      <c r="BK109" s="258"/>
      <c r="BL109" s="258"/>
      <c r="BM109" s="258"/>
      <c r="BN109" s="258"/>
      <c r="BO109" s="258"/>
      <c r="BP109" s="258"/>
      <c r="BQ109" s="258"/>
      <c r="BR109" s="258"/>
      <c r="BS109" s="258"/>
      <c r="BT109" s="258"/>
      <c r="BU109" s="258"/>
      <c r="BV109" s="258"/>
      <c r="BW109" s="258"/>
      <c r="BX109" s="258"/>
      <c r="BY109" s="258"/>
      <c r="BZ109" s="258"/>
      <c r="CA109" s="258"/>
      <c r="CB109" s="258"/>
      <c r="CC109" s="258"/>
      <c r="CD109" s="258"/>
      <c r="CE109" s="258"/>
      <c r="CF109" s="258"/>
      <c r="CG109" s="258"/>
      <c r="CH109" s="258"/>
    </row>
    <row r="110">
      <c r="A110" s="44"/>
      <c r="B110" s="243"/>
      <c r="C110" s="243"/>
      <c r="D110" s="243"/>
      <c r="E110" s="243"/>
      <c r="F110" s="243"/>
      <c r="G110" s="243"/>
      <c r="H110" s="172"/>
      <c r="I110" s="174"/>
      <c r="J110" s="172"/>
      <c r="K110" s="174"/>
      <c r="L110" s="172"/>
      <c r="M110" s="172"/>
      <c r="N110" s="47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47"/>
      <c r="AA110" s="172"/>
      <c r="AB110" s="172"/>
      <c r="AC110" s="172"/>
      <c r="AD110" s="514" t="s">
        <v>547</v>
      </c>
      <c r="AE110" s="514" t="s">
        <v>548</v>
      </c>
      <c r="AF110" s="172"/>
      <c r="AG110" s="172"/>
      <c r="AH110" s="172"/>
      <c r="AI110" s="172"/>
      <c r="AJ110" s="172"/>
      <c r="AK110" s="172"/>
      <c r="AL110" s="47"/>
      <c r="AM110" s="172"/>
      <c r="AN110" s="172"/>
      <c r="AO110" s="177"/>
      <c r="AP110" s="172"/>
      <c r="AQ110" s="172"/>
      <c r="AR110" s="412"/>
      <c r="AS110" s="44"/>
      <c r="AT110" s="177"/>
      <c r="AU110" s="177"/>
      <c r="AV110" s="163"/>
      <c r="AW110" s="178"/>
      <c r="AX110" s="164"/>
      <c r="AY110" s="163"/>
      <c r="AZ110" s="163"/>
      <c r="BA110" s="163"/>
      <c r="BB110" s="163"/>
      <c r="BC110" s="163"/>
      <c r="BD110" s="163"/>
      <c r="BE110" s="163"/>
      <c r="BF110" s="163"/>
      <c r="BG110" s="163"/>
      <c r="BH110" s="163"/>
      <c r="BI110" s="163"/>
      <c r="BJ110" s="163"/>
      <c r="BK110" s="163"/>
      <c r="BL110" s="163"/>
      <c r="BM110" s="163"/>
      <c r="BN110" s="163"/>
      <c r="BO110" s="163"/>
      <c r="BP110" s="163"/>
      <c r="BQ110" s="163"/>
      <c r="BR110" s="163"/>
      <c r="BS110" s="163"/>
      <c r="BT110" s="163"/>
      <c r="BU110" s="163"/>
      <c r="BV110" s="163"/>
      <c r="BW110" s="163"/>
      <c r="BX110" s="163"/>
      <c r="BY110" s="163"/>
      <c r="BZ110" s="163"/>
      <c r="CA110" s="163"/>
      <c r="CB110" s="163"/>
      <c r="CC110" s="163"/>
      <c r="CD110" s="163"/>
      <c r="CE110" s="163"/>
      <c r="CF110" s="163"/>
      <c r="CG110" s="163"/>
      <c r="CH110" s="163"/>
    </row>
    <row r="111">
      <c r="A111" s="152" t="s">
        <v>64</v>
      </c>
      <c r="B111" s="230"/>
      <c r="C111" s="230"/>
      <c r="D111" s="230"/>
      <c r="E111" s="230"/>
      <c r="F111" s="230"/>
      <c r="G111" s="230"/>
      <c r="H111" s="156"/>
      <c r="I111" s="158"/>
      <c r="J111" s="156"/>
      <c r="K111" s="158"/>
      <c r="L111" s="156"/>
      <c r="M111" s="156"/>
      <c r="N111" s="154" t="s">
        <v>184</v>
      </c>
      <c r="O111" s="156"/>
      <c r="P111" s="156"/>
      <c r="Q111" s="156"/>
      <c r="R111" s="156"/>
      <c r="S111" s="156"/>
      <c r="T111" s="156"/>
      <c r="U111" s="156"/>
      <c r="V111" s="156"/>
      <c r="W111" s="156"/>
      <c r="X111" s="156"/>
      <c r="Y111" s="156"/>
      <c r="Z111" s="154" t="s">
        <v>185</v>
      </c>
      <c r="AA111" s="156"/>
      <c r="AB111" s="156"/>
      <c r="AC111" s="156"/>
      <c r="AD111" s="512" t="s">
        <v>389</v>
      </c>
      <c r="AE111" s="512" t="s">
        <v>389</v>
      </c>
      <c r="AF111" s="156"/>
      <c r="AG111" s="156"/>
      <c r="AH111" s="156"/>
      <c r="AI111" s="156"/>
      <c r="AJ111" s="156"/>
      <c r="AK111" s="156"/>
      <c r="AL111" s="154" t="s">
        <v>64</v>
      </c>
      <c r="AM111" s="156"/>
      <c r="AN111" s="156"/>
      <c r="AO111" s="228"/>
      <c r="AP111" s="156"/>
      <c r="AQ111" s="156"/>
      <c r="AR111" s="156"/>
      <c r="AS111" s="152" t="s">
        <v>64</v>
      </c>
      <c r="AT111" s="161"/>
      <c r="AU111" s="161"/>
      <c r="AV111" s="258"/>
      <c r="AW111" s="258"/>
      <c r="AX111" s="258"/>
      <c r="AY111" s="258"/>
      <c r="AZ111" s="258"/>
      <c r="BA111" s="258"/>
      <c r="BB111" s="258"/>
      <c r="BC111" s="258"/>
      <c r="BD111" s="258"/>
      <c r="BE111" s="258"/>
      <c r="BF111" s="258"/>
      <c r="BG111" s="258"/>
      <c r="BH111" s="258"/>
      <c r="BI111" s="258"/>
      <c r="BJ111" s="258"/>
      <c r="BK111" s="258"/>
      <c r="BL111" s="258"/>
      <c r="BM111" s="258"/>
      <c r="BN111" s="258"/>
      <c r="BO111" s="258"/>
      <c r="BP111" s="258"/>
      <c r="BQ111" s="258"/>
      <c r="BR111" s="258"/>
      <c r="BS111" s="258"/>
      <c r="BT111" s="258"/>
      <c r="BU111" s="258"/>
      <c r="BV111" s="258"/>
      <c r="BW111" s="258"/>
      <c r="BX111" s="258"/>
      <c r="BY111" s="258"/>
      <c r="BZ111" s="258"/>
      <c r="CA111" s="258"/>
      <c r="CB111" s="258"/>
      <c r="CC111" s="258"/>
      <c r="CD111" s="258"/>
      <c r="CE111" s="258"/>
      <c r="CF111" s="258"/>
      <c r="CG111" s="258"/>
      <c r="CH111" s="258"/>
    </row>
    <row r="112">
      <c r="A112" s="38"/>
      <c r="B112" s="230"/>
      <c r="C112" s="230"/>
      <c r="D112" s="230"/>
      <c r="E112" s="230"/>
      <c r="F112" s="230"/>
      <c r="G112" s="230"/>
      <c r="H112" s="156"/>
      <c r="I112" s="393"/>
      <c r="J112" s="156"/>
      <c r="K112" s="393"/>
      <c r="L112" s="156"/>
      <c r="M112" s="156"/>
      <c r="N112" s="23"/>
      <c r="O112" s="156"/>
      <c r="P112" s="156"/>
      <c r="Q112" s="156"/>
      <c r="R112" s="156"/>
      <c r="S112" s="156"/>
      <c r="T112" s="156"/>
      <c r="U112" s="156"/>
      <c r="V112" s="156"/>
      <c r="W112" s="156"/>
      <c r="X112" s="156"/>
      <c r="Y112" s="156"/>
      <c r="Z112" s="23"/>
      <c r="AA112" s="156"/>
      <c r="AB112" s="156"/>
      <c r="AC112" s="156"/>
      <c r="AD112" s="513" t="s">
        <v>387</v>
      </c>
      <c r="AE112" s="513" t="s">
        <v>390</v>
      </c>
      <c r="AF112" s="156"/>
      <c r="AG112" s="156"/>
      <c r="AH112" s="156"/>
      <c r="AI112" s="156"/>
      <c r="AJ112" s="156"/>
      <c r="AK112" s="156"/>
      <c r="AL112" s="23"/>
      <c r="AM112" s="156"/>
      <c r="AN112" s="156"/>
      <c r="AO112" s="161"/>
      <c r="AP112" s="156"/>
      <c r="AQ112" s="156"/>
      <c r="AR112" s="156"/>
      <c r="AS112" s="38"/>
      <c r="AT112" s="161"/>
      <c r="AU112" s="161"/>
      <c r="AV112" s="258"/>
      <c r="AW112" s="163"/>
      <c r="AX112" s="258"/>
      <c r="AY112" s="258"/>
      <c r="AZ112" s="258"/>
      <c r="BA112" s="258"/>
      <c r="BB112" s="258"/>
      <c r="BC112" s="258"/>
      <c r="BD112" s="258"/>
      <c r="BE112" s="258"/>
      <c r="BF112" s="258"/>
      <c r="BG112" s="258"/>
      <c r="BH112" s="258"/>
      <c r="BI112" s="258"/>
      <c r="BJ112" s="258"/>
      <c r="BK112" s="258"/>
      <c r="BL112" s="258"/>
      <c r="BM112" s="258"/>
      <c r="BN112" s="258"/>
      <c r="BO112" s="258"/>
      <c r="BP112" s="258"/>
      <c r="BQ112" s="258"/>
      <c r="BR112" s="258"/>
      <c r="BS112" s="258"/>
      <c r="BT112" s="258"/>
      <c r="BU112" s="258"/>
      <c r="BV112" s="258"/>
      <c r="BW112" s="258"/>
      <c r="BX112" s="258"/>
      <c r="BY112" s="258"/>
      <c r="BZ112" s="258"/>
      <c r="CA112" s="258"/>
      <c r="CB112" s="258"/>
      <c r="CC112" s="258"/>
      <c r="CD112" s="258"/>
      <c r="CE112" s="258"/>
      <c r="CF112" s="258"/>
      <c r="CG112" s="258"/>
      <c r="CH112" s="258"/>
    </row>
    <row r="113">
      <c r="A113" s="44"/>
      <c r="B113" s="243"/>
      <c r="C113" s="243"/>
      <c r="D113" s="243"/>
      <c r="E113" s="243"/>
      <c r="F113" s="243"/>
      <c r="G113" s="243"/>
      <c r="H113" s="172"/>
      <c r="I113" s="174"/>
      <c r="J113" s="172"/>
      <c r="K113" s="174"/>
      <c r="L113" s="172"/>
      <c r="M113" s="172"/>
      <c r="N113" s="47"/>
      <c r="O113" s="172"/>
      <c r="P113" s="172"/>
      <c r="Q113" s="172"/>
      <c r="R113" s="172"/>
      <c r="S113" s="172"/>
      <c r="T113" s="172"/>
      <c r="U113" s="172"/>
      <c r="V113" s="172"/>
      <c r="W113" s="172"/>
      <c r="X113" s="172"/>
      <c r="Y113" s="172"/>
      <c r="Z113" s="47"/>
      <c r="AA113" s="172"/>
      <c r="AB113" s="172"/>
      <c r="AC113" s="172"/>
      <c r="AD113" s="514" t="s">
        <v>549</v>
      </c>
      <c r="AE113" s="514" t="s">
        <v>548</v>
      </c>
      <c r="AF113" s="172"/>
      <c r="AG113" s="172"/>
      <c r="AH113" s="172"/>
      <c r="AI113" s="172"/>
      <c r="AJ113" s="172"/>
      <c r="AK113" s="172"/>
      <c r="AL113" s="47"/>
      <c r="AM113" s="172"/>
      <c r="AN113" s="172"/>
      <c r="AO113" s="177"/>
      <c r="AP113" s="172"/>
      <c r="AQ113" s="172"/>
      <c r="AR113" s="172"/>
      <c r="AS113" s="44"/>
      <c r="AT113" s="177"/>
      <c r="AU113" s="177"/>
      <c r="AV113" s="163"/>
      <c r="AW113" s="178"/>
      <c r="AX113" s="163"/>
      <c r="AY113" s="163"/>
      <c r="AZ113" s="163"/>
      <c r="BA113" s="163"/>
      <c r="BB113" s="163"/>
      <c r="BC113" s="163"/>
      <c r="BD113" s="163"/>
      <c r="BE113" s="163"/>
      <c r="BF113" s="163"/>
      <c r="BG113" s="163"/>
      <c r="BH113" s="163"/>
      <c r="BI113" s="163"/>
      <c r="BJ113" s="163"/>
      <c r="BK113" s="163"/>
      <c r="BL113" s="163"/>
      <c r="BM113" s="163"/>
      <c r="BN113" s="163"/>
      <c r="BO113" s="163"/>
      <c r="BP113" s="163"/>
      <c r="BQ113" s="163"/>
      <c r="BR113" s="163"/>
      <c r="BS113" s="163"/>
      <c r="BT113" s="163"/>
      <c r="BU113" s="163"/>
      <c r="BV113" s="163"/>
      <c r="BW113" s="163"/>
      <c r="BX113" s="163"/>
      <c r="BY113" s="163"/>
      <c r="BZ113" s="163"/>
      <c r="CA113" s="163"/>
      <c r="CB113" s="163"/>
      <c r="CC113" s="163"/>
      <c r="CD113" s="163"/>
      <c r="CE113" s="163"/>
      <c r="CF113" s="163"/>
      <c r="CG113" s="163"/>
      <c r="CH113" s="163"/>
    </row>
    <row r="114">
      <c r="A114" s="152" t="s">
        <v>66</v>
      </c>
      <c r="B114" s="230"/>
      <c r="C114" s="230"/>
      <c r="D114" s="230"/>
      <c r="E114" s="230"/>
      <c r="F114" s="230"/>
      <c r="G114" s="230"/>
      <c r="H114" s="156"/>
      <c r="I114" s="158"/>
      <c r="J114" s="156"/>
      <c r="K114" s="158"/>
      <c r="L114" s="156"/>
      <c r="M114" s="156"/>
      <c r="N114" s="154" t="s">
        <v>191</v>
      </c>
      <c r="O114" s="156"/>
      <c r="P114" s="156"/>
      <c r="Q114" s="156"/>
      <c r="R114" s="156"/>
      <c r="S114" s="156"/>
      <c r="T114" s="156"/>
      <c r="U114" s="156"/>
      <c r="V114" s="156"/>
      <c r="W114" s="156"/>
      <c r="X114" s="156"/>
      <c r="Y114" s="156"/>
      <c r="Z114" s="154" t="s">
        <v>192</v>
      </c>
      <c r="AA114" s="156"/>
      <c r="AB114" s="156"/>
      <c r="AC114" s="156"/>
      <c r="AD114" s="156"/>
      <c r="AE114" s="156"/>
      <c r="AF114" s="156"/>
      <c r="AG114" s="156"/>
      <c r="AH114" s="156"/>
      <c r="AI114" s="156"/>
      <c r="AJ114" s="156"/>
      <c r="AK114" s="156"/>
      <c r="AL114" s="154" t="s">
        <v>66</v>
      </c>
      <c r="AM114" s="156"/>
      <c r="AN114" s="156"/>
      <c r="AO114" s="156"/>
      <c r="AP114" s="156"/>
      <c r="AQ114" s="156"/>
      <c r="AR114" s="156"/>
      <c r="AS114" s="152" t="s">
        <v>66</v>
      </c>
      <c r="AT114" s="161"/>
      <c r="AU114" s="161"/>
      <c r="AV114" s="258"/>
      <c r="AW114" s="258"/>
      <c r="AX114" s="258"/>
      <c r="AY114" s="258"/>
      <c r="AZ114" s="258"/>
      <c r="BA114" s="258"/>
      <c r="BB114" s="258"/>
      <c r="BC114" s="258"/>
      <c r="BD114" s="258"/>
      <c r="BE114" s="258"/>
      <c r="BF114" s="258"/>
      <c r="BG114" s="258"/>
      <c r="BH114" s="258"/>
      <c r="BI114" s="258"/>
      <c r="BJ114" s="258"/>
      <c r="BK114" s="258"/>
      <c r="BL114" s="258"/>
      <c r="BM114" s="258"/>
      <c r="BN114" s="258"/>
      <c r="BO114" s="258"/>
      <c r="BP114" s="258"/>
      <c r="BQ114" s="258"/>
      <c r="BR114" s="258"/>
      <c r="BS114" s="258"/>
      <c r="BT114" s="258"/>
      <c r="BU114" s="258"/>
      <c r="BV114" s="258"/>
      <c r="BW114" s="258"/>
      <c r="BX114" s="258"/>
      <c r="BY114" s="258"/>
      <c r="BZ114" s="258"/>
      <c r="CA114" s="258"/>
      <c r="CB114" s="258"/>
      <c r="CC114" s="258"/>
      <c r="CD114" s="258"/>
      <c r="CE114" s="258"/>
      <c r="CF114" s="258"/>
      <c r="CG114" s="258"/>
      <c r="CH114" s="258"/>
    </row>
    <row r="115">
      <c r="A115" s="38"/>
      <c r="B115" s="230"/>
      <c r="C115" s="230"/>
      <c r="D115" s="230"/>
      <c r="E115" s="230"/>
      <c r="F115" s="230"/>
      <c r="G115" s="230"/>
      <c r="H115" s="156"/>
      <c r="I115" s="393"/>
      <c r="J115" s="156"/>
      <c r="K115" s="393"/>
      <c r="L115" s="156"/>
      <c r="M115" s="156"/>
      <c r="N115" s="23"/>
      <c r="O115" s="156"/>
      <c r="P115" s="156"/>
      <c r="Q115" s="156"/>
      <c r="R115" s="156"/>
      <c r="S115" s="156"/>
      <c r="T115" s="156"/>
      <c r="U115" s="156"/>
      <c r="V115" s="156"/>
      <c r="W115" s="156"/>
      <c r="X115" s="156"/>
      <c r="Y115" s="156"/>
      <c r="Z115" s="23"/>
      <c r="AA115" s="156"/>
      <c r="AB115" s="156"/>
      <c r="AC115" s="156"/>
      <c r="AD115" s="156"/>
      <c r="AE115" s="156"/>
      <c r="AF115" s="156"/>
      <c r="AG115" s="156"/>
      <c r="AH115" s="156"/>
      <c r="AI115" s="156"/>
      <c r="AJ115" s="156"/>
      <c r="AK115" s="156"/>
      <c r="AL115" s="23"/>
      <c r="AM115" s="156"/>
      <c r="AN115" s="156"/>
      <c r="AO115" s="156"/>
      <c r="AP115" s="156"/>
      <c r="AQ115" s="156"/>
      <c r="AR115" s="156"/>
      <c r="AS115" s="38"/>
      <c r="AT115" s="161"/>
      <c r="AU115" s="161"/>
      <c r="AV115" s="258"/>
      <c r="AW115" s="163"/>
      <c r="AX115" s="258"/>
      <c r="AY115" s="258"/>
      <c r="AZ115" s="258"/>
      <c r="BA115" s="258"/>
      <c r="BB115" s="258"/>
      <c r="BC115" s="258"/>
      <c r="BD115" s="258"/>
      <c r="BE115" s="258"/>
      <c r="BF115" s="258"/>
      <c r="BG115" s="258"/>
      <c r="BH115" s="258"/>
      <c r="BI115" s="258"/>
      <c r="BJ115" s="258"/>
      <c r="BK115" s="258"/>
      <c r="BL115" s="258"/>
      <c r="BM115" s="258"/>
      <c r="BN115" s="258"/>
      <c r="BO115" s="258"/>
      <c r="BP115" s="258"/>
      <c r="BQ115" s="258"/>
      <c r="BR115" s="258"/>
      <c r="BS115" s="258"/>
      <c r="BT115" s="258"/>
      <c r="BU115" s="258"/>
      <c r="BV115" s="258"/>
      <c r="BW115" s="258"/>
      <c r="BX115" s="258"/>
      <c r="BY115" s="258"/>
      <c r="BZ115" s="258"/>
      <c r="CA115" s="258"/>
      <c r="CB115" s="258"/>
      <c r="CC115" s="258"/>
      <c r="CD115" s="258"/>
      <c r="CE115" s="258"/>
      <c r="CF115" s="258"/>
      <c r="CG115" s="258"/>
      <c r="CH115" s="258"/>
    </row>
    <row r="116">
      <c r="A116" s="44"/>
      <c r="B116" s="243"/>
      <c r="C116" s="243"/>
      <c r="D116" s="243"/>
      <c r="E116" s="243"/>
      <c r="F116" s="243"/>
      <c r="G116" s="243"/>
      <c r="H116" s="172"/>
      <c r="I116" s="174"/>
      <c r="J116" s="172"/>
      <c r="K116" s="174"/>
      <c r="L116" s="172"/>
      <c r="M116" s="172"/>
      <c r="N116" s="47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47"/>
      <c r="AA116" s="172"/>
      <c r="AB116" s="172"/>
      <c r="AC116" s="172"/>
      <c r="AD116" s="172"/>
      <c r="AE116" s="172"/>
      <c r="AF116" s="172"/>
      <c r="AG116" s="172"/>
      <c r="AH116" s="172"/>
      <c r="AI116" s="172"/>
      <c r="AJ116" s="172"/>
      <c r="AK116" s="172"/>
      <c r="AL116" s="47"/>
      <c r="AM116" s="172"/>
      <c r="AN116" s="172"/>
      <c r="AO116" s="172"/>
      <c r="AP116" s="172"/>
      <c r="AQ116" s="172"/>
      <c r="AR116" s="172"/>
      <c r="AS116" s="44"/>
      <c r="AT116" s="177"/>
      <c r="AU116" s="177"/>
      <c r="AV116" s="163"/>
      <c r="AW116" s="178"/>
      <c r="AX116" s="163"/>
      <c r="AY116" s="163"/>
      <c r="AZ116" s="163"/>
      <c r="BA116" s="163"/>
      <c r="BB116" s="163"/>
      <c r="BC116" s="163"/>
      <c r="BD116" s="163"/>
      <c r="BE116" s="163"/>
      <c r="BF116" s="163"/>
      <c r="BG116" s="163"/>
      <c r="BH116" s="163"/>
      <c r="BI116" s="163"/>
      <c r="BJ116" s="163"/>
      <c r="BK116" s="163"/>
      <c r="BL116" s="163"/>
      <c r="BM116" s="163"/>
      <c r="BN116" s="163"/>
      <c r="BO116" s="163"/>
      <c r="BP116" s="163"/>
      <c r="BQ116" s="163"/>
      <c r="BR116" s="163"/>
      <c r="BS116" s="163"/>
      <c r="BT116" s="163"/>
      <c r="BU116" s="163"/>
      <c r="BV116" s="163"/>
      <c r="BW116" s="163"/>
      <c r="BX116" s="163"/>
      <c r="BY116" s="163"/>
      <c r="BZ116" s="163"/>
      <c r="CA116" s="163"/>
      <c r="CB116" s="163"/>
      <c r="CC116" s="163"/>
      <c r="CD116" s="163"/>
      <c r="CE116" s="163"/>
      <c r="CF116" s="163"/>
      <c r="CG116" s="163"/>
      <c r="CH116" s="163"/>
    </row>
  </sheetData>
  <mergeCells count="374">
    <mergeCell ref="Z42:Z44"/>
    <mergeCell ref="Z45:Z47"/>
    <mergeCell ref="AA45:AE45"/>
    <mergeCell ref="AA46:AE46"/>
    <mergeCell ref="AA47:AE47"/>
    <mergeCell ref="O48:X48"/>
    <mergeCell ref="O49:X49"/>
    <mergeCell ref="O50:X50"/>
    <mergeCell ref="O51:X51"/>
    <mergeCell ref="AF51:AI51"/>
    <mergeCell ref="O52:X52"/>
    <mergeCell ref="AF52:AI52"/>
    <mergeCell ref="O53:X53"/>
    <mergeCell ref="AF53:AI53"/>
    <mergeCell ref="AA33:AC33"/>
    <mergeCell ref="AD33:AE33"/>
    <mergeCell ref="AD34:AE34"/>
    <mergeCell ref="AF34:AI34"/>
    <mergeCell ref="AD35:AE35"/>
    <mergeCell ref="AD36:AE36"/>
    <mergeCell ref="AD37:AE37"/>
    <mergeCell ref="AA27:AE27"/>
    <mergeCell ref="AA28:AE28"/>
    <mergeCell ref="Z29:Z31"/>
    <mergeCell ref="AA29:AE29"/>
    <mergeCell ref="AA30:AE30"/>
    <mergeCell ref="AF32:AI32"/>
    <mergeCell ref="AF33:AI33"/>
    <mergeCell ref="AS35:AS37"/>
    <mergeCell ref="AS38:AS40"/>
    <mergeCell ref="AS42:AS44"/>
    <mergeCell ref="AS45:AS47"/>
    <mergeCell ref="AS48:AS50"/>
    <mergeCell ref="AS51:AS53"/>
    <mergeCell ref="AS54:AS56"/>
    <mergeCell ref="AS57:AS59"/>
    <mergeCell ref="AM39:AN39"/>
    <mergeCell ref="AM40:AN40"/>
    <mergeCell ref="O41:Y41"/>
    <mergeCell ref="AA41:AK41"/>
    <mergeCell ref="AM41:AR41"/>
    <mergeCell ref="AF42:AI42"/>
    <mergeCell ref="AF43:AI43"/>
    <mergeCell ref="AF44:AI44"/>
    <mergeCell ref="AL29:AL31"/>
    <mergeCell ref="AL32:AL34"/>
    <mergeCell ref="AM32:AN32"/>
    <mergeCell ref="AS32:AS34"/>
    <mergeCell ref="AM33:AN33"/>
    <mergeCell ref="AM34:AN34"/>
    <mergeCell ref="AM38:AN38"/>
    <mergeCell ref="AM47:AN47"/>
    <mergeCell ref="AM48:AN48"/>
    <mergeCell ref="O61:S61"/>
    <mergeCell ref="O62:S62"/>
    <mergeCell ref="A13:A15"/>
    <mergeCell ref="A16:A18"/>
    <mergeCell ref="A19:A21"/>
    <mergeCell ref="B22:M22"/>
    <mergeCell ref="A23:A25"/>
    <mergeCell ref="A26:A28"/>
    <mergeCell ref="B26:M26"/>
    <mergeCell ref="A29:A31"/>
    <mergeCell ref="B29:M29"/>
    <mergeCell ref="B30:M30"/>
    <mergeCell ref="B31:M31"/>
    <mergeCell ref="A32:A34"/>
    <mergeCell ref="A35:A37"/>
    <mergeCell ref="B41:M41"/>
    <mergeCell ref="N83:N85"/>
    <mergeCell ref="N86:N88"/>
    <mergeCell ref="N89:N91"/>
    <mergeCell ref="B79:M79"/>
    <mergeCell ref="B80:M80"/>
    <mergeCell ref="A83:A85"/>
    <mergeCell ref="B83:M83"/>
    <mergeCell ref="B84:M84"/>
    <mergeCell ref="B85:M85"/>
    <mergeCell ref="A86:A88"/>
    <mergeCell ref="N29:N31"/>
    <mergeCell ref="N38:N40"/>
    <mergeCell ref="N42:N44"/>
    <mergeCell ref="N45:N47"/>
    <mergeCell ref="N48:N50"/>
    <mergeCell ref="N51:N53"/>
    <mergeCell ref="N54:N56"/>
    <mergeCell ref="N57:N59"/>
    <mergeCell ref="N61:N63"/>
    <mergeCell ref="N64:N66"/>
    <mergeCell ref="N67:N69"/>
    <mergeCell ref="N70:N72"/>
    <mergeCell ref="N73:N75"/>
    <mergeCell ref="N76:N78"/>
    <mergeCell ref="N7:N9"/>
    <mergeCell ref="N10:N12"/>
    <mergeCell ref="N13:N15"/>
    <mergeCell ref="N16:N18"/>
    <mergeCell ref="N19:N21"/>
    <mergeCell ref="N23:N25"/>
    <mergeCell ref="N26:N28"/>
    <mergeCell ref="B4:M4"/>
    <mergeCell ref="B5:M5"/>
    <mergeCell ref="A7:A9"/>
    <mergeCell ref="B7:M7"/>
    <mergeCell ref="B8:M8"/>
    <mergeCell ref="B9:M9"/>
    <mergeCell ref="A10:A12"/>
    <mergeCell ref="B27:M27"/>
    <mergeCell ref="B28:M28"/>
    <mergeCell ref="N32:N34"/>
    <mergeCell ref="N35:N37"/>
    <mergeCell ref="N92:N94"/>
    <mergeCell ref="N95:N97"/>
    <mergeCell ref="B98:M98"/>
    <mergeCell ref="B99:M101"/>
    <mergeCell ref="N99:N101"/>
    <mergeCell ref="N102:N104"/>
    <mergeCell ref="N105:N107"/>
    <mergeCell ref="N108:N110"/>
    <mergeCell ref="N111:N113"/>
    <mergeCell ref="N114:N116"/>
    <mergeCell ref="A111:A113"/>
    <mergeCell ref="A114:A116"/>
    <mergeCell ref="A89:A91"/>
    <mergeCell ref="A92:A94"/>
    <mergeCell ref="A95:A97"/>
    <mergeCell ref="A99:A101"/>
    <mergeCell ref="A102:A104"/>
    <mergeCell ref="A105:A107"/>
    <mergeCell ref="A108:A110"/>
    <mergeCell ref="Z105:Z107"/>
    <mergeCell ref="Z108:Z110"/>
    <mergeCell ref="Z111:Z113"/>
    <mergeCell ref="Z114:Z116"/>
    <mergeCell ref="Z73:Z75"/>
    <mergeCell ref="Z76:Z78"/>
    <mergeCell ref="Z83:Z85"/>
    <mergeCell ref="Z86:Z88"/>
    <mergeCell ref="Z89:Z91"/>
    <mergeCell ref="Z92:Z94"/>
    <mergeCell ref="Z95:Z97"/>
    <mergeCell ref="O60:Y60"/>
    <mergeCell ref="AA60:AK60"/>
    <mergeCell ref="AM60:AR60"/>
    <mergeCell ref="V61:W61"/>
    <mergeCell ref="AD61:AK63"/>
    <mergeCell ref="AL61:AL63"/>
    <mergeCell ref="AS61:AS63"/>
    <mergeCell ref="AF64:AG64"/>
    <mergeCell ref="AH64:AI64"/>
    <mergeCell ref="AS64:AS66"/>
    <mergeCell ref="AF65:AG65"/>
    <mergeCell ref="AH65:AI65"/>
    <mergeCell ref="AF66:AG66"/>
    <mergeCell ref="AH66:AI66"/>
    <mergeCell ref="Z80:Z82"/>
    <mergeCell ref="AL80:AL82"/>
    <mergeCell ref="AS80:AS82"/>
    <mergeCell ref="V62:W62"/>
    <mergeCell ref="O63:S63"/>
    <mergeCell ref="V63:W63"/>
    <mergeCell ref="O79:Y79"/>
    <mergeCell ref="AA79:AK79"/>
    <mergeCell ref="N80:N82"/>
    <mergeCell ref="T80:U80"/>
    <mergeCell ref="AS67:AS69"/>
    <mergeCell ref="AS70:AS72"/>
    <mergeCell ref="AS73:AS75"/>
    <mergeCell ref="AS76:AS78"/>
    <mergeCell ref="AM79:AR79"/>
    <mergeCell ref="AS83:AS85"/>
    <mergeCell ref="AS86:AS88"/>
    <mergeCell ref="O91:W91"/>
    <mergeCell ref="O98:Y98"/>
    <mergeCell ref="AA98:AK98"/>
    <mergeCell ref="AM98:AR98"/>
    <mergeCell ref="O99:Y101"/>
    <mergeCell ref="Z99:Z101"/>
    <mergeCell ref="AA99:AK101"/>
    <mergeCell ref="AL99:AL101"/>
    <mergeCell ref="T81:U81"/>
    <mergeCell ref="T82:U82"/>
    <mergeCell ref="O86:W86"/>
    <mergeCell ref="O87:W87"/>
    <mergeCell ref="O88:W88"/>
    <mergeCell ref="O89:W89"/>
    <mergeCell ref="O90:W90"/>
    <mergeCell ref="AM1:AR1"/>
    <mergeCell ref="AS1:AS2"/>
    <mergeCell ref="A1:A2"/>
    <mergeCell ref="B1:M1"/>
    <mergeCell ref="N1:N2"/>
    <mergeCell ref="O1:Y1"/>
    <mergeCell ref="Z1:Z2"/>
    <mergeCell ref="AA1:AK1"/>
    <mergeCell ref="AL1:AL2"/>
    <mergeCell ref="B3:M3"/>
    <mergeCell ref="O3:Y3"/>
    <mergeCell ref="AA3:AK3"/>
    <mergeCell ref="AM3:AR3"/>
    <mergeCell ref="A4:A6"/>
    <mergeCell ref="N4:N6"/>
    <mergeCell ref="AS4:AS6"/>
    <mergeCell ref="B6:M6"/>
    <mergeCell ref="T8:U8"/>
    <mergeCell ref="V8:W8"/>
    <mergeCell ref="O9:S9"/>
    <mergeCell ref="T9:U9"/>
    <mergeCell ref="AH8:AI8"/>
    <mergeCell ref="AH9:AI9"/>
    <mergeCell ref="AF4:AG4"/>
    <mergeCell ref="AL4:AL6"/>
    <mergeCell ref="AF5:AG5"/>
    <mergeCell ref="AF6:AG6"/>
    <mergeCell ref="AH7:AI7"/>
    <mergeCell ref="AL7:AL9"/>
    <mergeCell ref="AS7:AS9"/>
    <mergeCell ref="O7:S7"/>
    <mergeCell ref="O8:S8"/>
    <mergeCell ref="O10:S10"/>
    <mergeCell ref="O11:S11"/>
    <mergeCell ref="O12:S12"/>
    <mergeCell ref="O4:Y4"/>
    <mergeCell ref="Z4:Z6"/>
    <mergeCell ref="O5:Y5"/>
    <mergeCell ref="O6:Y6"/>
    <mergeCell ref="T7:U7"/>
    <mergeCell ref="V7:W7"/>
    <mergeCell ref="Z7:Z9"/>
    <mergeCell ref="V9:W9"/>
    <mergeCell ref="V10:W10"/>
    <mergeCell ref="Z10:Z12"/>
    <mergeCell ref="AA10:AC10"/>
    <mergeCell ref="AL10:AL12"/>
    <mergeCell ref="AS10:AS12"/>
    <mergeCell ref="AA11:AC11"/>
    <mergeCell ref="AA12:AC12"/>
    <mergeCell ref="Z16:Z18"/>
    <mergeCell ref="Z19:Z21"/>
    <mergeCell ref="O22:Y22"/>
    <mergeCell ref="Z23:Z25"/>
    <mergeCell ref="Z26:Z28"/>
    <mergeCell ref="AS16:AS18"/>
    <mergeCell ref="AS19:AS21"/>
    <mergeCell ref="AS29:AS31"/>
    <mergeCell ref="V11:W11"/>
    <mergeCell ref="V12:W12"/>
    <mergeCell ref="Z13:Z15"/>
    <mergeCell ref="AL13:AL15"/>
    <mergeCell ref="AS13:AS15"/>
    <mergeCell ref="AL16:AL18"/>
    <mergeCell ref="AL19:AL21"/>
    <mergeCell ref="AA22:AK22"/>
    <mergeCell ref="AM22:AR22"/>
    <mergeCell ref="AL23:AL25"/>
    <mergeCell ref="AS23:AS25"/>
    <mergeCell ref="AA26:AE26"/>
    <mergeCell ref="AL26:AL28"/>
    <mergeCell ref="AS26:AS28"/>
    <mergeCell ref="AM49:AN49"/>
    <mergeCell ref="AM50:AN50"/>
    <mergeCell ref="AL35:AL37"/>
    <mergeCell ref="AL38:AL40"/>
    <mergeCell ref="AL42:AL44"/>
    <mergeCell ref="AL45:AL47"/>
    <mergeCell ref="AM45:AN45"/>
    <mergeCell ref="AM46:AN46"/>
    <mergeCell ref="AL48:AL50"/>
    <mergeCell ref="AL51:AL53"/>
    <mergeCell ref="AM51:AN51"/>
    <mergeCell ref="AM52:AN52"/>
    <mergeCell ref="AM53:AN53"/>
    <mergeCell ref="AL54:AL56"/>
    <mergeCell ref="AL57:AL59"/>
    <mergeCell ref="AL64:AL66"/>
    <mergeCell ref="AM86:AN86"/>
    <mergeCell ref="AM87:AN87"/>
    <mergeCell ref="AM88:AN88"/>
    <mergeCell ref="AL67:AL69"/>
    <mergeCell ref="AL70:AL72"/>
    <mergeCell ref="AL73:AL75"/>
    <mergeCell ref="AL76:AL78"/>
    <mergeCell ref="AM83:AN83"/>
    <mergeCell ref="AM84:AN84"/>
    <mergeCell ref="AM85:AN85"/>
    <mergeCell ref="AL108:AL110"/>
    <mergeCell ref="AL111:AL113"/>
    <mergeCell ref="AL114:AL116"/>
    <mergeCell ref="AL83:AL85"/>
    <mergeCell ref="AL86:AL88"/>
    <mergeCell ref="AL89:AL91"/>
    <mergeCell ref="AL92:AL94"/>
    <mergeCell ref="AL95:AL97"/>
    <mergeCell ref="AL102:AL104"/>
    <mergeCell ref="AL105:AL107"/>
    <mergeCell ref="A61:A63"/>
    <mergeCell ref="A64:A66"/>
    <mergeCell ref="A67:A69"/>
    <mergeCell ref="A70:A72"/>
    <mergeCell ref="A73:A75"/>
    <mergeCell ref="A76:A78"/>
    <mergeCell ref="A80:A82"/>
    <mergeCell ref="A38:A40"/>
    <mergeCell ref="A42:A44"/>
    <mergeCell ref="A45:A47"/>
    <mergeCell ref="A48:A50"/>
    <mergeCell ref="A51:A53"/>
    <mergeCell ref="A54:A56"/>
    <mergeCell ref="A57:A59"/>
    <mergeCell ref="B42:M42"/>
    <mergeCell ref="B43:M43"/>
    <mergeCell ref="B44:M44"/>
    <mergeCell ref="B45:M45"/>
    <mergeCell ref="B46:M46"/>
    <mergeCell ref="B47:M47"/>
    <mergeCell ref="B60:M60"/>
    <mergeCell ref="B81:M81"/>
    <mergeCell ref="B82:M82"/>
    <mergeCell ref="B61:M63"/>
    <mergeCell ref="B64:M64"/>
    <mergeCell ref="B65:M65"/>
    <mergeCell ref="B66:M66"/>
    <mergeCell ref="B67:M67"/>
    <mergeCell ref="B68:M68"/>
    <mergeCell ref="B69:M69"/>
    <mergeCell ref="AA31:AE31"/>
    <mergeCell ref="AA32:AC32"/>
    <mergeCell ref="AD32:AE32"/>
    <mergeCell ref="Z32:Z34"/>
    <mergeCell ref="AA34:AC34"/>
    <mergeCell ref="Z35:Z37"/>
    <mergeCell ref="Z38:Z40"/>
    <mergeCell ref="AA42:AE42"/>
    <mergeCell ref="AA43:AE43"/>
    <mergeCell ref="AA44:AE44"/>
    <mergeCell ref="Z48:Z50"/>
    <mergeCell ref="AA48:AC48"/>
    <mergeCell ref="AA49:AC49"/>
    <mergeCell ref="AA50:AC50"/>
    <mergeCell ref="Z51:Z53"/>
    <mergeCell ref="Z54:Z56"/>
    <mergeCell ref="Z57:Z59"/>
    <mergeCell ref="AA68:AE68"/>
    <mergeCell ref="AA69:AE69"/>
    <mergeCell ref="Z61:Z63"/>
    <mergeCell ref="AA61:AC61"/>
    <mergeCell ref="AA62:AC62"/>
    <mergeCell ref="AA63:AC63"/>
    <mergeCell ref="Z64:Z66"/>
    <mergeCell ref="Z67:Z69"/>
    <mergeCell ref="AA67:AE67"/>
    <mergeCell ref="Z70:Z72"/>
    <mergeCell ref="AA70:AE70"/>
    <mergeCell ref="AA71:AE71"/>
    <mergeCell ref="AA72:AE72"/>
    <mergeCell ref="AA73:AE73"/>
    <mergeCell ref="AA74:AE74"/>
    <mergeCell ref="AA75:AE75"/>
    <mergeCell ref="Z102:Z104"/>
    <mergeCell ref="AD102:AE102"/>
    <mergeCell ref="AD103:AE103"/>
    <mergeCell ref="AD104:AE104"/>
    <mergeCell ref="AD105:AE105"/>
    <mergeCell ref="AD106:AE106"/>
    <mergeCell ref="AD107:AE107"/>
    <mergeCell ref="AS111:AS113"/>
    <mergeCell ref="AS114:AS116"/>
    <mergeCell ref="AS89:AS91"/>
    <mergeCell ref="AS92:AS94"/>
    <mergeCell ref="AS95:AS97"/>
    <mergeCell ref="AS99:AS101"/>
    <mergeCell ref="AS102:AS104"/>
    <mergeCell ref="AS105:AS107"/>
    <mergeCell ref="AS108:AS110"/>
  </mergeCells>
  <conditionalFormatting sqref="A1:A21 B1:M1 N1:N21 O1:Y3 Z1:Z18 AA1:AB21 AC1:AC12 AD1:AG21 AH1:AI6 AJ1:AK21 AL1:AL12 AM1:AN21 AO1:AO12 AP1:AP21 AQ1:AQ6 AR1:AR21 AS1:AS12 AT1:AU2 B3:M21 AT4:AU12 X7:X9 Y7:Y21 O10:S12 V10:W12 AI10:AI12 AH13:AH21 AC14:AC15 AO16:AO21 AQ16:AQ21 AS16:AU21 AC17:AC21 AI17:AI18 O19:X21 AI20:AI21 A23:G40 H23:H37 I23:I34 J23:L40 M23:M37 N23:N40 O23:O25 P23:P27 Q23:R25 W23:W24 Z23:Z34 AA23:AH40 AI23:AI34 AJ23:AK40 AL23:AL31 AM23:AN40 AP23:AP40 AQ23:AQ25 AR23:AR40 AS23:AS37 AT23:AU40 V26:W28 X26:X40 Y26:Y34 R29:R30 S29 U29:U40 AO29:AO40 O32:T40 V32:W40 AQ32:AQ37 AL35:AL37 I36:I40 AI36:AI40 Y38:Y40 A42:B59 C42:C56 D42:D59 E42:E56 F42:G59 H42:H56 I42:L59 M42:M53 N42:AE59 AF42:AI56 AJ42:AK59 AM42:AP59 AR42:AR59 AT42:AU56 AL48:AL53 AQ48:AQ56 M57:M59 C58:C59 E58:E59 H58:H59 AI58:AI59 A61:A78 B61:B69 C61:C72 D61:D75 E61:E69 F61:F72 G61:G76 H61:I75 J61:J69 K61:M75 N61:R78 S61:S64 T61:Y78 Z61:Z75 AA61:AG78 AH61:AI75 AJ61:AK78 AL61:AL75 AM61:AO78 AP61:AP75 AQ61:AQ63 AR61:AS78 AT61:AU66 S66:S78 AQ67:AQ75 AT70:AU78 B73:B78 E73:E75 J73:J75 C76:C78 AI77:AI78 AP77:AP78 G78 A80:A97 B80:C94 D80:D91 E80:E90 F80:F87 G80:G94 H80:H91 I80:I97 J80:J94 K80:K91 L80:L85 M80:M88 N80:U97 V80:V95 W80:W92 X80:Y97 Z80:AC88 AF80:AG88 AJ80:AK97 AL80:AL82 AM80:AM91 AN80:AN94 AO80:AO91 AP80:AP97 AQ80:AQ82 AR80:AR97 AS80:AU85 AI84:AI85 AI87:AI88 F89:F94 L89:L97 AS89:AS91 AT89:AU97 AA90:AA91 AC90:AE91 AG90:AI91 E92:E94 M92:M94 AA93:AA94 AC93:AE94 AG93:AI94 AO93:AO97 W94:W97 D95:D97 K95:K97 AQ95:AQ97 H96:H97 AA96:AA97 AC96:AG97 AI96:AI97 V97 A99:B116 C99:C107 D99:D116 E99:E110 F99:H107 I99:I116 J99:J107 K99:W116 X99:X113 Y99:Y116 Z99:AC107 AD99:AE113 AF99:AG101 AH99:AI107 AJ99:AK116 AN100:AO101 AP100:AP107 AR102:AR116 AF103:AG104 AN103:AO104 AF106:AG107 AN106:AN107 AO106:AO113 C109:C113 F109:G110 H109:H113 AA109:AA110 AC109:AC110 AF109:AG110 AN109:AN110 AP109:AP110 J111:J116 AH111:AI116 E112:G113 AA112:AA113 AC112:AC113 AF112:AG113 AN112:AN113 AP112:AP113 C115:C116 E115:H116 AA115:AA116 AC115:AG116 AN115:AP116">
    <cfRule type="expression" dxfId="0" priority="1">
      <formula>REGEXMATCH(A1, "(^\s+)|(\s+$)")</formula>
    </cfRule>
  </conditionalFormatting>
  <conditionalFormatting sqref="A1:A21 B1:M1 N1:N21 O1:Y3 Z1:Z18 AA1:AB21 AC1:AC12 AD1:AG21 AH1:AI6 AJ1:AK21 AL1:AL12 AM1:AN21 AO1:AO12 AP1:AP21 AQ1:AQ6 AR1:AR21 AS1:AS12 AT1:AU2 B3:M21 AT4:AU12 X7:X9 Y7:Y21 O10:S12 V10:W12 AI10:AI12 AH13:AH21 AC14:AC15 AO16:AO21 AQ16:AQ21 AS16:AU21 AC17:AC21 AI17:AI18 O19:X21 AI20:AI21 A23:G40 H23:H37 I23:I34 J23:L40 M23:M37 N23:N40 O23:O25 P23:P27 Q23:R25 W23:W24 Z23:Z34 AA23:AH40 AI23:AI34 AJ23:AK40 AL23:AL31 AM23:AN40 AP23:AP40 AQ23:AQ25 AR23:AR40 AS23:AS37 AT23:AU40 V26:W28 X26:X40 Y26:Y34 R29:R30 S29 U29:U40 AO29:AO40 O32:T40 V32:W40 AQ32:AQ37 AL35:AL37 I36:I40 AI36:AI40 Y38:Y40 A42:B59 C42:C56 D42:D59 E42:E56 F42:G59 H42:H56 I42:L59 M42:M53 N42:AE59 AF42:AI56 AJ42:AK59 AM42:AP59 AR42:AR59 AT42:AU56 AL48:AL53 AQ48:AQ56 M57:M59 C58:C59 E58:E59 H58:H59 AI58:AI59 A61:A78 B61:B69 C61:C72 D61:D75 E61:E69 F61:F72 G61:G76 H61:I75 J61:J69 K61:M75 N61:R78 S61:S64 T61:Y78 Z61:Z75 AA61:AG78 AH61:AI75 AJ61:AK78 AL61:AL75 AM61:AO78 AP61:AP75 AQ61:AQ63 AR61:AS78 AT61:AU66 S66:S78 AQ67:AQ75 AT70:AU78 B73:B78 E73:E75 J73:J75 C76:C78 AI77:AI78 AP77:AP78 G78 A80:A97 B80:C94 D80:D91 E80:E90 F80:F87 G80:G94 H80:H91 I80:I97 J80:J94 K80:K91 L80:L85 M80:M88 N80:U97 V80:V95 W80:W92 X80:Y97 Z80:AC88 AF80:AG88 AJ80:AK97 AL80:AL82 AM80:AM91 AN80:AN94 AO80:AO91 AP80:AP97 AQ80:AQ82 AR80:AR97 AS80:AU85 AI84:AI85 AI87:AI88 F89:F94 L89:L97 AS89:AS91 AT89:AU97 AA90:AA91 AC90:AE91 AG90:AI91 E92:E94 M92:M94 AA93:AA94 AC93:AE94 AG93:AI94 AO93:AO97 W94:W97 D95:D97 K95:K97 AQ95:AQ97 H96:H97 AA96:AA97 AC96:AG97 AI96:AI97 V97 A99:B116 C99:C107 D99:D116 E99:E110 F99:H107 I99:I116 J99:J107 K99:W116 X99:X113 Y99:Y116 Z99:AC107 AD99:AE113 AF99:AG101 AH99:AI107 AJ99:AK116 AN100:AO101 AP100:AP107 AR102:AR116 AF103:AG104 AN103:AO104 AF106:AG107 AN106:AN107 AO106:AO113 C109:C113 F109:G110 H109:H113 AA109:AA110 AC109:AC110 AF109:AG110 AN109:AN110 AP109:AP110 J111:J116 AH111:AI116 E112:G113 AA112:AA113 AC112:AC113 AF112:AG113 AN112:AN113 AP112:AP113 C115:C116 E115:H116 AA115:AA116 AC115:AG116 AN115:AP116">
    <cfRule type="expression" dxfId="0" priority="2">
      <formula>REGEXMATCH(A1, "[а-яА-Я]")</formula>
    </cfRule>
  </conditionalFormatting>
  <conditionalFormatting sqref="A1:A21 B1:M1 N1:N21 O1:Y3 Z1:Z18 AA1:AB21 AC1:AC12 AD1:AG21 AH1:AI6 AJ1:AK21 AL1:AL12 AM1:AN21 AO1:AO12 AP1:AP21 AQ1:AQ6 AR1:AR21 AS1:AS12 AT1:AU2 B3:M21 AT4:AU12 X7:X9 Y7:Y21 O10:S12 V10:W12 AI10:AI12 AH13:AH21 AC14:AC15 AO16:AO21 AQ16:AQ21 AS16:AU21 AC17:AC21 AI17:AI18 O19:X21 AI20:AI21 A23:G40 H23:H37 I23:I34 J23:L40 M23:M37 N23:N40 O23:O25 P23:P27 Q23:R25 W23:W24 Z23:Z34 AA23:AH40 AI23:AI34 AJ23:AK40 AL23:AL31 AM23:AN40 AP23:AP40 AQ23:AQ25 AR23:AR40 AS23:AS37 AT23:AU40 V26:W28 X26:X40 Y26:Y34 R29:R30 S29 U29:U40 AO29:AO40 O32:T40 V32:W40 AQ32:AQ37 AL35:AL37 I36:I40 AI36:AI40 Y38:Y40 A42:B59 C42:C56 D42:D59 E42:E56 F42:G59 H42:H56 I42:L59 M42:M53 N42:AE59 AF42:AI56 AJ42:AK59 AM42:AP59 AR42:AR59 AT42:AU56 AL48:AL53 AQ48:AQ56 M57:M59 C58:C59 E58:E59 H58:H59 AI58:AI59 A61:A78 B61:B69 C61:C72 D61:D75 E61:E69 F61:F72 G61:G76 H61:I75 J61:J69 K61:M75 N61:R78 S61:S64 T61:Y78 Z61:Z75 AA61:AG78 AH61:AI75 AJ61:AK78 AL61:AL75 AM61:AO78 AP61:AP75 AQ61:AQ63 AR61:AS78 AT61:AU66 S66:S78 AQ67:AQ75 AT70:AU78 B73:B78 E73:E75 J73:J75 C76:C78 AI77:AI78 AP77:AP78 G78 A80:A97 B80:C94 D80:D91 E80:E90 F80:F87 G80:G94 H80:H91 I80:I97 J80:J94 K80:K91 L80:L85 M80:M88 N80:U97 V80:V95 W80:W92 X80:Y97 Z80:AC88 AF80:AG88 AJ80:AK97 AL80:AL82 AM80:AM91 AN80:AN94 AO80:AO91 AP80:AP97 AQ80:AQ82 AR80:AR97 AS80:AU85 AI84:AI85 AI87:AI88 F89:F94 L89:L97 AS89:AS91 AT89:AU97 AA90:AA91 AC90:AE91 AG90:AI91 E92:E94 M92:M94 AA93:AA94 AC93:AE94 AG93:AI94 AO93:AO97 W94:W97 D95:D97 K95:K97 AQ95:AQ97 H96:H97 AA96:AA97 AC96:AG97 AI96:AI97 V97 A99:B116 C99:C107 D99:D116 E99:E110 F99:H107 I99:I116 J99:J107 K99:W116 X99:X113 Y99:Y116 Z99:AC107 AD99:AE113 AF99:AG101 AH99:AI107 AJ99:AK116 AN100:AO101 AP100:AP107 AR102:AR116 AF103:AG104 AN103:AO104 AF106:AG107 AN106:AN107 AO106:AO113 C109:C113 F109:G110 H109:H113 AA109:AA110 AC109:AC110 AF109:AG110 AN109:AN110 AP109:AP110 J111:J116 AH111:AI116 E112:G113 AA112:AA113 AC112:AC113 AF112:AG113 AN112:AN113 AP112:AP113 C115:C116 E115:H116 AA115:AA116 AC115:AG116 AN115:AP116">
    <cfRule type="expression" dxfId="0" priority="3">
      <formula>REGEXMATCH(A1, "\s{2,}")</formula>
    </cfRule>
  </conditionalFormatting>
  <conditionalFormatting sqref="A1:A21 B1:M1 N1:N21 O1:Y3 Z1:Z18 AA1:AB21 AC1:AC12 AD1:AG21 AH1:AI6 AJ1:AK21 AL1:AL12 AM1:AN21 AO1:AO12 AP1:AP21 AQ1:AQ6 AR1:AR21 AS1:AS12 AT1:AU2 B3:M21 AT4:AU12 X7:X9 Y7:Y21 O10:S12 V10:W12 AI10:AI12 AH13:AH21 AC14:AC15 AO16:AO21 AQ16:AQ21 AS16:AU21 AC17:AC21 AI17:AI18 O19:X21 AI20:AI21 A23:G40 H23:H37 I23:I34 J23:L40 M23:M37 N23:N40 O23:O25 P23:P27 Q23:R25 W23:W24 Z23:Z34 AA23:AH40 AI23:AI34 AJ23:AK40 AL23:AL31 AM23:AN40 AP23:AP40 AQ23:AQ25 AR23:AR40 AS23:AS37 AT23:AU40 V26:W28 X26:X40 Y26:Y34 R29:R30 S29 U29:U40 AO29:AO40 O32:T40 V32:W40 AQ32:AQ37 AL35:AL37 I36:I40 AI36:AI40 Y38:Y40 A42:B59 C42:C56 D42:D59 E42:E56 F42:G59 H42:H56 I42:L59 M42:M53 N42:AE59 AF42:AI56 AJ42:AK59 AM42:AP59 AR42:AR59 AT42:AU56 AL48:AL53 AQ48:AQ56 M57:M59 C58:C59 E58:E59 H58:H59 AI58:AI59 A61:A78 B61:B69 C61:C72 D61:D75 E61:E69 F61:F72 G61:G76 H61:I75 J61:J69 K61:M75 N61:R78 S61:S64 T61:Y78 Z61:Z75 AA61:AG78 AH61:AI75 AJ61:AK78 AL61:AL75 AM61:AO78 AP61:AP75 AQ61:AQ63 AR61:AS78 AT61:AU66 S66:S78 AQ67:AQ75 AT70:AU78 B73:B78 E73:E75 J73:J75 C76:C78 AI77:AI78 AP77:AP78 G78 A80:A97 B80:C94 D80:D91 E80:E90 F80:F87 G80:G94 H80:H91 I80:I97 J80:J94 K80:K91 L80:L85 M80:M88 N80:U97 V80:V95 W80:W92 X80:Y97 Z80:AC88 AF80:AG88 AJ80:AK97 AL80:AL82 AM80:AM91 AN80:AN94 AO80:AO91 AP80:AP97 AQ80:AQ82 AR80:AR97 AS80:AU85 AI84:AI85 AI87:AI88 F89:F94 L89:L97 AS89:AS91 AT89:AU97 AA90:AA91 AC90:AE91 AG90:AI91 E92:E94 M92:M94 AA93:AA94 AC93:AE94 AG93:AI94 AO93:AO97 W94:W97 D95:D97 K95:K97 AQ95:AQ97 H96:H97 AA96:AA97 AC96:AG97 AI96:AI97 V97 A99:B116 C99:C107 D99:D116 E99:E110 F99:H107 I99:I116 J99:J107 K99:W116 X99:X113 Y99:Y116 Z99:AC107 AD99:AE113 AF99:AG101 AH99:AI107 AJ99:AK116 AN100:AO101 AP100:AP107 AR102:AR116 AF103:AG104 AN103:AO104 AF106:AG107 AN106:AN107 AO106:AO113 C109:C113 F109:G110 H109:H113 AA109:AA110 AC109:AC110 AF109:AG110 AN109:AN110 AP109:AP110 J111:J116 AH111:AI116 E112:G113 AA112:AA113 AC112:AC113 AF112:AG113 AN112:AN113 AP112:AP113 C115:C116 E115:H116 AA115:AA116 AC115:AG116 AN115:AP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2" width="23.75"/>
    <col customWidth="1" min="3" max="12" width="22.38"/>
  </cols>
  <sheetData>
    <row r="1">
      <c r="A1" s="136"/>
      <c r="B1" s="137" t="s">
        <v>1</v>
      </c>
      <c r="C1" s="3"/>
      <c r="D1" s="3"/>
      <c r="E1" s="3"/>
      <c r="F1" s="3"/>
      <c r="G1" s="3"/>
      <c r="H1" s="3"/>
      <c r="I1" s="3"/>
      <c r="J1" s="3"/>
      <c r="K1" s="3"/>
      <c r="L1" s="4"/>
    </row>
    <row r="2">
      <c r="A2" s="47"/>
      <c r="B2" s="144" t="s">
        <v>20</v>
      </c>
      <c r="C2" s="144" t="s">
        <v>21</v>
      </c>
      <c r="D2" s="144" t="s">
        <v>22</v>
      </c>
      <c r="E2" s="144" t="s">
        <v>23</v>
      </c>
      <c r="F2" s="144" t="s">
        <v>24</v>
      </c>
      <c r="G2" s="144" t="s">
        <v>25</v>
      </c>
      <c r="H2" s="144" t="s">
        <v>26</v>
      </c>
      <c r="I2" s="144" t="s">
        <v>27</v>
      </c>
      <c r="J2" s="144" t="s">
        <v>28</v>
      </c>
      <c r="K2" s="144" t="s">
        <v>29</v>
      </c>
      <c r="L2" s="144" t="s">
        <v>30</v>
      </c>
    </row>
    <row r="3">
      <c r="A3" s="149" t="s">
        <v>38</v>
      </c>
      <c r="B3" s="148"/>
      <c r="C3" s="46"/>
      <c r="D3" s="46"/>
      <c r="E3" s="46"/>
      <c r="F3" s="46"/>
      <c r="G3" s="46"/>
      <c r="H3" s="46"/>
      <c r="I3" s="46"/>
      <c r="J3" s="46"/>
      <c r="K3" s="46"/>
      <c r="L3" s="47"/>
    </row>
    <row r="4">
      <c r="A4" s="154" t="s">
        <v>128</v>
      </c>
      <c r="B4" s="155" t="s">
        <v>129</v>
      </c>
      <c r="L4" s="23"/>
    </row>
    <row r="5">
      <c r="A5" s="23"/>
      <c r="B5" s="166" t="s">
        <v>135</v>
      </c>
      <c r="L5" s="23"/>
    </row>
    <row r="6">
      <c r="A6" s="47"/>
      <c r="B6" s="171" t="s">
        <v>137</v>
      </c>
      <c r="C6" s="46"/>
      <c r="D6" s="46"/>
      <c r="E6" s="46"/>
      <c r="F6" s="46"/>
      <c r="G6" s="46"/>
      <c r="H6" s="46"/>
      <c r="I6" s="46"/>
      <c r="J6" s="46"/>
      <c r="K6" s="46"/>
      <c r="L6" s="47"/>
    </row>
    <row r="7">
      <c r="A7" s="154" t="s">
        <v>139</v>
      </c>
      <c r="B7" s="179" t="s">
        <v>140</v>
      </c>
      <c r="F7" s="23"/>
      <c r="G7" s="180" t="s">
        <v>141</v>
      </c>
      <c r="H7" s="23"/>
      <c r="I7" s="181" t="s">
        <v>142</v>
      </c>
      <c r="J7" s="23"/>
      <c r="K7" s="182" t="s">
        <v>143</v>
      </c>
      <c r="L7" s="183" t="s">
        <v>144</v>
      </c>
    </row>
    <row r="8">
      <c r="A8" s="23"/>
      <c r="B8" s="187" t="s">
        <v>79</v>
      </c>
      <c r="F8" s="23"/>
      <c r="G8" s="188" t="s">
        <v>45</v>
      </c>
      <c r="H8" s="23"/>
      <c r="I8" s="189" t="s">
        <v>149</v>
      </c>
      <c r="J8" s="23"/>
      <c r="K8" s="190" t="s">
        <v>150</v>
      </c>
      <c r="L8" s="191" t="s">
        <v>151</v>
      </c>
    </row>
    <row r="9">
      <c r="A9" s="47"/>
      <c r="B9" s="196">
        <v>105.0</v>
      </c>
      <c r="C9" s="46"/>
      <c r="D9" s="46"/>
      <c r="E9" s="46"/>
      <c r="F9" s="47"/>
      <c r="G9" s="197">
        <v>106.0</v>
      </c>
      <c r="H9" s="47"/>
      <c r="I9" s="198" t="s">
        <v>137</v>
      </c>
      <c r="J9" s="47"/>
      <c r="K9" s="199">
        <v>103.0</v>
      </c>
      <c r="L9" s="200">
        <v>321.0</v>
      </c>
    </row>
    <row r="10">
      <c r="A10" s="154" t="s">
        <v>158</v>
      </c>
      <c r="B10" s="156"/>
      <c r="C10" s="227"/>
      <c r="D10" s="156"/>
      <c r="E10" s="143"/>
      <c r="F10" s="228"/>
      <c r="G10" s="159"/>
      <c r="H10" s="210" t="s">
        <v>160</v>
      </c>
      <c r="I10" s="156"/>
      <c r="J10" s="156"/>
      <c r="K10" s="156"/>
      <c r="L10" s="183" t="s">
        <v>161</v>
      </c>
    </row>
    <row r="11">
      <c r="A11" s="23"/>
      <c r="B11" s="156"/>
      <c r="C11" s="234"/>
      <c r="D11" s="156"/>
      <c r="E11" s="143"/>
      <c r="F11" s="161"/>
      <c r="G11" s="159"/>
      <c r="H11" s="216" t="s">
        <v>170</v>
      </c>
      <c r="I11" s="156"/>
      <c r="J11" s="156"/>
      <c r="K11" s="156"/>
      <c r="L11" s="217" t="s">
        <v>151</v>
      </c>
    </row>
    <row r="12">
      <c r="A12" s="47"/>
      <c r="B12" s="241"/>
      <c r="C12" s="240"/>
      <c r="D12" s="241"/>
      <c r="E12" s="143"/>
      <c r="F12" s="242"/>
      <c r="G12" s="175"/>
      <c r="H12" s="224">
        <v>320.0</v>
      </c>
      <c r="I12" s="172"/>
      <c r="J12" s="241"/>
      <c r="K12" s="172"/>
      <c r="L12" s="200">
        <v>321.0</v>
      </c>
    </row>
    <row r="13">
      <c r="A13" s="154" t="s">
        <v>172</v>
      </c>
      <c r="B13" s="227"/>
      <c r="C13" s="156"/>
      <c r="D13" s="156"/>
      <c r="E13" s="228"/>
      <c r="F13" s="227"/>
      <c r="G13" s="229" t="s">
        <v>160</v>
      </c>
      <c r="H13" s="230"/>
      <c r="I13" s="227"/>
      <c r="J13" s="227"/>
      <c r="K13" s="156"/>
      <c r="L13" s="183" t="s">
        <v>173</v>
      </c>
    </row>
    <row r="14">
      <c r="A14" s="23"/>
      <c r="B14" s="234"/>
      <c r="C14" s="156"/>
      <c r="D14" s="156"/>
      <c r="E14" s="161"/>
      <c r="F14" s="234"/>
      <c r="G14" s="216" t="s">
        <v>170</v>
      </c>
      <c r="H14" s="230"/>
      <c r="I14" s="234"/>
      <c r="J14" s="234"/>
      <c r="K14" s="156"/>
      <c r="L14" s="217" t="s">
        <v>151</v>
      </c>
    </row>
    <row r="15">
      <c r="A15" s="47"/>
      <c r="B15" s="240"/>
      <c r="C15" s="172"/>
      <c r="D15" s="241"/>
      <c r="E15" s="242"/>
      <c r="F15" s="240"/>
      <c r="G15" s="224">
        <v>320.0</v>
      </c>
      <c r="H15" s="243"/>
      <c r="I15" s="240"/>
      <c r="J15" s="240"/>
      <c r="K15" s="172"/>
      <c r="L15" s="200">
        <v>321.0</v>
      </c>
    </row>
    <row r="16">
      <c r="A16" s="154" t="s">
        <v>184</v>
      </c>
      <c r="B16" s="156"/>
      <c r="C16" s="156"/>
      <c r="D16" s="227"/>
      <c r="E16" s="156"/>
      <c r="F16" s="156"/>
      <c r="G16" s="156"/>
      <c r="H16" s="156"/>
      <c r="I16" s="230"/>
      <c r="J16" s="156"/>
      <c r="K16" s="156"/>
      <c r="L16" s="156"/>
    </row>
    <row r="17">
      <c r="A17" s="23"/>
      <c r="B17" s="156"/>
      <c r="C17" s="156"/>
      <c r="D17" s="234"/>
      <c r="E17" s="156"/>
      <c r="F17" s="156"/>
      <c r="G17" s="156"/>
      <c r="H17" s="156"/>
      <c r="I17" s="230"/>
      <c r="J17" s="156"/>
      <c r="K17" s="156"/>
      <c r="L17" s="156"/>
    </row>
    <row r="18">
      <c r="A18" s="47"/>
      <c r="B18" s="172"/>
      <c r="C18" s="172"/>
      <c r="D18" s="240"/>
      <c r="E18" s="172"/>
      <c r="F18" s="241"/>
      <c r="G18" s="172"/>
      <c r="H18" s="172"/>
      <c r="I18" s="243"/>
      <c r="J18" s="241"/>
      <c r="K18" s="172"/>
      <c r="L18" s="172"/>
    </row>
    <row r="19">
      <c r="A19" s="154" t="s">
        <v>191</v>
      </c>
      <c r="B19" s="156"/>
      <c r="C19" s="156"/>
      <c r="D19" s="156"/>
      <c r="E19" s="156"/>
      <c r="F19" s="156"/>
      <c r="G19" s="156"/>
      <c r="H19" s="156"/>
      <c r="I19" s="156"/>
      <c r="J19" s="156"/>
      <c r="K19" s="156"/>
      <c r="L19" s="156"/>
    </row>
    <row r="20">
      <c r="A20" s="23"/>
      <c r="B20" s="156"/>
      <c r="C20" s="156"/>
      <c r="D20" s="156"/>
      <c r="E20" s="156"/>
      <c r="F20" s="156"/>
      <c r="G20" s="156"/>
      <c r="H20" s="156"/>
      <c r="I20" s="156"/>
      <c r="J20" s="156"/>
      <c r="K20" s="156"/>
      <c r="L20" s="156"/>
    </row>
    <row r="21">
      <c r="A21" s="47"/>
      <c r="B21" s="241"/>
      <c r="C21" s="172"/>
      <c r="D21" s="172"/>
      <c r="E21" s="172"/>
      <c r="F21" s="172"/>
      <c r="G21" s="172"/>
      <c r="H21" s="172"/>
      <c r="I21" s="172"/>
      <c r="J21" s="172"/>
      <c r="K21" s="172"/>
      <c r="L21" s="172"/>
    </row>
    <row r="22">
      <c r="A22" s="149" t="s">
        <v>74</v>
      </c>
      <c r="B22" s="148"/>
      <c r="C22" s="46"/>
      <c r="D22" s="46"/>
      <c r="E22" s="46"/>
      <c r="F22" s="46"/>
      <c r="G22" s="46"/>
      <c r="H22" s="46"/>
      <c r="I22" s="46"/>
      <c r="J22" s="46"/>
      <c r="K22" s="46"/>
      <c r="L22" s="47"/>
    </row>
    <row r="23">
      <c r="A23" s="154" t="s">
        <v>128</v>
      </c>
      <c r="B23" s="156"/>
      <c r="C23" s="182" t="s">
        <v>143</v>
      </c>
      <c r="D23" s="156"/>
      <c r="E23" s="182" t="s">
        <v>143</v>
      </c>
      <c r="F23" s="231" t="s">
        <v>196</v>
      </c>
      <c r="G23" s="156"/>
      <c r="H23" s="156"/>
      <c r="I23" s="156"/>
      <c r="J23" s="156"/>
      <c r="K23" s="156"/>
      <c r="L23" s="156"/>
    </row>
    <row r="24">
      <c r="A24" s="23"/>
      <c r="B24" s="156"/>
      <c r="C24" s="259" t="s">
        <v>200</v>
      </c>
      <c r="D24" s="156"/>
      <c r="E24" s="260" t="s">
        <v>170</v>
      </c>
      <c r="F24" s="261" t="s">
        <v>201</v>
      </c>
      <c r="G24" s="156"/>
      <c r="H24" s="156"/>
      <c r="I24" s="156"/>
      <c r="J24" s="156"/>
      <c r="K24" s="156"/>
      <c r="L24" s="156"/>
    </row>
    <row r="25">
      <c r="A25" s="47"/>
      <c r="B25" s="172"/>
      <c r="C25" s="520">
        <v>308.0</v>
      </c>
      <c r="D25" s="172"/>
      <c r="E25" s="520">
        <v>318.0</v>
      </c>
      <c r="F25" s="244">
        <v>461.0</v>
      </c>
      <c r="G25" s="241"/>
      <c r="H25" s="241"/>
      <c r="I25" s="241"/>
      <c r="J25" s="241"/>
      <c r="K25" s="241"/>
      <c r="L25" s="241"/>
    </row>
    <row r="26">
      <c r="A26" s="154" t="s">
        <v>139</v>
      </c>
      <c r="B26" s="231" t="s">
        <v>196</v>
      </c>
      <c r="C26" s="156"/>
      <c r="D26" s="182" t="s">
        <v>143</v>
      </c>
      <c r="E26" s="231" t="s">
        <v>196</v>
      </c>
      <c r="F26" s="182" t="s">
        <v>143</v>
      </c>
      <c r="G26" s="158"/>
      <c r="H26" s="269"/>
      <c r="I26" s="182" t="s">
        <v>143</v>
      </c>
      <c r="J26" s="270" t="s">
        <v>206</v>
      </c>
      <c r="K26" s="271" t="s">
        <v>207</v>
      </c>
      <c r="L26" s="521" t="s">
        <v>401</v>
      </c>
    </row>
    <row r="27">
      <c r="A27" s="23"/>
      <c r="B27" s="261" t="s">
        <v>201</v>
      </c>
      <c r="C27" s="156"/>
      <c r="D27" s="259" t="s">
        <v>200</v>
      </c>
      <c r="E27" s="279" t="s">
        <v>216</v>
      </c>
      <c r="F27" s="260" t="s">
        <v>170</v>
      </c>
      <c r="G27" s="154"/>
      <c r="H27" s="168"/>
      <c r="I27" s="260" t="s">
        <v>152</v>
      </c>
      <c r="J27" s="239" t="s">
        <v>217</v>
      </c>
      <c r="K27" s="280" t="s">
        <v>218</v>
      </c>
      <c r="L27" s="281" t="s">
        <v>99</v>
      </c>
    </row>
    <row r="28">
      <c r="A28" s="47"/>
      <c r="B28" s="244">
        <v>461.0</v>
      </c>
      <c r="C28" s="172"/>
      <c r="D28" s="520">
        <v>308.0</v>
      </c>
      <c r="E28" s="244">
        <v>300.0</v>
      </c>
      <c r="F28" s="520">
        <v>318.0</v>
      </c>
      <c r="G28" s="174"/>
      <c r="H28" s="287"/>
      <c r="I28" s="199">
        <v>304.0</v>
      </c>
      <c r="J28" s="288">
        <v>104.0</v>
      </c>
      <c r="K28" s="289">
        <v>102.0</v>
      </c>
      <c r="L28" s="290">
        <v>103.0</v>
      </c>
    </row>
    <row r="29">
      <c r="A29" s="154" t="s">
        <v>158</v>
      </c>
      <c r="B29" s="182" t="s">
        <v>143</v>
      </c>
      <c r="C29" s="231" t="s">
        <v>196</v>
      </c>
      <c r="D29" s="231" t="s">
        <v>196</v>
      </c>
      <c r="E29" s="156"/>
      <c r="F29" s="156"/>
      <c r="G29" s="182" t="s">
        <v>143</v>
      </c>
      <c r="H29" s="182" t="s">
        <v>143</v>
      </c>
      <c r="I29" s="270" t="s">
        <v>206</v>
      </c>
      <c r="J29" s="182" t="s">
        <v>143</v>
      </c>
      <c r="K29" s="271" t="s">
        <v>225</v>
      </c>
      <c r="L29" s="521" t="s">
        <v>403</v>
      </c>
    </row>
    <row r="30">
      <c r="A30" s="23"/>
      <c r="B30" s="259" t="s">
        <v>200</v>
      </c>
      <c r="C30" s="279" t="s">
        <v>230</v>
      </c>
      <c r="D30" s="261" t="s">
        <v>201</v>
      </c>
      <c r="E30" s="156"/>
      <c r="F30" s="156"/>
      <c r="G30" s="260" t="s">
        <v>170</v>
      </c>
      <c r="H30" s="260" t="s">
        <v>233</v>
      </c>
      <c r="I30" s="239" t="s">
        <v>217</v>
      </c>
      <c r="J30" s="260" t="s">
        <v>152</v>
      </c>
      <c r="K30" s="296" t="s">
        <v>234</v>
      </c>
      <c r="L30" s="297" t="s">
        <v>406</v>
      </c>
    </row>
    <row r="31">
      <c r="A31" s="47"/>
      <c r="B31" s="520">
        <v>308.0</v>
      </c>
      <c r="C31" s="244">
        <v>300.0</v>
      </c>
      <c r="D31" s="244">
        <v>461.0</v>
      </c>
      <c r="E31" s="241"/>
      <c r="F31" s="172"/>
      <c r="G31" s="520">
        <v>318.0</v>
      </c>
      <c r="H31" s="204">
        <v>305.0</v>
      </c>
      <c r="I31" s="288">
        <v>104.0</v>
      </c>
      <c r="J31" s="199">
        <v>304.0</v>
      </c>
      <c r="K31" s="289">
        <v>102.0</v>
      </c>
      <c r="L31" s="290">
        <v>103.0</v>
      </c>
    </row>
    <row r="32">
      <c r="A32" s="154" t="s">
        <v>172</v>
      </c>
      <c r="B32" s="228"/>
      <c r="C32" s="305"/>
      <c r="D32" s="305"/>
      <c r="E32" s="305"/>
      <c r="F32" s="305"/>
      <c r="G32" s="305"/>
      <c r="H32" s="305"/>
      <c r="I32" s="305"/>
      <c r="J32" s="305"/>
      <c r="K32" s="305"/>
      <c r="L32" s="155" t="s">
        <v>143</v>
      </c>
    </row>
    <row r="33">
      <c r="A33" s="23"/>
      <c r="B33" s="161"/>
      <c r="C33" s="156"/>
      <c r="D33" s="156"/>
      <c r="E33" s="156"/>
      <c r="F33" s="156"/>
      <c r="G33" s="156"/>
      <c r="H33" s="156"/>
      <c r="I33" s="156"/>
      <c r="J33" s="156"/>
      <c r="K33" s="156"/>
      <c r="L33" s="308" t="s">
        <v>150</v>
      </c>
    </row>
    <row r="34">
      <c r="A34" s="47"/>
      <c r="B34" s="177"/>
      <c r="C34" s="172"/>
      <c r="D34" s="172"/>
      <c r="E34" s="172"/>
      <c r="F34" s="172"/>
      <c r="G34" s="172"/>
      <c r="H34" s="172"/>
      <c r="I34" s="172"/>
      <c r="J34" s="172"/>
      <c r="K34" s="172"/>
      <c r="L34" s="526">
        <v>101.0</v>
      </c>
    </row>
    <row r="35">
      <c r="A35" s="154" t="s">
        <v>184</v>
      </c>
      <c r="B35" s="228"/>
      <c r="C35" s="305"/>
      <c r="D35" s="305"/>
      <c r="E35" s="305"/>
      <c r="F35" s="305"/>
      <c r="G35" s="305"/>
      <c r="H35" s="305"/>
      <c r="I35" s="305"/>
      <c r="J35" s="305"/>
      <c r="K35" s="305"/>
      <c r="L35" s="156"/>
    </row>
    <row r="36">
      <c r="A36" s="23"/>
      <c r="B36" s="161"/>
      <c r="C36" s="156"/>
      <c r="D36" s="156"/>
      <c r="E36" s="156"/>
      <c r="F36" s="156"/>
      <c r="G36" s="156"/>
      <c r="H36" s="156"/>
      <c r="I36" s="156"/>
      <c r="J36" s="156"/>
      <c r="K36" s="156"/>
      <c r="L36" s="156"/>
    </row>
    <row r="37">
      <c r="A37" s="47"/>
      <c r="B37" s="177"/>
      <c r="C37" s="172"/>
      <c r="D37" s="172"/>
      <c r="E37" s="172"/>
      <c r="F37" s="172"/>
      <c r="G37" s="172"/>
      <c r="H37" s="172"/>
      <c r="I37" s="172"/>
      <c r="J37" s="172"/>
      <c r="K37" s="172"/>
      <c r="L37" s="241"/>
    </row>
    <row r="38">
      <c r="A38" s="154" t="s">
        <v>191</v>
      </c>
      <c r="B38" s="228"/>
      <c r="C38" s="305"/>
      <c r="D38" s="305"/>
      <c r="E38" s="305"/>
      <c r="F38" s="305"/>
      <c r="G38" s="305"/>
      <c r="H38" s="305"/>
      <c r="I38" s="305"/>
      <c r="J38" s="305"/>
      <c r="K38" s="305"/>
      <c r="L38" s="156"/>
    </row>
    <row r="39">
      <c r="A39" s="23"/>
      <c r="B39" s="161"/>
      <c r="C39" s="156"/>
      <c r="D39" s="156"/>
      <c r="E39" s="156"/>
      <c r="F39" s="156"/>
      <c r="G39" s="156"/>
      <c r="H39" s="156"/>
      <c r="I39" s="156"/>
      <c r="J39" s="156"/>
      <c r="K39" s="156"/>
      <c r="L39" s="156"/>
    </row>
    <row r="40">
      <c r="A40" s="47"/>
      <c r="B40" s="177"/>
      <c r="C40" s="172"/>
      <c r="D40" s="172"/>
      <c r="E40" s="172"/>
      <c r="F40" s="172"/>
      <c r="G40" s="172"/>
      <c r="H40" s="172"/>
      <c r="I40" s="172"/>
      <c r="J40" s="172"/>
      <c r="K40" s="172"/>
      <c r="L40" s="172"/>
    </row>
    <row r="41">
      <c r="A41" s="149" t="s">
        <v>82</v>
      </c>
      <c r="B41" s="148"/>
      <c r="C41" s="46"/>
      <c r="D41" s="46"/>
      <c r="E41" s="46"/>
      <c r="F41" s="46"/>
      <c r="G41" s="46"/>
      <c r="H41" s="46"/>
      <c r="I41" s="46"/>
      <c r="J41" s="46"/>
      <c r="K41" s="46"/>
      <c r="L41" s="47"/>
    </row>
    <row r="42">
      <c r="A42" s="154" t="s">
        <v>128</v>
      </c>
      <c r="B42" s="156"/>
      <c r="C42" s="156"/>
      <c r="D42" s="156"/>
      <c r="E42" s="156"/>
      <c r="F42" s="156"/>
      <c r="G42" s="156"/>
      <c r="H42" s="156"/>
      <c r="I42" s="156"/>
      <c r="J42" s="156"/>
      <c r="K42" s="156"/>
      <c r="L42" s="156"/>
    </row>
    <row r="43">
      <c r="A43" s="23"/>
      <c r="B43" s="156"/>
      <c r="C43" s="156"/>
      <c r="D43" s="156"/>
      <c r="E43" s="156"/>
      <c r="F43" s="156"/>
      <c r="G43" s="156"/>
      <c r="H43" s="156"/>
      <c r="I43" s="156"/>
      <c r="J43" s="156"/>
      <c r="K43" s="156"/>
      <c r="L43" s="156"/>
    </row>
    <row r="44">
      <c r="A44" s="47"/>
      <c r="B44" s="172"/>
      <c r="C44" s="172"/>
      <c r="D44" s="172"/>
      <c r="E44" s="172"/>
      <c r="F44" s="172"/>
      <c r="G44" s="172"/>
      <c r="H44" s="172"/>
      <c r="I44" s="172"/>
      <c r="J44" s="172"/>
      <c r="K44" s="172"/>
      <c r="L44" s="172"/>
    </row>
    <row r="45">
      <c r="A45" s="154" t="s">
        <v>139</v>
      </c>
      <c r="B45" s="156"/>
      <c r="C45" s="156"/>
      <c r="D45" s="156"/>
      <c r="E45" s="156"/>
      <c r="F45" s="156"/>
      <c r="G45" s="156"/>
      <c r="H45" s="156"/>
      <c r="I45" s="156"/>
      <c r="J45" s="156"/>
      <c r="K45" s="156"/>
      <c r="L45" s="156"/>
    </row>
    <row r="46">
      <c r="A46" s="23"/>
      <c r="B46" s="156"/>
      <c r="C46" s="156"/>
      <c r="D46" s="156"/>
      <c r="E46" s="156"/>
      <c r="F46" s="156"/>
      <c r="G46" s="156"/>
      <c r="H46" s="156"/>
      <c r="I46" s="156"/>
      <c r="J46" s="156"/>
      <c r="K46" s="156"/>
      <c r="L46" s="156"/>
    </row>
    <row r="47">
      <c r="A47" s="47"/>
      <c r="B47" s="172"/>
      <c r="C47" s="172"/>
      <c r="D47" s="172"/>
      <c r="E47" s="172"/>
      <c r="F47" s="172"/>
      <c r="G47" s="172"/>
      <c r="H47" s="172"/>
      <c r="I47" s="172"/>
      <c r="J47" s="172"/>
      <c r="K47" s="172"/>
      <c r="L47" s="172"/>
    </row>
    <row r="48">
      <c r="A48" s="154" t="s">
        <v>158</v>
      </c>
      <c r="B48" s="357" t="s">
        <v>288</v>
      </c>
      <c r="K48" s="23"/>
      <c r="L48" s="156"/>
    </row>
    <row r="49">
      <c r="A49" s="23"/>
      <c r="B49" s="364" t="s">
        <v>293</v>
      </c>
      <c r="K49" s="23"/>
      <c r="L49" s="156"/>
    </row>
    <row r="50">
      <c r="A50" s="47"/>
      <c r="B50" s="370">
        <v>108.0</v>
      </c>
      <c r="C50" s="46"/>
      <c r="D50" s="46"/>
      <c r="E50" s="46"/>
      <c r="F50" s="46"/>
      <c r="G50" s="46"/>
      <c r="H50" s="46"/>
      <c r="I50" s="46"/>
      <c r="J50" s="46"/>
      <c r="K50" s="47"/>
      <c r="L50" s="172"/>
    </row>
    <row r="51">
      <c r="A51" s="154" t="s">
        <v>172</v>
      </c>
      <c r="B51" s="357" t="s">
        <v>298</v>
      </c>
      <c r="K51" s="23"/>
      <c r="L51" s="156"/>
    </row>
    <row r="52">
      <c r="A52" s="23"/>
      <c r="B52" s="375" t="s">
        <v>293</v>
      </c>
      <c r="K52" s="23"/>
      <c r="L52" s="156"/>
    </row>
    <row r="53">
      <c r="A53" s="47"/>
      <c r="B53" s="370">
        <v>108.0</v>
      </c>
      <c r="C53" s="46"/>
      <c r="D53" s="46"/>
      <c r="E53" s="46"/>
      <c r="F53" s="46"/>
      <c r="G53" s="46"/>
      <c r="H53" s="46"/>
      <c r="I53" s="46"/>
      <c r="J53" s="46"/>
      <c r="K53" s="47"/>
      <c r="L53" s="172"/>
    </row>
    <row r="54">
      <c r="A54" s="154" t="s">
        <v>184</v>
      </c>
      <c r="B54" s="63"/>
      <c r="C54" s="63"/>
      <c r="D54" s="379" t="s">
        <v>302</v>
      </c>
      <c r="E54" s="156"/>
      <c r="F54" s="156"/>
      <c r="G54" s="156"/>
      <c r="H54" s="156"/>
      <c r="I54" s="156"/>
      <c r="J54" s="156"/>
      <c r="K54" s="156"/>
      <c r="L54" s="156"/>
    </row>
    <row r="55">
      <c r="A55" s="23"/>
      <c r="B55" s="69"/>
      <c r="C55" s="69"/>
      <c r="D55" s="383" t="s">
        <v>168</v>
      </c>
      <c r="E55" s="156"/>
      <c r="F55" s="156"/>
      <c r="G55" s="156"/>
      <c r="H55" s="156"/>
      <c r="I55" s="156"/>
      <c r="J55" s="156"/>
      <c r="K55" s="156"/>
      <c r="L55" s="156"/>
    </row>
    <row r="56">
      <c r="A56" s="47"/>
      <c r="B56" s="76"/>
      <c r="C56" s="76"/>
      <c r="D56" s="387">
        <v>321.0</v>
      </c>
      <c r="E56" s="172"/>
      <c r="F56" s="172"/>
      <c r="G56" s="172"/>
      <c r="H56" s="172"/>
      <c r="I56" s="172"/>
      <c r="J56" s="172"/>
      <c r="K56" s="172"/>
      <c r="L56" s="172"/>
    </row>
    <row r="57">
      <c r="A57" s="154" t="s">
        <v>191</v>
      </c>
      <c r="B57" s="156"/>
      <c r="C57" s="156"/>
      <c r="D57" s="156"/>
      <c r="E57" s="156"/>
      <c r="F57" s="156"/>
      <c r="G57" s="156"/>
      <c r="H57" s="156"/>
      <c r="I57" s="156"/>
      <c r="J57" s="379" t="s">
        <v>302</v>
      </c>
      <c r="K57" s="156"/>
      <c r="L57" s="156"/>
    </row>
    <row r="58">
      <c r="A58" s="23"/>
      <c r="B58" s="156"/>
      <c r="C58" s="156"/>
      <c r="D58" s="156"/>
      <c r="E58" s="156"/>
      <c r="F58" s="156"/>
      <c r="G58" s="156"/>
      <c r="H58" s="156"/>
      <c r="I58" s="156"/>
      <c r="J58" s="383" t="s">
        <v>168</v>
      </c>
      <c r="K58" s="156"/>
      <c r="L58" s="156"/>
    </row>
    <row r="59">
      <c r="A59" s="47"/>
      <c r="B59" s="172"/>
      <c r="C59" s="172"/>
      <c r="D59" s="172"/>
      <c r="E59" s="172"/>
      <c r="F59" s="172"/>
      <c r="G59" s="172"/>
      <c r="H59" s="172"/>
      <c r="I59" s="172"/>
      <c r="J59" s="387">
        <v>321.0</v>
      </c>
      <c r="K59" s="172"/>
      <c r="L59" s="172"/>
    </row>
    <row r="60">
      <c r="A60" s="149" t="s">
        <v>86</v>
      </c>
      <c r="B60" s="148"/>
      <c r="C60" s="46"/>
      <c r="D60" s="46"/>
      <c r="E60" s="46"/>
      <c r="F60" s="46"/>
      <c r="G60" s="46"/>
      <c r="H60" s="46"/>
      <c r="I60" s="46"/>
      <c r="J60" s="46"/>
      <c r="K60" s="46"/>
      <c r="L60" s="47"/>
    </row>
    <row r="61">
      <c r="A61" s="154" t="s">
        <v>128</v>
      </c>
      <c r="B61" s="396" t="s">
        <v>85</v>
      </c>
      <c r="L61" s="23"/>
    </row>
    <row r="62">
      <c r="A62" s="23"/>
      <c r="L62" s="23"/>
    </row>
    <row r="63">
      <c r="A63" s="47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7"/>
    </row>
    <row r="64">
      <c r="A64" s="154" t="s">
        <v>139</v>
      </c>
      <c r="B64" s="156"/>
      <c r="C64" s="156"/>
      <c r="D64" s="156"/>
      <c r="E64" s="379" t="s">
        <v>302</v>
      </c>
      <c r="F64" s="156"/>
      <c r="G64" s="156"/>
      <c r="H64" s="156"/>
      <c r="I64" s="156"/>
      <c r="J64" s="156"/>
      <c r="K64" s="156"/>
      <c r="L64" s="156"/>
    </row>
    <row r="65">
      <c r="A65" s="23"/>
      <c r="B65" s="156"/>
      <c r="C65" s="156"/>
      <c r="D65" s="156"/>
      <c r="E65" s="404" t="s">
        <v>215</v>
      </c>
      <c r="F65" s="156"/>
      <c r="G65" s="156"/>
      <c r="H65" s="156"/>
      <c r="I65" s="156"/>
      <c r="J65" s="156"/>
      <c r="K65" s="156"/>
      <c r="L65" s="156"/>
    </row>
    <row r="66">
      <c r="A66" s="47"/>
      <c r="B66" s="172"/>
      <c r="C66" s="172"/>
      <c r="D66" s="172"/>
      <c r="E66" s="399">
        <v>308.0</v>
      </c>
      <c r="F66" s="172"/>
      <c r="G66" s="172"/>
      <c r="H66" s="172"/>
      <c r="I66" s="172"/>
      <c r="J66" s="172"/>
      <c r="K66" s="172"/>
      <c r="L66" s="172"/>
    </row>
    <row r="67">
      <c r="A67" s="154" t="s">
        <v>158</v>
      </c>
      <c r="B67" s="156"/>
      <c r="C67" s="156"/>
      <c r="D67" s="156"/>
      <c r="E67" s="156"/>
      <c r="F67" s="379" t="s">
        <v>302</v>
      </c>
      <c r="G67" s="379" t="s">
        <v>302</v>
      </c>
      <c r="H67" s="156"/>
      <c r="I67" s="156"/>
      <c r="J67" s="156"/>
      <c r="K67" s="379" t="s">
        <v>302</v>
      </c>
      <c r="L67" s="156"/>
    </row>
    <row r="68">
      <c r="A68" s="23"/>
      <c r="B68" s="156"/>
      <c r="C68" s="156"/>
      <c r="D68" s="156"/>
      <c r="E68" s="156"/>
      <c r="F68" s="404" t="s">
        <v>215</v>
      </c>
      <c r="G68" s="405" t="s">
        <v>53</v>
      </c>
      <c r="H68" s="156"/>
      <c r="I68" s="156"/>
      <c r="J68" s="156"/>
      <c r="K68" s="398" t="s">
        <v>152</v>
      </c>
      <c r="L68" s="156"/>
    </row>
    <row r="69">
      <c r="A69" s="47"/>
      <c r="B69" s="172"/>
      <c r="C69" s="172"/>
      <c r="D69" s="172"/>
      <c r="E69" s="172"/>
      <c r="F69" s="399">
        <v>308.0</v>
      </c>
      <c r="G69" s="387">
        <v>314.0</v>
      </c>
      <c r="H69" s="172"/>
      <c r="I69" s="172"/>
      <c r="J69" s="172"/>
      <c r="K69" s="399">
        <v>460.0</v>
      </c>
      <c r="L69" s="172"/>
    </row>
    <row r="70">
      <c r="A70" s="154" t="s">
        <v>172</v>
      </c>
      <c r="B70" s="63"/>
      <c r="C70" s="379" t="s">
        <v>302</v>
      </c>
      <c r="D70" s="156"/>
      <c r="E70" s="156"/>
      <c r="F70" s="156"/>
      <c r="G70" s="156"/>
      <c r="H70" s="379" t="s">
        <v>302</v>
      </c>
      <c r="I70" s="156"/>
      <c r="J70" s="156"/>
      <c r="K70" s="434" t="s">
        <v>332</v>
      </c>
      <c r="L70" s="156"/>
    </row>
    <row r="71">
      <c r="A71" s="23"/>
      <c r="B71" s="69"/>
      <c r="C71" s="398" t="s">
        <v>152</v>
      </c>
      <c r="D71" s="156"/>
      <c r="E71" s="156"/>
      <c r="F71" s="156"/>
      <c r="G71" s="156"/>
      <c r="H71" s="405" t="s">
        <v>53</v>
      </c>
      <c r="I71" s="156"/>
      <c r="J71" s="156"/>
      <c r="K71" s="438" t="s">
        <v>339</v>
      </c>
      <c r="L71" s="156"/>
    </row>
    <row r="72">
      <c r="A72" s="47"/>
      <c r="B72" s="76"/>
      <c r="C72" s="399">
        <v>308.0</v>
      </c>
      <c r="D72" s="241"/>
      <c r="E72" s="241"/>
      <c r="F72" s="241"/>
      <c r="G72" s="172"/>
      <c r="H72" s="387">
        <v>314.0</v>
      </c>
      <c r="I72" s="172"/>
      <c r="J72" s="172"/>
      <c r="K72" s="443" t="s">
        <v>426</v>
      </c>
      <c r="L72" s="172"/>
    </row>
    <row r="73">
      <c r="A73" s="154" t="s">
        <v>184</v>
      </c>
      <c r="B73" s="379" t="s">
        <v>302</v>
      </c>
      <c r="C73" s="156"/>
      <c r="D73" s="156"/>
      <c r="E73" s="156"/>
      <c r="F73" s="156"/>
      <c r="G73" s="156"/>
      <c r="H73" s="158"/>
      <c r="I73" s="379" t="s">
        <v>302</v>
      </c>
      <c r="J73" s="156"/>
      <c r="K73" s="434" t="s">
        <v>332</v>
      </c>
      <c r="L73" s="156"/>
    </row>
    <row r="74">
      <c r="A74" s="23"/>
      <c r="B74" s="398" t="s">
        <v>152</v>
      </c>
      <c r="C74" s="156"/>
      <c r="D74" s="156"/>
      <c r="E74" s="156"/>
      <c r="F74" s="156"/>
      <c r="G74" s="156"/>
      <c r="H74" s="237"/>
      <c r="I74" s="405" t="s">
        <v>53</v>
      </c>
      <c r="J74" s="156"/>
      <c r="K74" s="438" t="s">
        <v>339</v>
      </c>
      <c r="L74" s="156"/>
    </row>
    <row r="75">
      <c r="A75" s="47"/>
      <c r="B75" s="399">
        <v>308.0</v>
      </c>
      <c r="C75" s="172"/>
      <c r="D75" s="172"/>
      <c r="E75" s="172"/>
      <c r="F75" s="172"/>
      <c r="G75" s="172"/>
      <c r="H75" s="202"/>
      <c r="I75" s="387">
        <v>314.0</v>
      </c>
      <c r="J75" s="172"/>
      <c r="K75" s="443" t="s">
        <v>426</v>
      </c>
      <c r="L75" s="172"/>
    </row>
    <row r="76">
      <c r="A76" s="154" t="s">
        <v>191</v>
      </c>
      <c r="B76" s="156"/>
      <c r="C76" s="156"/>
      <c r="D76" s="156"/>
      <c r="E76" s="156"/>
      <c r="F76" s="156"/>
      <c r="G76" s="156"/>
      <c r="H76" s="156"/>
      <c r="I76" s="156"/>
      <c r="J76" s="156"/>
      <c r="K76" s="434" t="s">
        <v>332</v>
      </c>
      <c r="L76" s="156"/>
    </row>
    <row r="77">
      <c r="A77" s="23"/>
      <c r="B77" s="156"/>
      <c r="C77" s="156"/>
      <c r="D77" s="156"/>
      <c r="E77" s="156"/>
      <c r="F77" s="156"/>
      <c r="G77" s="156"/>
      <c r="H77" s="156"/>
      <c r="I77" s="156"/>
      <c r="J77" s="156"/>
      <c r="K77" s="438" t="s">
        <v>339</v>
      </c>
      <c r="L77" s="156"/>
    </row>
    <row r="78">
      <c r="A78" s="47"/>
      <c r="B78" s="241"/>
      <c r="C78" s="241"/>
      <c r="D78" s="241"/>
      <c r="E78" s="241"/>
      <c r="F78" s="241"/>
      <c r="G78" s="241"/>
      <c r="H78" s="241"/>
      <c r="I78" s="241"/>
      <c r="J78" s="241"/>
      <c r="K78" s="443" t="s">
        <v>426</v>
      </c>
      <c r="L78" s="241"/>
    </row>
    <row r="79">
      <c r="A79" s="149" t="s">
        <v>92</v>
      </c>
      <c r="B79" s="148"/>
      <c r="C79" s="46"/>
      <c r="D79" s="46"/>
      <c r="E79" s="46"/>
      <c r="F79" s="46"/>
      <c r="G79" s="46"/>
      <c r="H79" s="46"/>
      <c r="I79" s="46"/>
      <c r="J79" s="46"/>
      <c r="K79" s="46"/>
      <c r="L79" s="47"/>
    </row>
    <row r="80">
      <c r="A80" s="154" t="s">
        <v>128</v>
      </c>
      <c r="B80" s="156"/>
      <c r="C80" s="156"/>
      <c r="D80" s="156"/>
      <c r="E80" s="156"/>
      <c r="F80" s="156"/>
      <c r="G80" s="358" t="s">
        <v>353</v>
      </c>
      <c r="H80" s="23"/>
      <c r="I80" s="156"/>
      <c r="J80" s="156"/>
      <c r="K80" s="461" t="s">
        <v>353</v>
      </c>
      <c r="L80" s="318" t="s">
        <v>251</v>
      </c>
    </row>
    <row r="81">
      <c r="A81" s="23"/>
      <c r="B81" s="156"/>
      <c r="C81" s="156"/>
      <c r="D81" s="156"/>
      <c r="E81" s="156"/>
      <c r="F81" s="156"/>
      <c r="G81" s="167" t="s">
        <v>136</v>
      </c>
      <c r="H81" s="23"/>
      <c r="I81" s="156"/>
      <c r="J81" s="156"/>
      <c r="K81" s="464" t="s">
        <v>136</v>
      </c>
      <c r="L81" s="320" t="s">
        <v>253</v>
      </c>
    </row>
    <row r="82">
      <c r="A82" s="47"/>
      <c r="B82" s="172"/>
      <c r="C82" s="172"/>
      <c r="D82" s="172"/>
      <c r="E82" s="172"/>
      <c r="F82" s="172"/>
      <c r="G82" s="173" t="s">
        <v>137</v>
      </c>
      <c r="H82" s="47"/>
      <c r="I82" s="172"/>
      <c r="J82" s="172"/>
      <c r="K82" s="467" t="s">
        <v>137</v>
      </c>
      <c r="L82" s="322" t="s">
        <v>137</v>
      </c>
    </row>
    <row r="83">
      <c r="A83" s="154" t="s">
        <v>139</v>
      </c>
      <c r="B83" s="156"/>
      <c r="C83" s="156"/>
      <c r="D83" s="156"/>
      <c r="E83" s="156"/>
      <c r="F83" s="156"/>
      <c r="G83" s="156"/>
      <c r="H83" s="156"/>
      <c r="I83" s="156"/>
      <c r="J83" s="156"/>
      <c r="K83" s="470" t="s">
        <v>357</v>
      </c>
      <c r="L83" s="318" t="s">
        <v>358</v>
      </c>
    </row>
    <row r="84">
      <c r="A84" s="23"/>
      <c r="B84" s="156"/>
      <c r="C84" s="156"/>
      <c r="D84" s="156"/>
      <c r="E84" s="156"/>
      <c r="F84" s="156"/>
      <c r="G84" s="156"/>
      <c r="H84" s="156"/>
      <c r="I84" s="156"/>
      <c r="J84" s="156"/>
      <c r="K84" s="473" t="s">
        <v>78</v>
      </c>
      <c r="L84" s="320" t="s">
        <v>361</v>
      </c>
    </row>
    <row r="85">
      <c r="A85" s="47"/>
      <c r="B85" s="172"/>
      <c r="C85" s="172"/>
      <c r="D85" s="172"/>
      <c r="E85" s="172"/>
      <c r="F85" s="172"/>
      <c r="G85" s="172"/>
      <c r="H85" s="172"/>
      <c r="I85" s="172"/>
      <c r="J85" s="172"/>
      <c r="K85" s="201">
        <v>104.0</v>
      </c>
      <c r="L85" s="445" t="s">
        <v>362</v>
      </c>
    </row>
    <row r="86">
      <c r="A86" s="154" t="s">
        <v>158</v>
      </c>
      <c r="B86" s="476" t="s">
        <v>367</v>
      </c>
      <c r="J86" s="23"/>
      <c r="K86" s="230"/>
      <c r="L86" s="534" t="s">
        <v>401</v>
      </c>
    </row>
    <row r="87">
      <c r="A87" s="23"/>
      <c r="B87" s="479" t="s">
        <v>371</v>
      </c>
      <c r="J87" s="23"/>
      <c r="K87" s="230"/>
      <c r="L87" s="281" t="s">
        <v>99</v>
      </c>
    </row>
    <row r="88">
      <c r="A88" s="47"/>
      <c r="B88" s="486">
        <v>108.0</v>
      </c>
      <c r="C88" s="46"/>
      <c r="D88" s="46"/>
      <c r="E88" s="46"/>
      <c r="F88" s="46"/>
      <c r="G88" s="46"/>
      <c r="H88" s="46"/>
      <c r="I88" s="46"/>
      <c r="J88" s="47"/>
      <c r="K88" s="243"/>
      <c r="L88" s="290" t="s">
        <v>362</v>
      </c>
    </row>
    <row r="89">
      <c r="A89" s="154" t="s">
        <v>172</v>
      </c>
      <c r="B89" s="476" t="s">
        <v>375</v>
      </c>
      <c r="J89" s="23"/>
      <c r="K89" s="158"/>
      <c r="L89" s="534" t="s">
        <v>403</v>
      </c>
    </row>
    <row r="90">
      <c r="A90" s="23"/>
      <c r="B90" s="479" t="s">
        <v>371</v>
      </c>
      <c r="J90" s="23"/>
      <c r="K90" s="490"/>
      <c r="L90" s="297" t="s">
        <v>406</v>
      </c>
    </row>
    <row r="91">
      <c r="A91" s="47"/>
      <c r="B91" s="486">
        <v>108.0</v>
      </c>
      <c r="C91" s="46"/>
      <c r="D91" s="46"/>
      <c r="E91" s="46"/>
      <c r="F91" s="46"/>
      <c r="G91" s="46"/>
      <c r="H91" s="46"/>
      <c r="I91" s="46"/>
      <c r="J91" s="47"/>
      <c r="K91" s="457"/>
      <c r="L91" s="290" t="s">
        <v>362</v>
      </c>
    </row>
    <row r="92">
      <c r="A92" s="154" t="s">
        <v>184</v>
      </c>
      <c r="B92" s="492" t="s">
        <v>379</v>
      </c>
      <c r="C92" s="156"/>
      <c r="D92" s="492" t="s">
        <v>379</v>
      </c>
      <c r="E92" s="156"/>
      <c r="F92" s="492" t="s">
        <v>379</v>
      </c>
      <c r="G92" s="461" t="s">
        <v>357</v>
      </c>
      <c r="H92" s="492" t="s">
        <v>379</v>
      </c>
      <c r="I92" s="492" t="s">
        <v>379</v>
      </c>
      <c r="J92" s="156"/>
      <c r="K92" s="158"/>
      <c r="L92" s="230"/>
    </row>
    <row r="93">
      <c r="A93" s="23"/>
      <c r="B93" s="385" t="s">
        <v>233</v>
      </c>
      <c r="C93" s="156"/>
      <c r="D93" s="385" t="s">
        <v>56</v>
      </c>
      <c r="E93" s="156"/>
      <c r="F93" s="502" t="s">
        <v>381</v>
      </c>
      <c r="G93" s="495" t="s">
        <v>217</v>
      </c>
      <c r="H93" s="385" t="s">
        <v>382</v>
      </c>
      <c r="I93" s="385" t="s">
        <v>383</v>
      </c>
      <c r="J93" s="156"/>
      <c r="K93" s="154"/>
      <c r="L93" s="230"/>
    </row>
    <row r="94">
      <c r="A94" s="47"/>
      <c r="B94" s="496">
        <v>101.0</v>
      </c>
      <c r="C94" s="172"/>
      <c r="D94" s="496">
        <v>421.0</v>
      </c>
      <c r="E94" s="172"/>
      <c r="F94" s="496">
        <v>308.0</v>
      </c>
      <c r="G94" s="497">
        <v>316.0</v>
      </c>
      <c r="H94" s="496">
        <v>312.0</v>
      </c>
      <c r="I94" s="496">
        <v>460.0</v>
      </c>
      <c r="J94" s="172"/>
      <c r="K94" s="457"/>
      <c r="L94" s="243"/>
    </row>
    <row r="95">
      <c r="A95" s="498" t="s">
        <v>191</v>
      </c>
      <c r="B95" s="156"/>
      <c r="C95" s="492" t="s">
        <v>379</v>
      </c>
      <c r="D95" s="156"/>
      <c r="E95" s="492" t="s">
        <v>379</v>
      </c>
      <c r="F95" s="156"/>
      <c r="G95" s="492" t="s">
        <v>379</v>
      </c>
      <c r="H95" s="470" t="s">
        <v>357</v>
      </c>
      <c r="I95" s="227"/>
      <c r="J95" s="492" t="s">
        <v>379</v>
      </c>
      <c r="K95" s="158"/>
      <c r="L95" s="230"/>
    </row>
    <row r="96">
      <c r="A96" s="38"/>
      <c r="B96" s="156"/>
      <c r="C96" s="385" t="s">
        <v>233</v>
      </c>
      <c r="D96" s="156"/>
      <c r="E96" s="385" t="s">
        <v>381</v>
      </c>
      <c r="F96" s="156"/>
      <c r="G96" s="385" t="s">
        <v>382</v>
      </c>
      <c r="H96" s="473" t="s">
        <v>78</v>
      </c>
      <c r="I96" s="234"/>
      <c r="J96" s="502" t="s">
        <v>383</v>
      </c>
      <c r="K96" s="154"/>
      <c r="L96" s="230"/>
    </row>
    <row r="97">
      <c r="A97" s="44"/>
      <c r="B97" s="172"/>
      <c r="C97" s="496">
        <v>101.0</v>
      </c>
      <c r="D97" s="172"/>
      <c r="E97" s="496">
        <v>308.0</v>
      </c>
      <c r="F97" s="172"/>
      <c r="G97" s="496">
        <v>312.0</v>
      </c>
      <c r="H97" s="503">
        <v>316.0</v>
      </c>
      <c r="I97" s="240"/>
      <c r="J97" s="496">
        <v>460.0</v>
      </c>
      <c r="K97" s="457"/>
      <c r="L97" s="243"/>
    </row>
    <row r="98">
      <c r="A98" s="149" t="s">
        <v>103</v>
      </c>
      <c r="B98" s="148"/>
      <c r="C98" s="46"/>
      <c r="D98" s="46"/>
      <c r="E98" s="46"/>
      <c r="F98" s="46"/>
      <c r="G98" s="46"/>
      <c r="H98" s="46"/>
      <c r="I98" s="46"/>
      <c r="J98" s="46"/>
      <c r="K98" s="46"/>
      <c r="L98" s="47"/>
    </row>
    <row r="99">
      <c r="A99" s="154" t="s">
        <v>128</v>
      </c>
      <c r="B99" s="396" t="s">
        <v>85</v>
      </c>
      <c r="L99" s="23"/>
    </row>
    <row r="100">
      <c r="A100" s="23"/>
      <c r="L100" s="23"/>
    </row>
    <row r="101">
      <c r="A101" s="47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7"/>
    </row>
    <row r="102">
      <c r="A102" s="154" t="s">
        <v>139</v>
      </c>
      <c r="B102" s="156"/>
      <c r="C102" s="156"/>
      <c r="D102" s="156"/>
      <c r="E102" s="156"/>
      <c r="F102" s="156"/>
      <c r="G102" s="156"/>
      <c r="H102" s="156"/>
      <c r="I102" s="156"/>
      <c r="J102" s="156"/>
      <c r="K102" s="434" t="s">
        <v>332</v>
      </c>
      <c r="L102" s="505"/>
    </row>
    <row r="103">
      <c r="A103" s="23"/>
      <c r="B103" s="156"/>
      <c r="C103" s="156"/>
      <c r="D103" s="156"/>
      <c r="E103" s="156"/>
      <c r="F103" s="156"/>
      <c r="G103" s="156"/>
      <c r="H103" s="156"/>
      <c r="I103" s="156"/>
      <c r="J103" s="156"/>
      <c r="K103" s="438" t="s">
        <v>339</v>
      </c>
      <c r="L103" s="156"/>
    </row>
    <row r="104">
      <c r="A104" s="47"/>
      <c r="B104" s="172"/>
      <c r="C104" s="172"/>
      <c r="D104" s="172"/>
      <c r="E104" s="172"/>
      <c r="F104" s="172"/>
      <c r="G104" s="172"/>
      <c r="H104" s="172"/>
      <c r="I104" s="172"/>
      <c r="J104" s="172"/>
      <c r="K104" s="443" t="s">
        <v>438</v>
      </c>
      <c r="L104" s="172"/>
    </row>
    <row r="105">
      <c r="A105" s="154" t="s">
        <v>158</v>
      </c>
      <c r="B105" s="156"/>
      <c r="C105" s="156"/>
      <c r="D105" s="156"/>
      <c r="E105" s="156"/>
      <c r="F105" s="156"/>
      <c r="G105" s="156"/>
      <c r="H105" s="156"/>
      <c r="I105" s="156"/>
      <c r="J105" s="156"/>
      <c r="K105" s="434" t="s">
        <v>332</v>
      </c>
      <c r="L105" s="156"/>
    </row>
    <row r="106">
      <c r="A106" s="23"/>
      <c r="B106" s="156"/>
      <c r="C106" s="156"/>
      <c r="D106" s="156"/>
      <c r="E106" s="156"/>
      <c r="F106" s="156"/>
      <c r="G106" s="156"/>
      <c r="H106" s="156"/>
      <c r="I106" s="156"/>
      <c r="J106" s="156"/>
      <c r="K106" s="438" t="s">
        <v>339</v>
      </c>
      <c r="L106" s="156"/>
    </row>
    <row r="107">
      <c r="A107" s="47"/>
      <c r="B107" s="172"/>
      <c r="C107" s="172"/>
      <c r="D107" s="172"/>
      <c r="E107" s="172"/>
      <c r="F107" s="172"/>
      <c r="G107" s="172"/>
      <c r="H107" s="172"/>
      <c r="I107" s="172"/>
      <c r="J107" s="172"/>
      <c r="K107" s="443" t="s">
        <v>438</v>
      </c>
      <c r="L107" s="172"/>
    </row>
    <row r="108">
      <c r="A108" s="154" t="s">
        <v>172</v>
      </c>
      <c r="B108" s="156"/>
      <c r="C108" s="156"/>
      <c r="D108" s="156"/>
      <c r="E108" s="156"/>
      <c r="F108" s="156"/>
      <c r="G108" s="156"/>
      <c r="H108" s="156"/>
      <c r="I108" s="156"/>
      <c r="J108" s="156"/>
      <c r="K108" s="156"/>
      <c r="L108" s="156"/>
    </row>
    <row r="109">
      <c r="A109" s="23"/>
      <c r="B109" s="156"/>
      <c r="C109" s="156"/>
      <c r="D109" s="156"/>
      <c r="E109" s="156"/>
      <c r="F109" s="156"/>
      <c r="G109" s="156"/>
      <c r="H109" s="156"/>
      <c r="I109" s="156"/>
      <c r="J109" s="156"/>
      <c r="K109" s="156"/>
      <c r="L109" s="156"/>
    </row>
    <row r="110">
      <c r="A110" s="47"/>
      <c r="B110" s="172"/>
      <c r="C110" s="172"/>
      <c r="D110" s="172"/>
      <c r="E110" s="172"/>
      <c r="F110" s="172"/>
      <c r="G110" s="172"/>
      <c r="H110" s="172"/>
      <c r="I110" s="172"/>
      <c r="J110" s="172"/>
      <c r="K110" s="172"/>
      <c r="L110" s="172"/>
    </row>
    <row r="111">
      <c r="A111" s="154" t="s">
        <v>184</v>
      </c>
      <c r="B111" s="156"/>
      <c r="C111" s="156"/>
      <c r="D111" s="156"/>
      <c r="E111" s="156"/>
      <c r="F111" s="156"/>
      <c r="G111" s="156"/>
      <c r="H111" s="156"/>
      <c r="I111" s="156"/>
      <c r="J111" s="156"/>
      <c r="K111" s="156"/>
      <c r="L111" s="156"/>
    </row>
    <row r="112">
      <c r="A112" s="23"/>
      <c r="B112" s="156"/>
      <c r="C112" s="156"/>
      <c r="D112" s="156"/>
      <c r="E112" s="156"/>
      <c r="F112" s="156"/>
      <c r="G112" s="156"/>
      <c r="H112" s="156"/>
      <c r="I112" s="156"/>
      <c r="J112" s="156"/>
      <c r="K112" s="156"/>
      <c r="L112" s="156"/>
    </row>
    <row r="113">
      <c r="A113" s="47"/>
      <c r="B113" s="172"/>
      <c r="C113" s="172"/>
      <c r="D113" s="172"/>
      <c r="E113" s="172"/>
      <c r="F113" s="172"/>
      <c r="G113" s="172"/>
      <c r="H113" s="172"/>
      <c r="I113" s="172"/>
      <c r="J113" s="172"/>
      <c r="K113" s="172"/>
      <c r="L113" s="172"/>
    </row>
    <row r="114">
      <c r="A114" s="154" t="s">
        <v>191</v>
      </c>
      <c r="B114" s="156"/>
      <c r="C114" s="156"/>
      <c r="D114" s="156"/>
      <c r="E114" s="156"/>
      <c r="F114" s="156"/>
      <c r="G114" s="156"/>
      <c r="H114" s="156"/>
      <c r="I114" s="156"/>
      <c r="J114" s="156"/>
      <c r="K114" s="156"/>
      <c r="L114" s="156"/>
    </row>
    <row r="115">
      <c r="A115" s="23"/>
      <c r="B115" s="156"/>
      <c r="C115" s="156"/>
      <c r="D115" s="156"/>
      <c r="E115" s="156"/>
      <c r="F115" s="156"/>
      <c r="G115" s="156"/>
      <c r="H115" s="156"/>
      <c r="I115" s="156"/>
      <c r="J115" s="156"/>
      <c r="K115" s="156"/>
      <c r="L115" s="156"/>
    </row>
    <row r="116">
      <c r="A116" s="47"/>
      <c r="B116" s="172"/>
      <c r="C116" s="172"/>
      <c r="D116" s="172"/>
      <c r="E116" s="172"/>
      <c r="F116" s="172"/>
      <c r="G116" s="172"/>
      <c r="H116" s="172"/>
      <c r="I116" s="172"/>
      <c r="J116" s="172"/>
      <c r="K116" s="172"/>
      <c r="L116" s="172"/>
    </row>
  </sheetData>
  <mergeCells count="73"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91:J91"/>
    <mergeCell ref="B98:L98"/>
    <mergeCell ref="B99:L101"/>
    <mergeCell ref="G81:H81"/>
    <mergeCell ref="G82:H82"/>
    <mergeCell ref="B86:J86"/>
    <mergeCell ref="B87:J87"/>
    <mergeCell ref="B88:J88"/>
    <mergeCell ref="B89:J89"/>
    <mergeCell ref="B90:J90"/>
    <mergeCell ref="B6:L6"/>
    <mergeCell ref="B7:F7"/>
    <mergeCell ref="G7:H7"/>
    <mergeCell ref="I7:J7"/>
    <mergeCell ref="B8:F8"/>
    <mergeCell ref="G8:H8"/>
    <mergeCell ref="A1:A2"/>
    <mergeCell ref="B1:L1"/>
    <mergeCell ref="B3:L3"/>
    <mergeCell ref="A4:A6"/>
    <mergeCell ref="B4:L4"/>
    <mergeCell ref="B5:L5"/>
    <mergeCell ref="I8:J8"/>
    <mergeCell ref="A7:A9"/>
    <mergeCell ref="B9:F9"/>
    <mergeCell ref="G9:H9"/>
    <mergeCell ref="I9:J9"/>
    <mergeCell ref="A10:A12"/>
    <mergeCell ref="A13:A15"/>
    <mergeCell ref="A16:A18"/>
    <mergeCell ref="A19:A21"/>
    <mergeCell ref="B22:L22"/>
    <mergeCell ref="A23:A25"/>
    <mergeCell ref="A26:A28"/>
    <mergeCell ref="A29:A31"/>
    <mergeCell ref="A32:A34"/>
    <mergeCell ref="A35:A37"/>
    <mergeCell ref="A38:A40"/>
    <mergeCell ref="B41:L41"/>
    <mergeCell ref="A42:A44"/>
    <mergeCell ref="A45:A47"/>
    <mergeCell ref="B48:K48"/>
    <mergeCell ref="B49:K49"/>
    <mergeCell ref="B50:K50"/>
    <mergeCell ref="B51:K51"/>
    <mergeCell ref="B52:K52"/>
    <mergeCell ref="B53:K53"/>
    <mergeCell ref="B60:L60"/>
    <mergeCell ref="B61:L63"/>
    <mergeCell ref="B79:L79"/>
    <mergeCell ref="G80:H80"/>
  </mergeCells>
  <conditionalFormatting sqref="A1:A21 B1:L3 K7:K9 L7:L21 B19:K21 A23:A40 B23:E25 I26:J28 K26:K40 L26:L34 H29:H40 B32:G40 I32:J40 L38:L40 A42:L59 A61:L78 A80:L97 A99:J116 K99:K113 L99:L116">
    <cfRule type="expression" dxfId="0" priority="1">
      <formula>REGEXMATCH(A1, "(^\s+)|(\s+$)")</formula>
    </cfRule>
  </conditionalFormatting>
  <conditionalFormatting sqref="A1:A21 B1:L3 K7:K9 L7:L21 B19:K21 A23:A40 B23:E25 I26:J28 K26:K40 L26:L34 H29:H40 B32:G40 I32:J40 L38:L40 A42:L59 A61:L78 A80:L97 A99:J116 K99:K113 L99:L116">
    <cfRule type="expression" dxfId="0" priority="2">
      <formula>REGEXMATCH(A1, "[а-яА-Я]")</formula>
    </cfRule>
  </conditionalFormatting>
  <conditionalFormatting sqref="A1:A21 B1:L3 K7:K9 L7:L21 B19:K21 A23:A40 B23:E25 I26:J28 K26:K40 L26:L34 H29:H40 B32:G40 I32:J40 L38:L40 A42:L59 A61:L78 A80:L97 A99:J116 K99:K113 L99:L116">
    <cfRule type="expression" dxfId="0" priority="3">
      <formula>REGEXMATCH(A1, "\s{2,}")</formula>
    </cfRule>
  </conditionalFormatting>
  <conditionalFormatting sqref="A1:A21 B1:L3 K7:K9 L7:L21 B19:K21 A23:A40 B23:E25 I26:J28 K26:K40 L26:L34 H29:H40 B32:G40 I32:J40 L38:L40 A42:L59 A61:L78 A80:L97 A99:J116 K99:K113 L99:L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2" width="28.25"/>
    <col customWidth="1" min="3" max="3" width="27.5"/>
    <col customWidth="1" min="4" max="4" width="29.38"/>
    <col customWidth="1" min="5" max="6" width="27.13"/>
    <col customWidth="1" min="7" max="8" width="29.38"/>
    <col customWidth="1" min="9" max="10" width="28.13"/>
    <col customWidth="1" min="11" max="12" width="26.38"/>
  </cols>
  <sheetData>
    <row r="1">
      <c r="A1" s="138"/>
      <c r="B1" s="139" t="s">
        <v>111</v>
      </c>
      <c r="C1" s="3"/>
      <c r="D1" s="3"/>
      <c r="E1" s="3"/>
      <c r="F1" s="3"/>
      <c r="G1" s="3"/>
      <c r="H1" s="3"/>
      <c r="I1" s="3"/>
      <c r="J1" s="3"/>
      <c r="K1" s="3"/>
      <c r="L1" s="4"/>
    </row>
    <row r="2">
      <c r="A2" s="44"/>
      <c r="B2" s="144" t="s">
        <v>114</v>
      </c>
      <c r="C2" s="144" t="s">
        <v>115</v>
      </c>
      <c r="D2" s="144" t="s">
        <v>116</v>
      </c>
      <c r="E2" s="144" t="s">
        <v>117</v>
      </c>
      <c r="F2" s="144" t="s">
        <v>118</v>
      </c>
      <c r="G2" s="144" t="s">
        <v>119</v>
      </c>
      <c r="H2" s="144" t="s">
        <v>120</v>
      </c>
      <c r="I2" s="144" t="s">
        <v>121</v>
      </c>
      <c r="J2" s="144" t="s">
        <v>122</v>
      </c>
      <c r="K2" s="144" t="s">
        <v>123</v>
      </c>
      <c r="L2" s="144" t="s">
        <v>124</v>
      </c>
    </row>
    <row r="3">
      <c r="A3" s="147" t="s">
        <v>38</v>
      </c>
      <c r="B3" s="148"/>
      <c r="C3" s="46"/>
      <c r="D3" s="46"/>
      <c r="E3" s="46"/>
      <c r="F3" s="46"/>
      <c r="G3" s="46"/>
      <c r="H3" s="46"/>
      <c r="I3" s="46"/>
      <c r="J3" s="46"/>
      <c r="K3" s="46"/>
      <c r="L3" s="47"/>
    </row>
    <row r="4">
      <c r="A4" s="154" t="s">
        <v>130</v>
      </c>
      <c r="B4" s="156"/>
      <c r="C4" s="156"/>
      <c r="D4" s="156"/>
      <c r="E4" s="156"/>
      <c r="F4" s="156"/>
      <c r="G4" s="157" t="s">
        <v>131</v>
      </c>
      <c r="H4" s="23"/>
      <c r="I4" s="158"/>
      <c r="J4" s="159"/>
      <c r="K4" s="156"/>
      <c r="L4" s="156"/>
    </row>
    <row r="5">
      <c r="A5" s="23"/>
      <c r="B5" s="156"/>
      <c r="C5" s="156"/>
      <c r="D5" s="156"/>
      <c r="E5" s="156"/>
      <c r="F5" s="156"/>
      <c r="G5" s="167" t="s">
        <v>136</v>
      </c>
      <c r="H5" s="23"/>
      <c r="I5" s="168"/>
      <c r="J5" s="159"/>
      <c r="K5" s="156"/>
      <c r="L5" s="156"/>
    </row>
    <row r="6">
      <c r="A6" s="47"/>
      <c r="B6" s="172"/>
      <c r="C6" s="172"/>
      <c r="D6" s="172"/>
      <c r="E6" s="172"/>
      <c r="F6" s="172"/>
      <c r="G6" s="173" t="s">
        <v>137</v>
      </c>
      <c r="H6" s="47"/>
      <c r="I6" s="174"/>
      <c r="J6" s="175"/>
      <c r="K6" s="172"/>
      <c r="L6" s="172"/>
    </row>
    <row r="7">
      <c r="A7" s="154" t="s">
        <v>145</v>
      </c>
      <c r="B7" s="156"/>
      <c r="C7" s="156"/>
      <c r="D7" s="156"/>
      <c r="E7" s="156"/>
      <c r="F7" s="156"/>
      <c r="G7" s="184" t="s">
        <v>146</v>
      </c>
      <c r="H7" s="158"/>
      <c r="I7" s="180" t="s">
        <v>141</v>
      </c>
      <c r="J7" s="23"/>
      <c r="K7" s="185" t="s">
        <v>147</v>
      </c>
      <c r="L7" s="158"/>
    </row>
    <row r="8">
      <c r="A8" s="23"/>
      <c r="B8" s="156"/>
      <c r="C8" s="156"/>
      <c r="D8" s="156"/>
      <c r="E8" s="156"/>
      <c r="F8" s="156"/>
      <c r="G8" s="192" t="s">
        <v>152</v>
      </c>
      <c r="H8" s="168"/>
      <c r="I8" s="188" t="s">
        <v>45</v>
      </c>
      <c r="J8" s="23"/>
      <c r="K8" s="193" t="s">
        <v>153</v>
      </c>
      <c r="L8" s="154"/>
    </row>
    <row r="9">
      <c r="A9" s="47"/>
      <c r="B9" s="172"/>
      <c r="C9" s="172"/>
      <c r="D9" s="172"/>
      <c r="E9" s="172"/>
      <c r="F9" s="172"/>
      <c r="G9" s="201">
        <v>209.0</v>
      </c>
      <c r="H9" s="202"/>
      <c r="I9" s="203" t="s">
        <v>155</v>
      </c>
      <c r="J9" s="47"/>
      <c r="K9" s="204">
        <v>111.0</v>
      </c>
      <c r="L9" s="174"/>
    </row>
    <row r="10">
      <c r="A10" s="154" t="s">
        <v>162</v>
      </c>
      <c r="B10" s="179" t="s">
        <v>163</v>
      </c>
      <c r="D10" s="23"/>
      <c r="E10" s="156"/>
      <c r="F10" s="156"/>
      <c r="G10" s="159"/>
      <c r="H10" s="184" t="s">
        <v>146</v>
      </c>
      <c r="I10" s="210" t="s">
        <v>160</v>
      </c>
      <c r="J10" s="159"/>
      <c r="K10" s="185" t="s">
        <v>164</v>
      </c>
      <c r="L10" s="156"/>
    </row>
    <row r="11">
      <c r="A11" s="23"/>
      <c r="B11" s="218" t="s">
        <v>134</v>
      </c>
      <c r="D11" s="23"/>
      <c r="E11" s="156"/>
      <c r="F11" s="156"/>
      <c r="G11" s="159"/>
      <c r="H11" s="192" t="s">
        <v>152</v>
      </c>
      <c r="I11" s="216" t="s">
        <v>150</v>
      </c>
      <c r="J11" s="159"/>
      <c r="K11" s="219" t="s">
        <v>153</v>
      </c>
      <c r="L11" s="156"/>
    </row>
    <row r="12">
      <c r="A12" s="47"/>
      <c r="B12" s="225">
        <v>106.0</v>
      </c>
      <c r="C12" s="46"/>
      <c r="D12" s="47"/>
      <c r="E12" s="172"/>
      <c r="F12" s="172"/>
      <c r="G12" s="175"/>
      <c r="H12" s="201">
        <v>209.0</v>
      </c>
      <c r="I12" s="224">
        <v>461.0</v>
      </c>
      <c r="J12" s="175"/>
      <c r="K12" s="204">
        <v>111.0</v>
      </c>
      <c r="L12" s="172"/>
    </row>
    <row r="13">
      <c r="A13" s="154" t="s">
        <v>174</v>
      </c>
      <c r="B13" s="231" t="s">
        <v>175</v>
      </c>
      <c r="C13" s="231" t="s">
        <v>175</v>
      </c>
      <c r="D13" s="156"/>
      <c r="E13" s="156"/>
      <c r="F13" s="156"/>
      <c r="G13" s="159"/>
      <c r="H13" s="159"/>
      <c r="I13" s="159"/>
      <c r="J13" s="210" t="s">
        <v>160</v>
      </c>
      <c r="K13" s="185" t="s">
        <v>164</v>
      </c>
      <c r="L13" s="156"/>
    </row>
    <row r="14">
      <c r="A14" s="23"/>
      <c r="B14" s="235" t="s">
        <v>178</v>
      </c>
      <c r="C14" s="236" t="s">
        <v>179</v>
      </c>
      <c r="D14" s="156"/>
      <c r="E14" s="156"/>
      <c r="F14" s="156"/>
      <c r="G14" s="159"/>
      <c r="H14" s="159"/>
      <c r="I14" s="159"/>
      <c r="J14" s="216" t="s">
        <v>150</v>
      </c>
      <c r="K14" s="219" t="s">
        <v>153</v>
      </c>
      <c r="L14" s="156"/>
    </row>
    <row r="15">
      <c r="A15" s="47"/>
      <c r="B15" s="244">
        <v>314.0</v>
      </c>
      <c r="C15" s="244">
        <v>318.0</v>
      </c>
      <c r="D15" s="172"/>
      <c r="E15" s="172"/>
      <c r="F15" s="172"/>
      <c r="G15" s="175"/>
      <c r="H15" s="175"/>
      <c r="I15" s="175"/>
      <c r="J15" s="224">
        <v>461.0</v>
      </c>
      <c r="K15" s="204" t="s">
        <v>398</v>
      </c>
      <c r="L15" s="172"/>
    </row>
    <row r="16">
      <c r="A16" s="154" t="s">
        <v>185</v>
      </c>
      <c r="B16" s="247" t="s">
        <v>186</v>
      </c>
      <c r="C16" s="156"/>
      <c r="D16" s="231" t="s">
        <v>175</v>
      </c>
      <c r="E16" s="156"/>
      <c r="F16" s="156"/>
      <c r="G16" s="156"/>
      <c r="H16" s="156"/>
      <c r="I16" s="156"/>
      <c r="J16" s="156"/>
      <c r="K16" s="156"/>
      <c r="L16" s="156"/>
    </row>
    <row r="17">
      <c r="A17" s="23"/>
      <c r="B17" s="249" t="s">
        <v>188</v>
      </c>
      <c r="C17" s="156"/>
      <c r="D17" s="236" t="s">
        <v>179</v>
      </c>
      <c r="E17" s="156"/>
      <c r="F17" s="156"/>
      <c r="G17" s="156"/>
      <c r="H17" s="156"/>
      <c r="I17" s="156"/>
      <c r="J17" s="156"/>
      <c r="K17" s="156"/>
      <c r="L17" s="156"/>
    </row>
    <row r="18">
      <c r="A18" s="47"/>
      <c r="B18" s="251">
        <v>314.0</v>
      </c>
      <c r="C18" s="172"/>
      <c r="D18" s="244">
        <v>318.0</v>
      </c>
      <c r="E18" s="172"/>
      <c r="F18" s="172"/>
      <c r="G18" s="172"/>
      <c r="H18" s="172"/>
      <c r="I18" s="172"/>
      <c r="J18" s="172"/>
      <c r="K18" s="172"/>
      <c r="L18" s="172"/>
    </row>
    <row r="19">
      <c r="A19" s="154" t="s">
        <v>192</v>
      </c>
      <c r="B19" s="156"/>
      <c r="C19" s="247" t="s">
        <v>186</v>
      </c>
      <c r="D19" s="156"/>
      <c r="E19" s="156"/>
      <c r="F19" s="156"/>
      <c r="G19" s="156"/>
      <c r="H19" s="156"/>
      <c r="I19" s="156"/>
      <c r="J19" s="156"/>
      <c r="K19" s="156"/>
      <c r="L19" s="156"/>
    </row>
    <row r="20">
      <c r="A20" s="23"/>
      <c r="B20" s="156"/>
      <c r="C20" s="249" t="s">
        <v>188</v>
      </c>
      <c r="D20" s="156"/>
      <c r="E20" s="156"/>
      <c r="F20" s="156"/>
      <c r="G20" s="156"/>
      <c r="H20" s="156"/>
      <c r="I20" s="156"/>
      <c r="J20" s="156"/>
      <c r="K20" s="156"/>
      <c r="L20" s="156"/>
    </row>
    <row r="21">
      <c r="A21" s="47"/>
      <c r="B21" s="172"/>
      <c r="C21" s="251">
        <v>314.0</v>
      </c>
      <c r="D21" s="172"/>
      <c r="E21" s="172"/>
      <c r="F21" s="172"/>
      <c r="G21" s="172"/>
      <c r="H21" s="172"/>
      <c r="I21" s="172"/>
      <c r="J21" s="172"/>
      <c r="K21" s="172"/>
      <c r="L21" s="172"/>
    </row>
    <row r="22">
      <c r="A22" s="149" t="s">
        <v>74</v>
      </c>
      <c r="B22" s="148"/>
      <c r="C22" s="46"/>
      <c r="D22" s="46"/>
      <c r="E22" s="46"/>
      <c r="F22" s="46"/>
      <c r="G22" s="46"/>
      <c r="H22" s="46"/>
      <c r="I22" s="46"/>
      <c r="J22" s="46"/>
      <c r="K22" s="46"/>
      <c r="L22" s="47"/>
    </row>
    <row r="23">
      <c r="A23" s="154" t="s">
        <v>130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</row>
    <row r="24">
      <c r="A24" s="23"/>
      <c r="B24" s="156"/>
      <c r="C24" s="156"/>
      <c r="D24" s="156"/>
      <c r="E24" s="156"/>
      <c r="F24" s="156"/>
      <c r="G24" s="156"/>
      <c r="H24" s="156"/>
      <c r="I24" s="156"/>
      <c r="J24" s="156"/>
      <c r="K24" s="156"/>
      <c r="L24" s="156"/>
    </row>
    <row r="25">
      <c r="A25" s="47"/>
      <c r="B25" s="172"/>
      <c r="C25" s="172"/>
      <c r="D25" s="172"/>
      <c r="E25" s="172"/>
      <c r="F25" s="172"/>
      <c r="G25" s="172"/>
      <c r="H25" s="172"/>
      <c r="I25" s="172"/>
      <c r="J25" s="172"/>
      <c r="K25" s="172"/>
      <c r="L25" s="172"/>
    </row>
    <row r="26">
      <c r="A26" s="163" t="s">
        <v>145</v>
      </c>
      <c r="B26" s="228"/>
      <c r="C26" s="156"/>
      <c r="D26" s="156"/>
      <c r="E26" s="156"/>
      <c r="F26" s="156"/>
      <c r="G26" s="156"/>
      <c r="H26" s="273" t="s">
        <v>209</v>
      </c>
      <c r="I26" s="228"/>
      <c r="J26" s="156"/>
      <c r="K26" s="522"/>
      <c r="L26" s="63"/>
    </row>
    <row r="27">
      <c r="B27" s="161"/>
      <c r="C27" s="156"/>
      <c r="D27" s="156"/>
      <c r="E27" s="156"/>
      <c r="F27" s="156"/>
      <c r="G27" s="156"/>
      <c r="H27" s="282" t="s">
        <v>219</v>
      </c>
      <c r="I27" s="161"/>
      <c r="J27" s="156"/>
      <c r="K27" s="283"/>
      <c r="L27" s="69"/>
    </row>
    <row r="28">
      <c r="A28" s="46"/>
      <c r="B28" s="177"/>
      <c r="C28" s="172"/>
      <c r="D28" s="172"/>
      <c r="E28" s="172"/>
      <c r="F28" s="172"/>
      <c r="G28" s="172"/>
      <c r="H28" s="204" t="s">
        <v>402</v>
      </c>
      <c r="I28" s="177"/>
      <c r="J28" s="172"/>
      <c r="K28" s="523"/>
      <c r="L28" s="76"/>
    </row>
    <row r="29">
      <c r="A29" s="154" t="s">
        <v>162</v>
      </c>
      <c r="B29" s="156"/>
      <c r="C29" s="156"/>
      <c r="D29" s="156"/>
      <c r="E29" s="156"/>
      <c r="F29" s="156"/>
      <c r="G29" s="182" t="s">
        <v>209</v>
      </c>
      <c r="H29" s="156"/>
      <c r="I29" s="156"/>
      <c r="J29" s="156"/>
      <c r="K29" s="498"/>
      <c r="L29" s="524" t="s">
        <v>404</v>
      </c>
    </row>
    <row r="30">
      <c r="A30" s="23"/>
      <c r="B30" s="156"/>
      <c r="C30" s="156"/>
      <c r="D30" s="156"/>
      <c r="E30" s="156"/>
      <c r="F30" s="156"/>
      <c r="G30" s="259" t="s">
        <v>219</v>
      </c>
      <c r="H30" s="156"/>
      <c r="I30" s="156"/>
      <c r="J30" s="156"/>
      <c r="K30" s="298"/>
      <c r="L30" s="299" t="s">
        <v>407</v>
      </c>
    </row>
    <row r="31">
      <c r="A31" s="47"/>
      <c r="B31" s="172"/>
      <c r="C31" s="172"/>
      <c r="D31" s="172"/>
      <c r="E31" s="172"/>
      <c r="F31" s="172"/>
      <c r="G31" s="204" t="s">
        <v>402</v>
      </c>
      <c r="H31" s="172"/>
      <c r="I31" s="172"/>
      <c r="J31" s="172"/>
      <c r="K31" s="323"/>
      <c r="L31" s="304">
        <v>317.0</v>
      </c>
    </row>
    <row r="32">
      <c r="A32" s="152" t="s">
        <v>174</v>
      </c>
      <c r="B32" s="156"/>
      <c r="C32" s="156"/>
      <c r="D32" s="156"/>
      <c r="E32" s="306" t="s">
        <v>240</v>
      </c>
      <c r="F32" s="23"/>
      <c r="G32" s="155" t="s">
        <v>241</v>
      </c>
      <c r="J32" s="23"/>
      <c r="K32" s="63"/>
      <c r="L32" s="524" t="s">
        <v>404</v>
      </c>
    </row>
    <row r="33">
      <c r="A33" s="38"/>
      <c r="B33" s="156"/>
      <c r="C33" s="156"/>
      <c r="D33" s="156"/>
      <c r="E33" s="309" t="s">
        <v>246</v>
      </c>
      <c r="F33" s="23"/>
      <c r="G33" s="310" t="s">
        <v>247</v>
      </c>
      <c r="J33" s="23"/>
      <c r="K33" s="69"/>
      <c r="L33" s="299" t="s">
        <v>407</v>
      </c>
    </row>
    <row r="34">
      <c r="A34" s="44"/>
      <c r="B34" s="172"/>
      <c r="C34" s="172"/>
      <c r="D34" s="172"/>
      <c r="E34" s="527" t="s">
        <v>411</v>
      </c>
      <c r="F34" s="47"/>
      <c r="G34" s="316" t="s">
        <v>137</v>
      </c>
      <c r="H34" s="46"/>
      <c r="I34" s="46"/>
      <c r="J34" s="47"/>
      <c r="K34" s="76"/>
      <c r="L34" s="304">
        <v>317.0</v>
      </c>
    </row>
    <row r="35">
      <c r="A35" s="154" t="s">
        <v>185</v>
      </c>
      <c r="B35" s="156"/>
      <c r="C35" s="156"/>
      <c r="D35" s="156"/>
      <c r="E35" s="306" t="s">
        <v>240</v>
      </c>
      <c r="F35" s="23"/>
      <c r="G35" s="134"/>
      <c r="H35" s="158"/>
      <c r="I35" s="228"/>
      <c r="J35" s="156"/>
      <c r="K35" s="449"/>
      <c r="L35" s="156"/>
    </row>
    <row r="36">
      <c r="A36" s="23"/>
      <c r="B36" s="156"/>
      <c r="C36" s="156"/>
      <c r="D36" s="156"/>
      <c r="E36" s="309" t="s">
        <v>246</v>
      </c>
      <c r="F36" s="23"/>
      <c r="G36" s="211"/>
      <c r="H36" s="154"/>
      <c r="I36" s="161"/>
      <c r="J36" s="156"/>
      <c r="K36" s="237"/>
      <c r="L36" s="156"/>
    </row>
    <row r="37">
      <c r="A37" s="47"/>
      <c r="B37" s="172"/>
      <c r="C37" s="172"/>
      <c r="D37" s="172"/>
      <c r="E37" s="527" t="s">
        <v>411</v>
      </c>
      <c r="F37" s="47"/>
      <c r="G37" s="226"/>
      <c r="H37" s="202"/>
      <c r="I37" s="177"/>
      <c r="J37" s="172"/>
      <c r="K37" s="412"/>
      <c r="L37" s="172"/>
    </row>
    <row r="38">
      <c r="A38" s="154" t="s">
        <v>192</v>
      </c>
      <c r="B38" s="156"/>
      <c r="C38" s="156"/>
      <c r="D38" s="156"/>
      <c r="E38" s="156"/>
      <c r="F38" s="156"/>
      <c r="G38" s="158"/>
      <c r="H38" s="63"/>
      <c r="I38" s="228"/>
      <c r="J38" s="63"/>
      <c r="K38" s="248" t="s">
        <v>413</v>
      </c>
      <c r="L38" s="156"/>
    </row>
    <row r="39">
      <c r="A39" s="23"/>
      <c r="B39" s="156"/>
      <c r="C39" s="156"/>
      <c r="D39" s="156"/>
      <c r="E39" s="156"/>
      <c r="F39" s="156"/>
      <c r="G39" s="154"/>
      <c r="H39" s="69"/>
      <c r="I39" s="161"/>
      <c r="J39" s="69"/>
      <c r="K39" s="250" t="s">
        <v>189</v>
      </c>
      <c r="L39" s="156"/>
    </row>
    <row r="40">
      <c r="A40" s="47"/>
      <c r="B40" s="172"/>
      <c r="C40" s="172"/>
      <c r="D40" s="172"/>
      <c r="E40" s="172"/>
      <c r="F40" s="172"/>
      <c r="G40" s="202"/>
      <c r="H40" s="76"/>
      <c r="I40" s="177"/>
      <c r="J40" s="76"/>
      <c r="K40" s="252" t="s">
        <v>414</v>
      </c>
      <c r="L40" s="172"/>
    </row>
    <row r="41">
      <c r="A41" s="149" t="s">
        <v>82</v>
      </c>
      <c r="B41" s="148"/>
      <c r="C41" s="46"/>
      <c r="D41" s="46"/>
      <c r="E41" s="46"/>
      <c r="F41" s="46"/>
      <c r="G41" s="46"/>
      <c r="H41" s="46"/>
      <c r="I41" s="46"/>
      <c r="J41" s="46"/>
      <c r="K41" s="46"/>
      <c r="L41" s="47"/>
    </row>
    <row r="42">
      <c r="A42" s="154" t="s">
        <v>130</v>
      </c>
      <c r="B42" s="156"/>
      <c r="C42" s="156"/>
      <c r="D42" s="156"/>
      <c r="E42" s="156"/>
      <c r="F42" s="156"/>
      <c r="G42" s="328" t="s">
        <v>262</v>
      </c>
      <c r="J42" s="23"/>
      <c r="K42" s="522"/>
      <c r="L42" s="227"/>
    </row>
    <row r="43">
      <c r="A43" s="23"/>
      <c r="B43" s="156"/>
      <c r="C43" s="156"/>
      <c r="D43" s="156"/>
      <c r="E43" s="156"/>
      <c r="F43" s="156"/>
      <c r="G43" s="334" t="s">
        <v>269</v>
      </c>
      <c r="J43" s="23"/>
      <c r="K43" s="283"/>
      <c r="L43" s="234"/>
    </row>
    <row r="44">
      <c r="A44" s="47"/>
      <c r="B44" s="172"/>
      <c r="C44" s="172"/>
      <c r="D44" s="172"/>
      <c r="E44" s="172"/>
      <c r="F44" s="172"/>
      <c r="G44" s="341">
        <v>106.0</v>
      </c>
      <c r="H44" s="46"/>
      <c r="I44" s="46"/>
      <c r="J44" s="47"/>
      <c r="K44" s="523"/>
      <c r="L44" s="240"/>
    </row>
    <row r="45">
      <c r="A45" s="154" t="s">
        <v>145</v>
      </c>
      <c r="B45" s="156"/>
      <c r="C45" s="156"/>
      <c r="D45" s="156"/>
      <c r="E45" s="156"/>
      <c r="F45" s="156"/>
      <c r="G45" s="247" t="s">
        <v>278</v>
      </c>
      <c r="H45" s="158"/>
      <c r="I45" s="182" t="s">
        <v>209</v>
      </c>
      <c r="J45" s="247" t="s">
        <v>278</v>
      </c>
      <c r="K45" s="522"/>
      <c r="L45" s="63"/>
    </row>
    <row r="46">
      <c r="A46" s="23"/>
      <c r="B46" s="156"/>
      <c r="C46" s="156"/>
      <c r="D46" s="156"/>
      <c r="E46" s="156"/>
      <c r="F46" s="156"/>
      <c r="G46" s="337" t="s">
        <v>284</v>
      </c>
      <c r="H46" s="168"/>
      <c r="I46" s="259" t="s">
        <v>219</v>
      </c>
      <c r="J46" s="249" t="s">
        <v>150</v>
      </c>
      <c r="K46" s="283"/>
      <c r="L46" s="69"/>
    </row>
    <row r="47">
      <c r="A47" s="47"/>
      <c r="B47" s="172"/>
      <c r="C47" s="172"/>
      <c r="D47" s="172"/>
      <c r="E47" s="172"/>
      <c r="F47" s="172"/>
      <c r="G47" s="251">
        <v>318.0</v>
      </c>
      <c r="H47" s="174"/>
      <c r="I47" s="204">
        <v>308.0</v>
      </c>
      <c r="J47" s="251" t="s">
        <v>417</v>
      </c>
      <c r="K47" s="523"/>
      <c r="L47" s="76"/>
    </row>
    <row r="48">
      <c r="A48" s="154" t="s">
        <v>162</v>
      </c>
      <c r="B48" s="328" t="s">
        <v>289</v>
      </c>
      <c r="D48" s="23"/>
      <c r="E48" s="63"/>
      <c r="F48" s="63"/>
      <c r="G48" s="254"/>
      <c r="H48" s="247" t="s">
        <v>278</v>
      </c>
      <c r="I48" s="247" t="s">
        <v>278</v>
      </c>
      <c r="J48" s="182" t="s">
        <v>209</v>
      </c>
      <c r="K48" s="63"/>
      <c r="L48" s="156"/>
    </row>
    <row r="49">
      <c r="A49" s="23"/>
      <c r="B49" s="365" t="s">
        <v>294</v>
      </c>
      <c r="D49" s="23"/>
      <c r="E49" s="69"/>
      <c r="F49" s="69"/>
      <c r="G49" s="254"/>
      <c r="H49" s="337" t="s">
        <v>284</v>
      </c>
      <c r="I49" s="249" t="s">
        <v>150</v>
      </c>
      <c r="J49" s="259" t="s">
        <v>219</v>
      </c>
      <c r="K49" s="69"/>
      <c r="L49" s="156"/>
    </row>
    <row r="50">
      <c r="A50" s="47"/>
      <c r="B50" s="371">
        <v>105.0</v>
      </c>
      <c r="C50" s="46"/>
      <c r="D50" s="47"/>
      <c r="E50" s="76"/>
      <c r="F50" s="76"/>
      <c r="G50" s="372"/>
      <c r="H50" s="251">
        <v>318.0</v>
      </c>
      <c r="I50" s="251" t="s">
        <v>417</v>
      </c>
      <c r="J50" s="204">
        <v>308.0</v>
      </c>
      <c r="K50" s="76"/>
      <c r="L50" s="172"/>
    </row>
    <row r="51">
      <c r="A51" s="154" t="s">
        <v>174</v>
      </c>
      <c r="B51" s="63"/>
      <c r="C51" s="63"/>
      <c r="D51" s="247" t="s">
        <v>186</v>
      </c>
      <c r="E51" s="63"/>
      <c r="F51" s="254"/>
      <c r="G51" s="155" t="s">
        <v>241</v>
      </c>
      <c r="J51" s="23"/>
      <c r="K51" s="63"/>
      <c r="L51" s="156"/>
    </row>
    <row r="52">
      <c r="A52" s="23"/>
      <c r="B52" s="69"/>
      <c r="C52" s="69"/>
      <c r="D52" s="249" t="s">
        <v>301</v>
      </c>
      <c r="E52" s="69"/>
      <c r="F52" s="254"/>
      <c r="G52" s="310" t="s">
        <v>247</v>
      </c>
      <c r="J52" s="23"/>
      <c r="K52" s="69"/>
      <c r="L52" s="156"/>
    </row>
    <row r="53">
      <c r="A53" s="47"/>
      <c r="B53" s="76"/>
      <c r="C53" s="76"/>
      <c r="D53" s="251">
        <v>312.0</v>
      </c>
      <c r="E53" s="76"/>
      <c r="F53" s="254"/>
      <c r="G53" s="316" t="s">
        <v>418</v>
      </c>
      <c r="H53" s="46"/>
      <c r="I53" s="46"/>
      <c r="J53" s="47"/>
      <c r="K53" s="76"/>
      <c r="L53" s="172"/>
    </row>
    <row r="54">
      <c r="A54" s="154" t="s">
        <v>185</v>
      </c>
      <c r="B54" s="63"/>
      <c r="C54" s="63"/>
      <c r="D54" s="63"/>
      <c r="F54" s="380" t="s">
        <v>303</v>
      </c>
      <c r="G54" s="159"/>
      <c r="H54" s="158"/>
      <c r="I54" s="63"/>
      <c r="J54" s="156"/>
      <c r="K54" s="156"/>
      <c r="L54" s="156"/>
    </row>
    <row r="55">
      <c r="A55" s="23"/>
      <c r="B55" s="69"/>
      <c r="C55" s="69"/>
      <c r="D55" s="69"/>
      <c r="F55" s="384" t="s">
        <v>202</v>
      </c>
      <c r="G55" s="159"/>
      <c r="H55" s="168"/>
      <c r="I55" s="69"/>
      <c r="J55" s="156"/>
      <c r="K55" s="156"/>
      <c r="L55" s="156"/>
    </row>
    <row r="56">
      <c r="A56" s="47"/>
      <c r="B56" s="76"/>
      <c r="C56" s="76"/>
      <c r="D56" s="76"/>
      <c r="E56" s="388"/>
      <c r="F56" s="389">
        <v>318.0</v>
      </c>
      <c r="G56" s="175"/>
      <c r="H56" s="174"/>
      <c r="I56" s="76"/>
      <c r="J56" s="172"/>
      <c r="K56" s="172"/>
      <c r="L56" s="172"/>
    </row>
    <row r="57">
      <c r="A57" s="154" t="s">
        <v>192</v>
      </c>
      <c r="B57" s="156"/>
      <c r="C57" s="156"/>
      <c r="D57" s="156"/>
      <c r="E57" s="391" t="s">
        <v>303</v>
      </c>
      <c r="F57" s="156"/>
      <c r="G57" s="156"/>
      <c r="H57" s="156"/>
      <c r="I57" s="156"/>
      <c r="J57" s="156"/>
      <c r="K57" s="156"/>
      <c r="L57" s="156"/>
    </row>
    <row r="58">
      <c r="A58" s="23"/>
      <c r="B58" s="156"/>
      <c r="C58" s="156"/>
      <c r="D58" s="359"/>
      <c r="E58" s="394" t="s">
        <v>202</v>
      </c>
      <c r="F58" s="156"/>
      <c r="G58" s="156"/>
      <c r="H58" s="156"/>
      <c r="I58" s="156"/>
      <c r="J58" s="156"/>
      <c r="K58" s="156"/>
      <c r="L58" s="156"/>
    </row>
    <row r="59">
      <c r="A59" s="47"/>
      <c r="B59" s="172"/>
      <c r="C59" s="172"/>
      <c r="D59" s="172"/>
      <c r="E59" s="389">
        <v>318.0</v>
      </c>
      <c r="F59" s="172"/>
      <c r="G59" s="172"/>
      <c r="H59" s="172"/>
      <c r="I59" s="172"/>
      <c r="J59" s="172"/>
      <c r="K59" s="172"/>
      <c r="L59" s="172"/>
    </row>
    <row r="60">
      <c r="A60" s="149" t="s">
        <v>86</v>
      </c>
      <c r="B60" s="148"/>
      <c r="C60" s="46"/>
      <c r="D60" s="46"/>
      <c r="E60" s="46"/>
      <c r="F60" s="46"/>
      <c r="G60" s="46"/>
      <c r="H60" s="46"/>
      <c r="I60" s="46"/>
      <c r="J60" s="46"/>
      <c r="K60" s="46"/>
      <c r="L60" s="47"/>
    </row>
    <row r="61">
      <c r="A61" s="154" t="s">
        <v>130</v>
      </c>
      <c r="B61" s="397" t="s">
        <v>85</v>
      </c>
      <c r="L61" s="23"/>
    </row>
    <row r="62">
      <c r="A62" s="23"/>
      <c r="L62" s="23"/>
    </row>
    <row r="63">
      <c r="A63" s="47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7"/>
    </row>
    <row r="64">
      <c r="A64" s="154" t="s">
        <v>145</v>
      </c>
      <c r="B64" s="156"/>
      <c r="C64" s="156"/>
      <c r="D64" s="156"/>
      <c r="E64" s="156"/>
      <c r="F64" s="156"/>
      <c r="G64" s="400" t="s">
        <v>316</v>
      </c>
      <c r="H64" s="23"/>
      <c r="I64" s="401" t="s">
        <v>317</v>
      </c>
      <c r="J64" s="23"/>
      <c r="K64" s="402" t="s">
        <v>318</v>
      </c>
      <c r="L64" s="403" t="s">
        <v>319</v>
      </c>
    </row>
    <row r="65">
      <c r="A65" s="23"/>
      <c r="B65" s="156"/>
      <c r="C65" s="156"/>
      <c r="D65" s="156"/>
      <c r="E65" s="156"/>
      <c r="F65" s="156"/>
      <c r="G65" s="406" t="s">
        <v>45</v>
      </c>
      <c r="H65" s="23"/>
      <c r="I65" s="407" t="s">
        <v>320</v>
      </c>
      <c r="J65" s="23"/>
      <c r="K65" s="263" t="s">
        <v>218</v>
      </c>
      <c r="L65" s="408" t="s">
        <v>321</v>
      </c>
    </row>
    <row r="66">
      <c r="A66" s="47"/>
      <c r="B66" s="172"/>
      <c r="C66" s="172"/>
      <c r="D66" s="172"/>
      <c r="E66" s="172"/>
      <c r="F66" s="172"/>
      <c r="G66" s="409">
        <v>107.0</v>
      </c>
      <c r="H66" s="47"/>
      <c r="I66" s="530" t="s">
        <v>137</v>
      </c>
      <c r="J66" s="47"/>
      <c r="K66" s="200">
        <v>103.0</v>
      </c>
      <c r="L66" s="411">
        <v>461.0</v>
      </c>
    </row>
    <row r="67">
      <c r="A67" s="154" t="s">
        <v>162</v>
      </c>
      <c r="B67" s="414" t="s">
        <v>324</v>
      </c>
      <c r="F67" s="23"/>
      <c r="G67" s="63"/>
      <c r="H67" s="415" t="s">
        <v>325</v>
      </c>
      <c r="I67" s="63"/>
      <c r="J67" s="416" t="s">
        <v>326</v>
      </c>
      <c r="K67" s="417" t="s">
        <v>327</v>
      </c>
      <c r="L67" s="403" t="s">
        <v>319</v>
      </c>
    </row>
    <row r="68">
      <c r="A68" s="23"/>
      <c r="B68" s="422" t="s">
        <v>329</v>
      </c>
      <c r="F68" s="23"/>
      <c r="G68" s="69"/>
      <c r="H68" s="423" t="s">
        <v>200</v>
      </c>
      <c r="I68" s="69"/>
      <c r="J68" s="424" t="s">
        <v>166</v>
      </c>
      <c r="K68" s="425" t="s">
        <v>329</v>
      </c>
      <c r="L68" s="426" t="s">
        <v>330</v>
      </c>
    </row>
    <row r="69">
      <c r="A69" s="47"/>
      <c r="B69" s="429">
        <v>105.0</v>
      </c>
      <c r="C69" s="46"/>
      <c r="D69" s="46"/>
      <c r="E69" s="46"/>
      <c r="F69" s="47"/>
      <c r="G69" s="76"/>
      <c r="H69" s="430">
        <v>317.0</v>
      </c>
      <c r="I69" s="76"/>
      <c r="J69" s="431">
        <v>312.0</v>
      </c>
      <c r="K69" s="432">
        <v>105.0</v>
      </c>
      <c r="L69" s="411">
        <v>461.0</v>
      </c>
    </row>
    <row r="70">
      <c r="A70" s="154" t="s">
        <v>174</v>
      </c>
      <c r="B70" s="358" t="s">
        <v>333</v>
      </c>
      <c r="F70" s="23"/>
      <c r="G70" s="415" t="s">
        <v>325</v>
      </c>
      <c r="H70" s="63"/>
      <c r="I70" s="416" t="s">
        <v>326</v>
      </c>
      <c r="J70" s="63"/>
      <c r="K70" s="402" t="s">
        <v>334</v>
      </c>
      <c r="L70" s="435" t="s">
        <v>335</v>
      </c>
    </row>
    <row r="71">
      <c r="A71" s="23"/>
      <c r="B71" s="439" t="s">
        <v>340</v>
      </c>
      <c r="F71" s="23"/>
      <c r="G71" s="423" t="s">
        <v>200</v>
      </c>
      <c r="H71" s="69"/>
      <c r="I71" s="424" t="s">
        <v>166</v>
      </c>
      <c r="J71" s="69"/>
      <c r="K71" s="285" t="s">
        <v>215</v>
      </c>
      <c r="L71" s="320" t="s">
        <v>341</v>
      </c>
    </row>
    <row r="72">
      <c r="A72" s="47"/>
      <c r="B72" s="444">
        <v>108.0</v>
      </c>
      <c r="C72" s="46"/>
      <c r="D72" s="46"/>
      <c r="E72" s="46"/>
      <c r="F72" s="47"/>
      <c r="G72" s="430">
        <v>317.0</v>
      </c>
      <c r="H72" s="76"/>
      <c r="I72" s="431">
        <v>312.0</v>
      </c>
      <c r="J72" s="76"/>
      <c r="K72" s="200">
        <v>209.0</v>
      </c>
      <c r="L72" s="445">
        <v>461.0</v>
      </c>
    </row>
    <row r="73">
      <c r="A73" s="154" t="s">
        <v>185</v>
      </c>
      <c r="B73" s="358" t="s">
        <v>346</v>
      </c>
      <c r="F73" s="23"/>
      <c r="G73" s="159"/>
      <c r="H73" s="448"/>
      <c r="I73" s="305"/>
      <c r="J73" s="305"/>
      <c r="K73" s="63"/>
      <c r="L73" s="435" t="s">
        <v>347</v>
      </c>
    </row>
    <row r="74">
      <c r="A74" s="23"/>
      <c r="B74" s="439" t="s">
        <v>340</v>
      </c>
      <c r="F74" s="23"/>
      <c r="G74" s="159"/>
      <c r="H74" s="168"/>
      <c r="I74" s="156"/>
      <c r="J74" s="156"/>
      <c r="K74" s="69"/>
      <c r="L74" s="450" t="s">
        <v>348</v>
      </c>
    </row>
    <row r="75">
      <c r="A75" s="47"/>
      <c r="B75" s="444">
        <v>108.0</v>
      </c>
      <c r="C75" s="46"/>
      <c r="D75" s="46"/>
      <c r="E75" s="46"/>
      <c r="F75" s="47"/>
      <c r="G75" s="175"/>
      <c r="H75" s="174"/>
      <c r="I75" s="172"/>
      <c r="J75" s="172"/>
      <c r="K75" s="76"/>
      <c r="L75" s="445">
        <v>461.0</v>
      </c>
    </row>
    <row r="76">
      <c r="A76" s="154" t="s">
        <v>192</v>
      </c>
      <c r="B76" s="156"/>
      <c r="C76" s="156"/>
      <c r="D76" s="156"/>
      <c r="E76" s="156"/>
      <c r="F76" s="156"/>
      <c r="G76" s="159"/>
      <c r="H76" s="158"/>
      <c r="I76" s="156"/>
      <c r="J76" s="156"/>
      <c r="K76" s="156"/>
      <c r="L76" s="156"/>
    </row>
    <row r="77">
      <c r="A77" s="23"/>
      <c r="B77" s="156"/>
      <c r="C77" s="156"/>
      <c r="D77" s="156"/>
      <c r="E77" s="156"/>
      <c r="F77" s="156"/>
      <c r="G77" s="159"/>
      <c r="H77" s="168"/>
      <c r="I77" s="156"/>
      <c r="J77" s="156"/>
      <c r="K77" s="156"/>
      <c r="L77" s="156"/>
    </row>
    <row r="78">
      <c r="A78" s="47"/>
      <c r="B78" s="172"/>
      <c r="C78" s="172"/>
      <c r="D78" s="172"/>
      <c r="E78" s="172"/>
      <c r="F78" s="172"/>
      <c r="G78" s="175"/>
      <c r="H78" s="174"/>
      <c r="I78" s="172"/>
      <c r="J78" s="172"/>
      <c r="K78" s="172"/>
      <c r="L78" s="172"/>
    </row>
    <row r="79">
      <c r="A79" s="149" t="s">
        <v>92</v>
      </c>
      <c r="B79" s="148"/>
      <c r="C79" s="46"/>
      <c r="D79" s="46"/>
      <c r="E79" s="46"/>
      <c r="F79" s="46"/>
      <c r="G79" s="46"/>
      <c r="H79" s="46"/>
      <c r="I79" s="46"/>
      <c r="J79" s="46"/>
      <c r="K79" s="46"/>
      <c r="L79" s="47"/>
    </row>
    <row r="80">
      <c r="A80" s="154" t="s">
        <v>130</v>
      </c>
      <c r="B80" s="159"/>
      <c r="C80" s="159"/>
      <c r="D80" s="159"/>
      <c r="E80" s="230"/>
      <c r="F80" s="230"/>
      <c r="G80" s="159"/>
      <c r="H80" s="159"/>
      <c r="I80" s="230"/>
      <c r="J80" s="230"/>
      <c r="K80" s="230"/>
      <c r="L80" s="230"/>
    </row>
    <row r="81">
      <c r="A81" s="23"/>
      <c r="B81" s="159"/>
      <c r="C81" s="159"/>
      <c r="D81" s="159"/>
      <c r="E81" s="230"/>
      <c r="F81" s="230"/>
      <c r="G81" s="159"/>
      <c r="H81" s="159"/>
      <c r="I81" s="230"/>
      <c r="J81" s="230"/>
      <c r="K81" s="230"/>
      <c r="L81" s="230"/>
    </row>
    <row r="82">
      <c r="A82" s="47"/>
      <c r="B82" s="175"/>
      <c r="C82" s="175"/>
      <c r="D82" s="175"/>
      <c r="E82" s="243"/>
      <c r="F82" s="243"/>
      <c r="G82" s="175"/>
      <c r="H82" s="175"/>
      <c r="I82" s="243"/>
      <c r="J82" s="243"/>
      <c r="K82" s="243"/>
      <c r="L82" s="243"/>
    </row>
    <row r="83">
      <c r="A83" s="154" t="s">
        <v>145</v>
      </c>
      <c r="B83" s="159"/>
      <c r="C83" s="159"/>
      <c r="D83" s="159"/>
      <c r="E83" s="230"/>
      <c r="F83" s="230"/>
      <c r="G83" s="159"/>
      <c r="H83" s="159"/>
      <c r="I83" s="230"/>
      <c r="J83" s="230"/>
      <c r="K83" s="158"/>
      <c r="L83" s="158"/>
    </row>
    <row r="84">
      <c r="A84" s="23"/>
      <c r="B84" s="159"/>
      <c r="C84" s="159"/>
      <c r="D84" s="159"/>
      <c r="E84" s="230"/>
      <c r="F84" s="230"/>
      <c r="G84" s="159"/>
      <c r="H84" s="159"/>
      <c r="I84" s="230"/>
      <c r="J84" s="230"/>
      <c r="K84" s="154"/>
      <c r="L84" s="154"/>
    </row>
    <row r="85">
      <c r="A85" s="47"/>
      <c r="B85" s="175"/>
      <c r="C85" s="175"/>
      <c r="D85" s="175"/>
      <c r="E85" s="243"/>
      <c r="F85" s="243"/>
      <c r="G85" s="175"/>
      <c r="H85" s="175"/>
      <c r="I85" s="243"/>
      <c r="J85" s="243"/>
      <c r="K85" s="174"/>
      <c r="L85" s="174"/>
    </row>
    <row r="86">
      <c r="A86" s="154" t="s">
        <v>162</v>
      </c>
      <c r="B86" s="230"/>
      <c r="C86" s="230"/>
      <c r="D86" s="230"/>
      <c r="E86" s="156"/>
      <c r="F86" s="156"/>
      <c r="G86" s="230"/>
      <c r="H86" s="230"/>
      <c r="I86" s="156"/>
      <c r="J86" s="156"/>
      <c r="K86" s="158"/>
      <c r="L86" s="158"/>
    </row>
    <row r="87">
      <c r="A87" s="23"/>
      <c r="B87" s="230"/>
      <c r="C87" s="230"/>
      <c r="D87" s="230"/>
      <c r="E87" s="156"/>
      <c r="F87" s="156"/>
      <c r="G87" s="230"/>
      <c r="H87" s="230"/>
      <c r="I87" s="156"/>
      <c r="J87" s="156"/>
      <c r="K87" s="154"/>
      <c r="L87" s="154"/>
    </row>
    <row r="88">
      <c r="A88" s="47"/>
      <c r="B88" s="243"/>
      <c r="C88" s="243"/>
      <c r="D88" s="243"/>
      <c r="E88" s="172"/>
      <c r="F88" s="172"/>
      <c r="G88" s="243"/>
      <c r="H88" s="243"/>
      <c r="I88" s="172"/>
      <c r="J88" s="172"/>
      <c r="K88" s="174"/>
      <c r="L88" s="174"/>
    </row>
    <row r="89">
      <c r="A89" s="154" t="s">
        <v>174</v>
      </c>
      <c r="B89" s="230"/>
      <c r="C89" s="230"/>
      <c r="D89" s="230"/>
      <c r="E89" s="156"/>
      <c r="F89" s="156"/>
      <c r="G89" s="230"/>
      <c r="H89" s="230"/>
      <c r="I89" s="156"/>
      <c r="J89" s="156"/>
      <c r="K89" s="230"/>
      <c r="L89" s="230"/>
    </row>
    <row r="90">
      <c r="A90" s="23"/>
      <c r="B90" s="230"/>
      <c r="C90" s="230"/>
      <c r="D90" s="230"/>
      <c r="E90" s="156"/>
      <c r="F90" s="156"/>
      <c r="G90" s="230"/>
      <c r="H90" s="230"/>
      <c r="I90" s="156"/>
      <c r="J90" s="156"/>
      <c r="K90" s="230"/>
      <c r="L90" s="230"/>
    </row>
    <row r="91">
      <c r="A91" s="47"/>
      <c r="B91" s="243"/>
      <c r="C91" s="243"/>
      <c r="D91" s="243"/>
      <c r="E91" s="172"/>
      <c r="F91" s="172"/>
      <c r="G91" s="243"/>
      <c r="H91" s="243"/>
      <c r="I91" s="172"/>
      <c r="J91" s="172"/>
      <c r="K91" s="243"/>
      <c r="L91" s="243"/>
    </row>
    <row r="92">
      <c r="A92" s="154" t="s">
        <v>185</v>
      </c>
      <c r="B92" s="230"/>
      <c r="C92" s="230"/>
      <c r="D92" s="230"/>
      <c r="E92" s="230"/>
      <c r="F92" s="230"/>
      <c r="G92" s="230"/>
      <c r="H92" s="230"/>
      <c r="I92" s="230"/>
      <c r="J92" s="230"/>
      <c r="K92" s="230"/>
      <c r="L92" s="230"/>
    </row>
    <row r="93">
      <c r="A93" s="23"/>
      <c r="B93" s="230"/>
      <c r="C93" s="230"/>
      <c r="D93" s="230"/>
      <c r="E93" s="230"/>
      <c r="F93" s="230"/>
      <c r="G93" s="230"/>
      <c r="H93" s="230"/>
      <c r="I93" s="230"/>
      <c r="J93" s="230"/>
      <c r="K93" s="230"/>
      <c r="L93" s="230"/>
    </row>
    <row r="94">
      <c r="A94" s="47"/>
      <c r="B94" s="243"/>
      <c r="C94" s="243"/>
      <c r="D94" s="243"/>
      <c r="E94" s="243"/>
      <c r="F94" s="243"/>
      <c r="G94" s="243"/>
      <c r="H94" s="243"/>
      <c r="I94" s="243"/>
      <c r="J94" s="243"/>
      <c r="K94" s="243"/>
      <c r="L94" s="243"/>
    </row>
    <row r="95">
      <c r="A95" s="154" t="s">
        <v>192</v>
      </c>
      <c r="B95" s="230"/>
      <c r="C95" s="230"/>
      <c r="D95" s="230"/>
      <c r="E95" s="230"/>
      <c r="F95" s="230"/>
      <c r="G95" s="230"/>
      <c r="H95" s="230"/>
      <c r="I95" s="227"/>
      <c r="J95" s="156"/>
      <c r="K95" s="230"/>
      <c r="L95" s="230"/>
    </row>
    <row r="96">
      <c r="A96" s="23"/>
      <c r="B96" s="230"/>
      <c r="C96" s="230"/>
      <c r="D96" s="230"/>
      <c r="E96" s="230"/>
      <c r="F96" s="230"/>
      <c r="G96" s="230"/>
      <c r="H96" s="230"/>
      <c r="I96" s="234"/>
      <c r="J96" s="156"/>
      <c r="K96" s="230"/>
      <c r="L96" s="230"/>
    </row>
    <row r="97">
      <c r="A97" s="47"/>
      <c r="B97" s="243"/>
      <c r="C97" s="243"/>
      <c r="D97" s="243"/>
      <c r="E97" s="243"/>
      <c r="F97" s="243"/>
      <c r="G97" s="243"/>
      <c r="H97" s="243"/>
      <c r="I97" s="240"/>
      <c r="J97" s="172"/>
      <c r="K97" s="243"/>
      <c r="L97" s="243"/>
    </row>
    <row r="98">
      <c r="A98" s="149" t="s">
        <v>103</v>
      </c>
      <c r="B98" s="148"/>
      <c r="C98" s="46"/>
      <c r="D98" s="46"/>
      <c r="E98" s="46"/>
      <c r="F98" s="46"/>
      <c r="G98" s="46"/>
      <c r="H98" s="46"/>
      <c r="I98" s="46"/>
      <c r="J98" s="46"/>
      <c r="K98" s="46"/>
      <c r="L98" s="47"/>
    </row>
    <row r="99">
      <c r="A99" s="154" t="s">
        <v>130</v>
      </c>
      <c r="B99" s="396" t="s">
        <v>85</v>
      </c>
      <c r="L99" s="23"/>
    </row>
    <row r="100">
      <c r="A100" s="23"/>
      <c r="L100" s="23"/>
    </row>
    <row r="101">
      <c r="A101" s="47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7"/>
    </row>
    <row r="102">
      <c r="A102" s="154" t="s">
        <v>145</v>
      </c>
      <c r="B102" s="156"/>
      <c r="C102" s="156"/>
      <c r="D102" s="156"/>
      <c r="E102" s="506" t="s">
        <v>386</v>
      </c>
      <c r="F102" s="23"/>
      <c r="G102" s="156"/>
      <c r="H102" s="156"/>
      <c r="I102" s="156"/>
      <c r="J102" s="156"/>
      <c r="K102" s="156"/>
      <c r="L102" s="524" t="s">
        <v>435</v>
      </c>
    </row>
    <row r="103">
      <c r="A103" s="23"/>
      <c r="B103" s="156"/>
      <c r="C103" s="156"/>
      <c r="D103" s="156"/>
      <c r="E103" s="509" t="s">
        <v>387</v>
      </c>
      <c r="F103" s="23"/>
      <c r="G103" s="156"/>
      <c r="H103" s="156"/>
      <c r="I103" s="156"/>
      <c r="J103" s="156"/>
      <c r="K103" s="156"/>
      <c r="L103" s="537" t="s">
        <v>361</v>
      </c>
    </row>
    <row r="104">
      <c r="A104" s="47"/>
      <c r="B104" s="172"/>
      <c r="C104" s="172"/>
      <c r="D104" s="172"/>
      <c r="E104" s="510" t="s">
        <v>439</v>
      </c>
      <c r="F104" s="47"/>
      <c r="G104" s="172"/>
      <c r="H104" s="172"/>
      <c r="I104" s="172"/>
      <c r="J104" s="172"/>
      <c r="K104" s="172"/>
      <c r="L104" s="304">
        <v>301.0</v>
      </c>
    </row>
    <row r="105">
      <c r="A105" s="154" t="s">
        <v>162</v>
      </c>
      <c r="B105" s="156"/>
      <c r="C105" s="156"/>
      <c r="D105" s="156"/>
      <c r="E105" s="506" t="s">
        <v>386</v>
      </c>
      <c r="F105" s="23"/>
      <c r="G105" s="156"/>
      <c r="H105" s="156"/>
      <c r="I105" s="156"/>
      <c r="J105" s="156"/>
      <c r="K105" s="156"/>
      <c r="L105" s="524" t="s">
        <v>435</v>
      </c>
    </row>
    <row r="106">
      <c r="A106" s="23"/>
      <c r="B106" s="156"/>
      <c r="C106" s="156"/>
      <c r="D106" s="156"/>
      <c r="E106" s="509" t="s">
        <v>387</v>
      </c>
      <c r="F106" s="23"/>
      <c r="G106" s="156"/>
      <c r="H106" s="156"/>
      <c r="I106" s="156"/>
      <c r="J106" s="156"/>
      <c r="K106" s="156"/>
      <c r="L106" s="539" t="s">
        <v>361</v>
      </c>
    </row>
    <row r="107">
      <c r="A107" s="47"/>
      <c r="B107" s="172"/>
      <c r="C107" s="172"/>
      <c r="D107" s="172"/>
      <c r="E107" s="510" t="s">
        <v>439</v>
      </c>
      <c r="F107" s="47"/>
      <c r="G107" s="172"/>
      <c r="H107" s="172"/>
      <c r="I107" s="172"/>
      <c r="J107" s="172"/>
      <c r="K107" s="172"/>
      <c r="L107" s="304">
        <v>301.0</v>
      </c>
    </row>
    <row r="108">
      <c r="A108" s="154" t="s">
        <v>174</v>
      </c>
      <c r="B108" s="156"/>
      <c r="C108" s="156"/>
      <c r="D108" s="156"/>
      <c r="E108" s="512" t="s">
        <v>389</v>
      </c>
      <c r="F108" s="512" t="s">
        <v>389</v>
      </c>
      <c r="G108" s="156"/>
      <c r="H108" s="156"/>
      <c r="I108" s="156"/>
      <c r="J108" s="156"/>
      <c r="K108" s="156"/>
      <c r="L108" s="156"/>
    </row>
    <row r="109">
      <c r="A109" s="23"/>
      <c r="B109" s="156"/>
      <c r="C109" s="156"/>
      <c r="D109" s="156"/>
      <c r="E109" s="513" t="s">
        <v>387</v>
      </c>
      <c r="F109" s="513" t="s">
        <v>390</v>
      </c>
      <c r="G109" s="156"/>
      <c r="H109" s="156"/>
      <c r="I109" s="156"/>
      <c r="J109" s="156"/>
      <c r="K109" s="156"/>
      <c r="L109" s="156"/>
    </row>
    <row r="110">
      <c r="A110" s="47"/>
      <c r="B110" s="172"/>
      <c r="C110" s="172"/>
      <c r="D110" s="172"/>
      <c r="E110" s="514" t="s">
        <v>441</v>
      </c>
      <c r="F110" s="514" t="s">
        <v>442</v>
      </c>
      <c r="G110" s="172"/>
      <c r="H110" s="172"/>
      <c r="I110" s="172"/>
      <c r="J110" s="172"/>
      <c r="K110" s="172"/>
      <c r="L110" s="172"/>
    </row>
    <row r="111">
      <c r="A111" s="154" t="s">
        <v>185</v>
      </c>
      <c r="B111" s="156"/>
      <c r="C111" s="156"/>
      <c r="D111" s="156"/>
      <c r="E111" s="512" t="s">
        <v>389</v>
      </c>
      <c r="F111" s="512" t="s">
        <v>389</v>
      </c>
      <c r="G111" s="156"/>
      <c r="H111" s="156"/>
      <c r="I111" s="156"/>
      <c r="J111" s="156"/>
      <c r="K111" s="156"/>
      <c r="L111" s="156"/>
    </row>
    <row r="112">
      <c r="A112" s="23"/>
      <c r="B112" s="156"/>
      <c r="C112" s="156"/>
      <c r="D112" s="156"/>
      <c r="E112" s="513" t="s">
        <v>387</v>
      </c>
      <c r="F112" s="513" t="s">
        <v>390</v>
      </c>
      <c r="G112" s="156"/>
      <c r="H112" s="156"/>
      <c r="I112" s="156"/>
      <c r="J112" s="156"/>
      <c r="K112" s="156"/>
      <c r="L112" s="156"/>
    </row>
    <row r="113">
      <c r="A113" s="47"/>
      <c r="B113" s="172"/>
      <c r="C113" s="172"/>
      <c r="D113" s="172"/>
      <c r="E113" s="514" t="s">
        <v>441</v>
      </c>
      <c r="F113" s="514" t="s">
        <v>442</v>
      </c>
      <c r="G113" s="172"/>
      <c r="H113" s="172"/>
      <c r="I113" s="172"/>
      <c r="J113" s="172"/>
      <c r="K113" s="172"/>
      <c r="L113" s="172"/>
    </row>
    <row r="114">
      <c r="A114" s="154" t="s">
        <v>192</v>
      </c>
      <c r="B114" s="156"/>
      <c r="C114" s="156"/>
      <c r="D114" s="156"/>
      <c r="E114" s="156"/>
      <c r="F114" s="156"/>
      <c r="G114" s="156"/>
      <c r="H114" s="156"/>
      <c r="I114" s="156"/>
      <c r="J114" s="156"/>
      <c r="K114" s="156"/>
      <c r="L114" s="156"/>
    </row>
    <row r="115">
      <c r="A115" s="23"/>
      <c r="B115" s="156"/>
      <c r="C115" s="156"/>
      <c r="D115" s="156"/>
      <c r="E115" s="156"/>
      <c r="F115" s="156"/>
      <c r="G115" s="156"/>
      <c r="H115" s="156"/>
      <c r="I115" s="156"/>
      <c r="J115" s="156"/>
      <c r="K115" s="156"/>
      <c r="L115" s="156"/>
    </row>
    <row r="116">
      <c r="A116" s="47"/>
      <c r="B116" s="172"/>
      <c r="C116" s="172"/>
      <c r="D116" s="172"/>
      <c r="E116" s="172"/>
      <c r="F116" s="172"/>
      <c r="G116" s="172"/>
      <c r="H116" s="172"/>
      <c r="I116" s="172"/>
      <c r="J116" s="172"/>
      <c r="K116" s="172"/>
      <c r="L116" s="172"/>
    </row>
  </sheetData>
  <mergeCells count="94">
    <mergeCell ref="A10:A12"/>
    <mergeCell ref="B10:D10"/>
    <mergeCell ref="B11:D11"/>
    <mergeCell ref="B12:D12"/>
    <mergeCell ref="A13:A15"/>
    <mergeCell ref="A16:A18"/>
    <mergeCell ref="B22:L22"/>
    <mergeCell ref="A19:A21"/>
    <mergeCell ref="A23:A25"/>
    <mergeCell ref="A26:A28"/>
    <mergeCell ref="A29:A31"/>
    <mergeCell ref="A32:A34"/>
    <mergeCell ref="G32:J32"/>
    <mergeCell ref="A35:A37"/>
    <mergeCell ref="G6:H6"/>
    <mergeCell ref="I7:J7"/>
    <mergeCell ref="I8:J8"/>
    <mergeCell ref="I9:J9"/>
    <mergeCell ref="A1:A2"/>
    <mergeCell ref="B1:L1"/>
    <mergeCell ref="B3:L3"/>
    <mergeCell ref="A4:A6"/>
    <mergeCell ref="G4:H4"/>
    <mergeCell ref="G5:H5"/>
    <mergeCell ref="A7:A9"/>
    <mergeCell ref="E33:F33"/>
    <mergeCell ref="G33:J33"/>
    <mergeCell ref="E34:F34"/>
    <mergeCell ref="G34:J34"/>
    <mergeCell ref="E32:F32"/>
    <mergeCell ref="E35:F35"/>
    <mergeCell ref="G51:J51"/>
    <mergeCell ref="G52:J52"/>
    <mergeCell ref="A73:A75"/>
    <mergeCell ref="A76:A78"/>
    <mergeCell ref="A80:A82"/>
    <mergeCell ref="A83:A85"/>
    <mergeCell ref="A86:A88"/>
    <mergeCell ref="A89:A91"/>
    <mergeCell ref="A92:A94"/>
    <mergeCell ref="B73:F73"/>
    <mergeCell ref="B74:F74"/>
    <mergeCell ref="B75:F75"/>
    <mergeCell ref="B79:L79"/>
    <mergeCell ref="B98:L98"/>
    <mergeCell ref="B99:L101"/>
    <mergeCell ref="E102:F102"/>
    <mergeCell ref="E36:F36"/>
    <mergeCell ref="E37:F37"/>
    <mergeCell ref="A38:A40"/>
    <mergeCell ref="B41:L41"/>
    <mergeCell ref="G42:J42"/>
    <mergeCell ref="G43:J43"/>
    <mergeCell ref="G44:J44"/>
    <mergeCell ref="A42:A44"/>
    <mergeCell ref="A45:A47"/>
    <mergeCell ref="A48:A50"/>
    <mergeCell ref="B48:D48"/>
    <mergeCell ref="B49:D49"/>
    <mergeCell ref="B50:D50"/>
    <mergeCell ref="G53:J53"/>
    <mergeCell ref="B60:L60"/>
    <mergeCell ref="B61:L63"/>
    <mergeCell ref="G64:H64"/>
    <mergeCell ref="I64:J64"/>
    <mergeCell ref="G65:H65"/>
    <mergeCell ref="I65:J65"/>
    <mergeCell ref="I66:J66"/>
    <mergeCell ref="G66:H66"/>
    <mergeCell ref="B67:F67"/>
    <mergeCell ref="B68:F68"/>
    <mergeCell ref="B69:F69"/>
    <mergeCell ref="B70:F70"/>
    <mergeCell ref="B71:F71"/>
    <mergeCell ref="B72:F72"/>
    <mergeCell ref="A51:A53"/>
    <mergeCell ref="A54:A56"/>
    <mergeCell ref="A57:A59"/>
    <mergeCell ref="A61:A63"/>
    <mergeCell ref="A64:A66"/>
    <mergeCell ref="A67:A69"/>
    <mergeCell ref="A70:A72"/>
    <mergeCell ref="A95:A97"/>
    <mergeCell ref="A99:A101"/>
    <mergeCell ref="A102:A104"/>
    <mergeCell ref="A105:A107"/>
    <mergeCell ref="A108:A110"/>
    <mergeCell ref="A111:A113"/>
    <mergeCell ref="A114:A116"/>
    <mergeCell ref="E103:F103"/>
    <mergeCell ref="E104:F104"/>
    <mergeCell ref="E105:F105"/>
    <mergeCell ref="E106:F106"/>
    <mergeCell ref="E107:F107"/>
  </mergeCells>
  <conditionalFormatting sqref="A1:A18 B1:C21 D1:D12 E1:H21 I1:J6 K1:L21 J10:J12 I13:I21 D14:D15 D17:D21 J17:J18 J20:J21 A23:A34 B23:I40 J23:J34 K23:L40 J36:J40 A42:F59 G42:J56 K42:L59 J58:J59 A61:A75 B61:H78 I61:J75 K61:L78 J77:J78 A80:D88 G80:H88 K80:L97 J84:J85 J87:J88 B90:B91 D90:F91 H90:J91 B93:B94 D93:F94 H93:J94 B96:B97 D96:H97 J96:J97 A99:D107 E99:F113 G99:H101 I99:J107 K99:L116 G103:H104 G106:H107 B109:B110 D109:D110 G109:H110 I111:J116 B112:B113 D112:D113 G112:H113 B115:B116 D115:H116">
    <cfRule type="expression" dxfId="0" priority="1">
      <formula>REGEXMATCH(A1, "(^\s+)|(\s+$)")</formula>
    </cfRule>
  </conditionalFormatting>
  <conditionalFormatting sqref="A1:A18 B1:C21 D1:D12 E1:H21 I1:J6 K1:L21 J10:J12 I13:I21 D14:D15 D17:D21 J17:J18 J20:J21 A23:A34 B23:I40 J23:J34 K23:L40 J36:J40 A42:F59 G42:J56 K42:L59 J58:J59 A61:A75 B61:H78 I61:J75 K61:L78 J77:J78 A80:D88 G80:H88 K80:L97 J84:J85 J87:J88 B90:B91 D90:F91 H90:J91 B93:B94 D93:F94 H93:J94 B96:B97 D96:H97 J96:J97 A99:D107 E99:F113 G99:H101 I99:J107 K99:L116 G103:H104 G106:H107 B109:B110 D109:D110 G109:H110 I111:J116 B112:B113 D112:D113 G112:H113 B115:B116 D115:H116">
    <cfRule type="expression" dxfId="0" priority="2">
      <formula>REGEXMATCH(A1, "[а-яА-Я]")</formula>
    </cfRule>
  </conditionalFormatting>
  <conditionalFormatting sqref="A1:A18 B1:C21 D1:D12 E1:H21 I1:J6 K1:L21 J10:J12 I13:I21 D14:D15 D17:D21 J17:J18 J20:J21 A23:A34 B23:I40 J23:J34 K23:L40 J36:J40 A42:F59 G42:J56 K42:L59 J58:J59 A61:A75 B61:H78 I61:J75 K61:L78 J77:J78 A80:D88 G80:H88 K80:L97 J84:J85 J87:J88 B90:B91 D90:F91 H90:J91 B93:B94 D93:F94 H93:J94 B96:B97 D96:H97 J96:J97 A99:D107 E99:F113 G99:H101 I99:J107 K99:L116 G103:H104 G106:H107 B109:B110 D109:D110 G109:H110 I111:J116 B112:B113 D112:D113 G112:H113 B115:B116 D115:H116">
    <cfRule type="expression" dxfId="0" priority="3">
      <formula>REGEXMATCH(A1, "\s{2,}")</formula>
    </cfRule>
  </conditionalFormatting>
  <conditionalFormatting sqref="A1:A18 B1:C21 D1:D12 E1:H21 I1:J6 K1:L21 J10:J12 I13:I21 D14:D15 D17:D21 J17:J18 J20:J21 A23:A34 B23:I40 J23:J34 K23:L40 J36:J40 A42:F59 G42:J56 K42:L59 J58:J59 A61:A75 B61:H78 I61:J75 K61:L78 J77:J78 A80:D88 G80:H88 K80:L97 J84:J85 J87:J88 B90:B91 D90:F91 H90:J91 B93:B94 D93:F94 H93:J94 B96:B97 D96:H97 J96:J97 A99:D107 E99:F113 G99:H101 I99:J107 K99:L116 G103:H104 G106:H107 B109:B110 D109:D110 G109:H110 I111:J116 B112:B113 D112:D113 G112:H113 B115:B116 D115:H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2" width="28.13"/>
    <col customWidth="1" min="3" max="3" width="27.38"/>
    <col customWidth="1" min="4" max="4" width="34.0"/>
    <col customWidth="1" min="5" max="5" width="26.38"/>
    <col customWidth="1" min="6" max="6" width="30.13"/>
    <col customWidth="1" min="7" max="7" width="26.38"/>
  </cols>
  <sheetData>
    <row r="1">
      <c r="A1" s="138"/>
      <c r="B1" s="137" t="s">
        <v>2</v>
      </c>
      <c r="C1" s="3"/>
      <c r="D1" s="3"/>
      <c r="E1" s="3"/>
      <c r="F1" s="3"/>
      <c r="G1" s="4"/>
    </row>
    <row r="2">
      <c r="A2" s="44"/>
      <c r="B2" s="144" t="s">
        <v>31</v>
      </c>
      <c r="C2" s="144" t="s">
        <v>32</v>
      </c>
      <c r="D2" s="144" t="s">
        <v>33</v>
      </c>
      <c r="E2" s="144" t="s">
        <v>125</v>
      </c>
      <c r="F2" s="145" t="s">
        <v>36</v>
      </c>
      <c r="G2" s="144" t="s">
        <v>37</v>
      </c>
    </row>
    <row r="3">
      <c r="A3" s="147" t="s">
        <v>38</v>
      </c>
      <c r="B3" s="148"/>
      <c r="C3" s="46"/>
      <c r="D3" s="46"/>
      <c r="E3" s="46"/>
      <c r="F3" s="46"/>
      <c r="G3" s="47"/>
    </row>
    <row r="4">
      <c r="A4" s="152" t="s">
        <v>39</v>
      </c>
      <c r="B4" s="156"/>
      <c r="C4" s="156"/>
      <c r="D4" s="156"/>
      <c r="E4" s="156"/>
      <c r="F4" s="156"/>
      <c r="G4" s="156"/>
    </row>
    <row r="5">
      <c r="A5" s="38"/>
      <c r="B5" s="156"/>
      <c r="C5" s="156"/>
      <c r="D5" s="156"/>
      <c r="E5" s="156"/>
      <c r="F5" s="156"/>
      <c r="G5" s="156"/>
    </row>
    <row r="6">
      <c r="A6" s="44"/>
      <c r="B6" s="172"/>
      <c r="C6" s="172"/>
      <c r="D6" s="172"/>
      <c r="E6" s="172"/>
      <c r="F6" s="172"/>
      <c r="G6" s="172"/>
    </row>
    <row r="7">
      <c r="A7" s="152" t="s">
        <v>49</v>
      </c>
      <c r="B7" s="156"/>
      <c r="C7" s="156"/>
      <c r="D7" s="156"/>
      <c r="E7" s="156"/>
      <c r="F7" s="247" t="s">
        <v>265</v>
      </c>
      <c r="G7" s="156"/>
    </row>
    <row r="8">
      <c r="A8" s="38"/>
      <c r="B8" s="156"/>
      <c r="C8" s="156"/>
      <c r="D8" s="156"/>
      <c r="E8" s="156"/>
      <c r="F8" s="337" t="s">
        <v>272</v>
      </c>
      <c r="G8" s="156"/>
    </row>
    <row r="9">
      <c r="A9" s="44"/>
      <c r="B9" s="172"/>
      <c r="C9" s="172"/>
      <c r="D9" s="172"/>
      <c r="E9" s="172"/>
      <c r="F9" s="344" t="s">
        <v>393</v>
      </c>
      <c r="G9" s="172"/>
    </row>
    <row r="10">
      <c r="A10" s="152" t="s">
        <v>51</v>
      </c>
      <c r="B10" s="156"/>
      <c r="C10" s="156"/>
      <c r="D10" s="156"/>
      <c r="E10" s="156"/>
      <c r="F10" s="247" t="s">
        <v>265</v>
      </c>
      <c r="G10" s="156"/>
    </row>
    <row r="11">
      <c r="A11" s="38"/>
      <c r="B11" s="156"/>
      <c r="C11" s="156"/>
      <c r="D11" s="156"/>
      <c r="E11" s="156"/>
      <c r="F11" s="337" t="s">
        <v>272</v>
      </c>
      <c r="G11" s="156"/>
    </row>
    <row r="12">
      <c r="A12" s="44"/>
      <c r="B12" s="172"/>
      <c r="C12" s="172"/>
      <c r="D12" s="172"/>
      <c r="E12" s="172"/>
      <c r="F12" s="344" t="s">
        <v>394</v>
      </c>
      <c r="G12" s="172"/>
    </row>
    <row r="13">
      <c r="A13" s="152" t="s">
        <v>59</v>
      </c>
      <c r="B13" s="156"/>
      <c r="C13" s="156"/>
      <c r="D13" s="156"/>
      <c r="E13" s="516" t="s">
        <v>395</v>
      </c>
      <c r="F13" s="517" t="s">
        <v>176</v>
      </c>
      <c r="G13" s="156"/>
    </row>
    <row r="14">
      <c r="A14" s="38"/>
      <c r="B14" s="156"/>
      <c r="C14" s="156"/>
      <c r="D14" s="156"/>
      <c r="E14" s="518" t="s">
        <v>396</v>
      </c>
      <c r="F14" s="238" t="s">
        <v>397</v>
      </c>
      <c r="G14" s="156"/>
    </row>
    <row r="15">
      <c r="A15" s="44"/>
      <c r="B15" s="172"/>
      <c r="C15" s="172"/>
      <c r="D15" s="172"/>
      <c r="E15" s="519">
        <v>316.0</v>
      </c>
      <c r="F15" s="411" t="s">
        <v>399</v>
      </c>
      <c r="G15" s="172"/>
    </row>
    <row r="16">
      <c r="A16" s="152" t="s">
        <v>64</v>
      </c>
      <c r="B16" s="156"/>
      <c r="C16" s="156"/>
      <c r="D16" s="156"/>
      <c r="E16" s="516" t="s">
        <v>395</v>
      </c>
      <c r="F16" s="517" t="s">
        <v>176</v>
      </c>
      <c r="G16" s="156"/>
    </row>
    <row r="17">
      <c r="A17" s="38"/>
      <c r="B17" s="156"/>
      <c r="C17" s="156"/>
      <c r="D17" s="156"/>
      <c r="E17" s="518" t="s">
        <v>396</v>
      </c>
      <c r="F17" s="238" t="s">
        <v>397</v>
      </c>
      <c r="G17" s="156"/>
    </row>
    <row r="18">
      <c r="A18" s="44"/>
      <c r="B18" s="172"/>
      <c r="C18" s="172"/>
      <c r="D18" s="172"/>
      <c r="E18" s="519">
        <v>316.0</v>
      </c>
      <c r="F18" s="411" t="s">
        <v>400</v>
      </c>
      <c r="G18" s="172"/>
    </row>
    <row r="19">
      <c r="A19" s="152" t="s">
        <v>66</v>
      </c>
      <c r="B19" s="156"/>
      <c r="C19" s="156"/>
      <c r="D19" s="156"/>
      <c r="E19" s="156"/>
      <c r="F19" s="156"/>
      <c r="G19" s="156"/>
    </row>
    <row r="20">
      <c r="A20" s="38"/>
      <c r="B20" s="156"/>
      <c r="C20" s="156"/>
      <c r="D20" s="156"/>
      <c r="E20" s="156"/>
      <c r="F20" s="156"/>
      <c r="G20" s="156"/>
    </row>
    <row r="21">
      <c r="A21" s="44"/>
      <c r="B21" s="172"/>
      <c r="C21" s="172"/>
      <c r="D21" s="172"/>
      <c r="E21" s="172"/>
      <c r="F21" s="172"/>
      <c r="G21" s="172"/>
    </row>
    <row r="22">
      <c r="A22" s="147" t="s">
        <v>74</v>
      </c>
      <c r="B22" s="148"/>
      <c r="C22" s="46"/>
      <c r="D22" s="46"/>
      <c r="E22" s="46"/>
      <c r="F22" s="46"/>
      <c r="G22" s="47"/>
    </row>
    <row r="23">
      <c r="A23" s="152" t="s">
        <v>39</v>
      </c>
      <c r="B23" s="156"/>
      <c r="C23" s="156"/>
      <c r="D23" s="156"/>
      <c r="E23" s="183" t="s">
        <v>198</v>
      </c>
      <c r="F23" s="228"/>
      <c r="G23" s="156"/>
    </row>
    <row r="24">
      <c r="A24" s="38"/>
      <c r="B24" s="156"/>
      <c r="C24" s="156"/>
      <c r="D24" s="156"/>
      <c r="E24" s="263" t="s">
        <v>203</v>
      </c>
      <c r="F24" s="161"/>
      <c r="G24" s="156"/>
    </row>
    <row r="25">
      <c r="A25" s="44"/>
      <c r="B25" s="172"/>
      <c r="C25" s="172"/>
      <c r="D25" s="241"/>
      <c r="E25" s="200">
        <v>460.0</v>
      </c>
      <c r="F25" s="177"/>
      <c r="G25" s="172"/>
    </row>
    <row r="26">
      <c r="A26" s="152" t="s">
        <v>49</v>
      </c>
      <c r="B26" s="254"/>
      <c r="C26" s="63"/>
      <c r="D26" s="156"/>
      <c r="E26" s="183" t="s">
        <v>211</v>
      </c>
      <c r="F26" s="276" t="s">
        <v>212</v>
      </c>
      <c r="G26" s="63"/>
    </row>
    <row r="27">
      <c r="A27" s="38"/>
      <c r="B27" s="254"/>
      <c r="C27" s="69"/>
      <c r="D27" s="156"/>
      <c r="E27" s="285" t="s">
        <v>221</v>
      </c>
      <c r="F27" s="250" t="s">
        <v>222</v>
      </c>
      <c r="G27" s="69"/>
    </row>
    <row r="28">
      <c r="A28" s="44"/>
      <c r="B28" s="372"/>
      <c r="C28" s="76"/>
      <c r="D28" s="241"/>
      <c r="E28" s="200">
        <v>460.0</v>
      </c>
      <c r="F28" s="252" t="s">
        <v>223</v>
      </c>
      <c r="G28" s="76"/>
    </row>
    <row r="29">
      <c r="A29" s="152" t="s">
        <v>51</v>
      </c>
      <c r="B29" s="63"/>
      <c r="C29" s="63"/>
      <c r="D29" s="228"/>
      <c r="E29" s="156"/>
      <c r="F29" s="276" t="s">
        <v>212</v>
      </c>
      <c r="G29" s="525" t="s">
        <v>405</v>
      </c>
    </row>
    <row r="30">
      <c r="A30" s="38"/>
      <c r="B30" s="69"/>
      <c r="C30" s="69"/>
      <c r="D30" s="161"/>
      <c r="E30" s="156"/>
      <c r="F30" s="250" t="s">
        <v>237</v>
      </c>
      <c r="G30" s="262" t="s">
        <v>408</v>
      </c>
    </row>
    <row r="31">
      <c r="A31" s="44"/>
      <c r="B31" s="76"/>
      <c r="C31" s="76"/>
      <c r="D31" s="172"/>
      <c r="E31" s="172"/>
      <c r="F31" s="252" t="s">
        <v>238</v>
      </c>
      <c r="G31" s="265" t="s">
        <v>250</v>
      </c>
    </row>
    <row r="32">
      <c r="A32" s="152" t="s">
        <v>59</v>
      </c>
      <c r="B32" s="307" t="s">
        <v>242</v>
      </c>
      <c r="C32" s="8"/>
      <c r="D32" s="156"/>
      <c r="E32" s="156"/>
      <c r="F32" s="156"/>
      <c r="G32" s="525" t="s">
        <v>405</v>
      </c>
    </row>
    <row r="33">
      <c r="A33" s="38"/>
      <c r="B33" s="311" t="s">
        <v>248</v>
      </c>
      <c r="C33" s="23"/>
      <c r="D33" s="156"/>
      <c r="E33" s="156"/>
      <c r="F33" s="156"/>
      <c r="G33" s="262" t="s">
        <v>409</v>
      </c>
    </row>
    <row r="34">
      <c r="A34" s="44"/>
      <c r="B34" s="317">
        <v>321.0</v>
      </c>
      <c r="C34" s="47"/>
      <c r="D34" s="172"/>
      <c r="E34" s="172"/>
      <c r="F34" s="172"/>
      <c r="G34" s="265">
        <v>503.0</v>
      </c>
    </row>
    <row r="35">
      <c r="A35" s="152" t="s">
        <v>64</v>
      </c>
      <c r="B35" s="230"/>
      <c r="C35" s="156"/>
      <c r="D35" s="230"/>
      <c r="E35" s="156"/>
      <c r="F35" s="156"/>
      <c r="G35" s="156"/>
    </row>
    <row r="36">
      <c r="A36" s="38"/>
      <c r="B36" s="230"/>
      <c r="C36" s="156"/>
      <c r="D36" s="230"/>
      <c r="E36" s="156"/>
      <c r="F36" s="156"/>
      <c r="G36" s="156"/>
    </row>
    <row r="37">
      <c r="A37" s="44"/>
      <c r="B37" s="243"/>
      <c r="C37" s="172"/>
      <c r="D37" s="243"/>
      <c r="E37" s="172"/>
      <c r="F37" s="172"/>
      <c r="G37" s="172"/>
    </row>
    <row r="38">
      <c r="A38" s="152" t="s">
        <v>66</v>
      </c>
      <c r="B38" s="275" t="s">
        <v>210</v>
      </c>
      <c r="C38" s="23"/>
      <c r="D38" s="228"/>
      <c r="E38" s="228"/>
      <c r="F38" s="207" t="s">
        <v>257</v>
      </c>
      <c r="G38" s="156"/>
    </row>
    <row r="39">
      <c r="A39" s="38"/>
      <c r="B39" s="284" t="s">
        <v>220</v>
      </c>
      <c r="C39" s="23"/>
      <c r="D39" s="161"/>
      <c r="E39" s="161"/>
      <c r="F39" s="214" t="s">
        <v>258</v>
      </c>
      <c r="G39" s="156"/>
    </row>
    <row r="40">
      <c r="A40" s="44"/>
      <c r="B40" s="292" t="s">
        <v>415</v>
      </c>
      <c r="C40" s="47"/>
      <c r="D40" s="177"/>
      <c r="E40" s="177"/>
      <c r="F40" s="325" t="s">
        <v>260</v>
      </c>
      <c r="G40" s="172"/>
    </row>
    <row r="41">
      <c r="A41" s="147" t="s">
        <v>82</v>
      </c>
      <c r="B41" s="148"/>
      <c r="C41" s="46"/>
      <c r="D41" s="46"/>
      <c r="E41" s="46"/>
      <c r="F41" s="46"/>
      <c r="G41" s="47"/>
    </row>
    <row r="42">
      <c r="A42" s="152" t="s">
        <v>39</v>
      </c>
      <c r="B42" s="228"/>
      <c r="C42" s="228"/>
      <c r="D42" s="228"/>
      <c r="E42" s="231" t="s">
        <v>264</v>
      </c>
      <c r="F42" s="247" t="s">
        <v>265</v>
      </c>
      <c r="G42" s="63"/>
    </row>
    <row r="43">
      <c r="A43" s="38"/>
      <c r="B43" s="161"/>
      <c r="C43" s="161"/>
      <c r="D43" s="161"/>
      <c r="E43" s="336" t="s">
        <v>271</v>
      </c>
      <c r="F43" s="337" t="s">
        <v>272</v>
      </c>
      <c r="G43" s="69"/>
    </row>
    <row r="44">
      <c r="A44" s="44"/>
      <c r="B44" s="177"/>
      <c r="C44" s="177"/>
      <c r="D44" s="177"/>
      <c r="E44" s="343" t="s">
        <v>137</v>
      </c>
      <c r="F44" s="344" t="s">
        <v>416</v>
      </c>
      <c r="G44" s="76"/>
    </row>
    <row r="45">
      <c r="A45" s="152" t="s">
        <v>49</v>
      </c>
      <c r="B45" s="347" t="s">
        <v>279</v>
      </c>
      <c r="C45" s="23"/>
      <c r="D45" s="348" t="s">
        <v>280</v>
      </c>
      <c r="E45" s="231" t="s">
        <v>281</v>
      </c>
      <c r="F45" s="158"/>
      <c r="G45" s="254"/>
    </row>
    <row r="46">
      <c r="A46" s="38"/>
      <c r="B46" s="352" t="s">
        <v>285</v>
      </c>
      <c r="C46" s="23"/>
      <c r="D46" s="353" t="s">
        <v>286</v>
      </c>
      <c r="E46" s="336" t="s">
        <v>271</v>
      </c>
      <c r="F46" s="168"/>
      <c r="G46" s="254"/>
    </row>
    <row r="47">
      <c r="A47" s="44"/>
      <c r="B47" s="354">
        <v>321.0</v>
      </c>
      <c r="C47" s="47"/>
      <c r="D47" s="224">
        <v>312.0</v>
      </c>
      <c r="E47" s="343" t="s">
        <v>137</v>
      </c>
      <c r="F47" s="205"/>
      <c r="G47" s="254"/>
    </row>
    <row r="48">
      <c r="A48" s="152" t="s">
        <v>51</v>
      </c>
      <c r="B48" s="358" t="s">
        <v>290</v>
      </c>
      <c r="C48" s="23"/>
      <c r="D48" s="348" t="s">
        <v>291</v>
      </c>
      <c r="E48" s="228"/>
      <c r="F48" s="228"/>
      <c r="G48" s="228"/>
    </row>
    <row r="49">
      <c r="A49" s="38"/>
      <c r="B49" s="366" t="s">
        <v>295</v>
      </c>
      <c r="C49" s="23"/>
      <c r="D49" s="367" t="s">
        <v>78</v>
      </c>
      <c r="E49" s="161"/>
      <c r="F49" s="161"/>
      <c r="G49" s="161"/>
    </row>
    <row r="50">
      <c r="A50" s="44"/>
      <c r="B50" s="173">
        <v>321.0</v>
      </c>
      <c r="C50" s="47"/>
      <c r="D50" s="224">
        <v>312.0</v>
      </c>
      <c r="E50" s="177"/>
      <c r="F50" s="177"/>
      <c r="G50" s="177"/>
    </row>
    <row r="51">
      <c r="A51" s="152" t="s">
        <v>59</v>
      </c>
      <c r="B51" s="358" t="s">
        <v>299</v>
      </c>
      <c r="C51" s="23"/>
      <c r="D51" s="374" t="s">
        <v>300</v>
      </c>
      <c r="E51" s="228"/>
      <c r="F51" s="228"/>
      <c r="G51" s="228"/>
    </row>
    <row r="52">
      <c r="A52" s="38"/>
      <c r="B52" s="376" t="s">
        <v>169</v>
      </c>
      <c r="C52" s="23"/>
      <c r="D52" s="377" t="s">
        <v>286</v>
      </c>
      <c r="E52" s="161"/>
      <c r="F52" s="161"/>
      <c r="G52" s="161"/>
    </row>
    <row r="53">
      <c r="A53" s="44"/>
      <c r="B53" s="173">
        <v>321.0</v>
      </c>
      <c r="C53" s="47"/>
      <c r="D53" s="378">
        <v>303.0</v>
      </c>
      <c r="E53" s="177"/>
      <c r="F53" s="177"/>
      <c r="G53" s="177"/>
    </row>
    <row r="54">
      <c r="A54" s="152" t="s">
        <v>64</v>
      </c>
      <c r="B54" s="230"/>
      <c r="C54" s="156"/>
      <c r="D54" s="381" t="s">
        <v>304</v>
      </c>
      <c r="E54" s="228"/>
      <c r="F54" s="228"/>
      <c r="G54" s="228"/>
    </row>
    <row r="55">
      <c r="A55" s="38"/>
      <c r="B55" s="230"/>
      <c r="C55" s="156"/>
      <c r="D55" s="385" t="s">
        <v>200</v>
      </c>
      <c r="E55" s="161"/>
      <c r="F55" s="161"/>
      <c r="G55" s="161"/>
    </row>
    <row r="56">
      <c r="A56" s="44"/>
      <c r="B56" s="243"/>
      <c r="C56" s="172"/>
      <c r="D56" s="221">
        <v>303.0</v>
      </c>
      <c r="E56" s="177"/>
      <c r="F56" s="177"/>
      <c r="G56" s="177"/>
    </row>
    <row r="57">
      <c r="A57" s="152" t="s">
        <v>66</v>
      </c>
      <c r="B57" s="228"/>
      <c r="C57" s="228"/>
      <c r="D57" s="228"/>
      <c r="E57" s="228"/>
      <c r="F57" s="392" t="s">
        <v>308</v>
      </c>
      <c r="G57" s="228"/>
    </row>
    <row r="58">
      <c r="A58" s="38"/>
      <c r="B58" s="161"/>
      <c r="C58" s="161"/>
      <c r="D58" s="161"/>
      <c r="E58" s="161"/>
      <c r="F58" s="192" t="s">
        <v>310</v>
      </c>
      <c r="G58" s="161"/>
    </row>
    <row r="59">
      <c r="A59" s="44"/>
      <c r="B59" s="177"/>
      <c r="C59" s="177"/>
      <c r="D59" s="177"/>
      <c r="E59" s="177"/>
      <c r="F59" s="395" t="s">
        <v>312</v>
      </c>
      <c r="G59" s="177"/>
    </row>
    <row r="60">
      <c r="A60" s="147" t="s">
        <v>86</v>
      </c>
      <c r="B60" s="148"/>
      <c r="C60" s="46"/>
      <c r="D60" s="46"/>
      <c r="E60" s="46"/>
      <c r="F60" s="46"/>
      <c r="G60" s="47"/>
    </row>
    <row r="61">
      <c r="A61" s="152" t="s">
        <v>39</v>
      </c>
      <c r="B61" s="228"/>
      <c r="C61" s="228"/>
      <c r="D61" s="231" t="s">
        <v>264</v>
      </c>
      <c r="E61" s="228"/>
      <c r="F61" s="517" t="s">
        <v>176</v>
      </c>
      <c r="G61" s="228"/>
    </row>
    <row r="62">
      <c r="A62" s="38"/>
      <c r="B62" s="161"/>
      <c r="C62" s="161"/>
      <c r="D62" s="451" t="s">
        <v>349</v>
      </c>
      <c r="E62" s="161"/>
      <c r="F62" s="238" t="s">
        <v>397</v>
      </c>
      <c r="G62" s="161"/>
    </row>
    <row r="63">
      <c r="A63" s="44"/>
      <c r="B63" s="177"/>
      <c r="C63" s="177"/>
      <c r="D63" s="452" t="s">
        <v>137</v>
      </c>
      <c r="E63" s="177"/>
      <c r="F63" s="411" t="s">
        <v>420</v>
      </c>
      <c r="G63" s="177"/>
    </row>
    <row r="64">
      <c r="A64" s="152" t="s">
        <v>49</v>
      </c>
      <c r="B64" s="230"/>
      <c r="C64" s="156"/>
      <c r="D64" s="453" t="s">
        <v>281</v>
      </c>
      <c r="E64" s="232"/>
      <c r="F64" s="517" t="s">
        <v>176</v>
      </c>
      <c r="G64" s="525" t="s">
        <v>405</v>
      </c>
    </row>
    <row r="65">
      <c r="A65" s="38"/>
      <c r="B65" s="230"/>
      <c r="C65" s="156"/>
      <c r="D65" s="454" t="s">
        <v>168</v>
      </c>
      <c r="E65" s="237"/>
      <c r="F65" s="238" t="s">
        <v>397</v>
      </c>
      <c r="G65" s="529" t="s">
        <v>408</v>
      </c>
    </row>
    <row r="66">
      <c r="A66" s="44"/>
      <c r="B66" s="243"/>
      <c r="C66" s="172"/>
      <c r="D66" s="458">
        <v>317.0</v>
      </c>
      <c r="E66" s="245"/>
      <c r="F66" s="411" t="s">
        <v>423</v>
      </c>
      <c r="G66" s="265" t="s">
        <v>424</v>
      </c>
    </row>
    <row r="67">
      <c r="A67" s="152" t="s">
        <v>51</v>
      </c>
      <c r="B67" s="230"/>
      <c r="C67" s="156"/>
      <c r="D67" s="418" t="s">
        <v>328</v>
      </c>
      <c r="E67" s="232"/>
      <c r="F67" s="419"/>
      <c r="G67" s="525" t="s">
        <v>405</v>
      </c>
    </row>
    <row r="68">
      <c r="A68" s="38"/>
      <c r="B68" s="230"/>
      <c r="C68" s="156"/>
      <c r="D68" s="427" t="s">
        <v>320</v>
      </c>
      <c r="E68" s="237"/>
      <c r="F68" s="237"/>
      <c r="G68" s="262" t="s">
        <v>409</v>
      </c>
    </row>
    <row r="69">
      <c r="A69" s="44"/>
      <c r="B69" s="243"/>
      <c r="C69" s="172"/>
      <c r="D69" s="433" t="s">
        <v>425</v>
      </c>
      <c r="E69" s="245"/>
      <c r="F69" s="412"/>
      <c r="G69" s="265">
        <v>503.0</v>
      </c>
    </row>
    <row r="70">
      <c r="A70" s="152" t="s">
        <v>59</v>
      </c>
      <c r="B70" s="230"/>
      <c r="C70" s="156"/>
      <c r="D70" s="436" t="s">
        <v>336</v>
      </c>
      <c r="E70" s="232"/>
      <c r="F70" s="419"/>
      <c r="G70" s="228"/>
    </row>
    <row r="71">
      <c r="A71" s="38"/>
      <c r="B71" s="230"/>
      <c r="C71" s="156"/>
      <c r="D71" s="440" t="s">
        <v>219</v>
      </c>
      <c r="E71" s="237"/>
      <c r="F71" s="237"/>
      <c r="G71" s="161"/>
    </row>
    <row r="72">
      <c r="A72" s="44"/>
      <c r="B72" s="243"/>
      <c r="C72" s="172"/>
      <c r="D72" s="446" t="s">
        <v>427</v>
      </c>
      <c r="E72" s="245"/>
      <c r="F72" s="412"/>
      <c r="G72" s="177"/>
    </row>
    <row r="73">
      <c r="A73" s="152" t="s">
        <v>64</v>
      </c>
      <c r="B73" s="228"/>
      <c r="C73" s="228"/>
      <c r="D73" s="228"/>
      <c r="E73" s="232"/>
      <c r="F73" s="228"/>
      <c r="G73" s="525" t="s">
        <v>405</v>
      </c>
    </row>
    <row r="74">
      <c r="A74" s="38"/>
      <c r="B74" s="161"/>
      <c r="C74" s="161"/>
      <c r="D74" s="161"/>
      <c r="E74" s="237"/>
      <c r="F74" s="161"/>
      <c r="G74" s="529" t="s">
        <v>408</v>
      </c>
    </row>
    <row r="75">
      <c r="A75" s="44"/>
      <c r="B75" s="177"/>
      <c r="C75" s="177"/>
      <c r="D75" s="177"/>
      <c r="E75" s="245"/>
      <c r="F75" s="177"/>
      <c r="G75" s="265" t="s">
        <v>428</v>
      </c>
    </row>
    <row r="76">
      <c r="A76" s="152" t="s">
        <v>66</v>
      </c>
      <c r="B76" s="156"/>
      <c r="C76" s="156"/>
      <c r="D76" s="158"/>
      <c r="E76" s="232"/>
      <c r="F76" s="228"/>
      <c r="G76" s="161"/>
    </row>
    <row r="77">
      <c r="A77" s="38"/>
      <c r="B77" s="156"/>
      <c r="C77" s="156"/>
      <c r="D77" s="531"/>
      <c r="E77" s="237"/>
      <c r="F77" s="161"/>
      <c r="G77" s="161"/>
    </row>
    <row r="78">
      <c r="A78" s="44"/>
      <c r="B78" s="172"/>
      <c r="C78" s="172"/>
      <c r="D78" s="205"/>
      <c r="E78" s="245"/>
      <c r="F78" s="177"/>
      <c r="G78" s="177"/>
    </row>
    <row r="79">
      <c r="A79" s="147" t="s">
        <v>92</v>
      </c>
      <c r="B79" s="459"/>
      <c r="C79" s="3"/>
      <c r="D79" s="3"/>
      <c r="E79" s="3"/>
      <c r="F79" s="3"/>
      <c r="G79" s="4"/>
    </row>
    <row r="80">
      <c r="A80" s="152" t="s">
        <v>39</v>
      </c>
      <c r="B80" s="156"/>
      <c r="C80" s="156"/>
      <c r="D80" s="156"/>
      <c r="E80" s="156"/>
      <c r="F80" s="228"/>
      <c r="G80" s="228"/>
    </row>
    <row r="81">
      <c r="A81" s="38"/>
      <c r="B81" s="156"/>
      <c r="C81" s="156"/>
      <c r="D81" s="156"/>
      <c r="E81" s="156"/>
      <c r="F81" s="161"/>
      <c r="G81" s="161"/>
    </row>
    <row r="82">
      <c r="A82" s="44"/>
      <c r="B82" s="172"/>
      <c r="C82" s="172"/>
      <c r="D82" s="172"/>
      <c r="E82" s="172"/>
      <c r="F82" s="177"/>
      <c r="G82" s="177"/>
    </row>
    <row r="83">
      <c r="A83" s="152" t="s">
        <v>49</v>
      </c>
      <c r="B83" s="347" t="s">
        <v>359</v>
      </c>
      <c r="C83" s="23"/>
      <c r="D83" s="471" t="s">
        <v>360</v>
      </c>
      <c r="E83" s="228"/>
      <c r="F83" s="247" t="s">
        <v>265</v>
      </c>
      <c r="G83" s="254"/>
    </row>
    <row r="84">
      <c r="A84" s="38"/>
      <c r="B84" s="352" t="s">
        <v>218</v>
      </c>
      <c r="C84" s="23"/>
      <c r="D84" s="474" t="s">
        <v>321</v>
      </c>
      <c r="E84" s="161"/>
      <c r="F84" s="337" t="s">
        <v>272</v>
      </c>
      <c r="G84" s="254"/>
    </row>
    <row r="85">
      <c r="A85" s="44"/>
      <c r="B85" s="532">
        <v>321.0</v>
      </c>
      <c r="C85" s="47"/>
      <c r="D85" s="533">
        <v>300.0</v>
      </c>
      <c r="E85" s="177"/>
      <c r="F85" s="344" t="s">
        <v>429</v>
      </c>
      <c r="G85" s="372"/>
    </row>
    <row r="86">
      <c r="A86" s="152" t="s">
        <v>51</v>
      </c>
      <c r="B86" s="347" t="s">
        <v>368</v>
      </c>
      <c r="C86" s="23"/>
      <c r="D86" s="471" t="s">
        <v>369</v>
      </c>
      <c r="E86" s="63"/>
      <c r="F86" s="247" t="s">
        <v>265</v>
      </c>
      <c r="G86" s="437" t="s">
        <v>337</v>
      </c>
    </row>
    <row r="87">
      <c r="A87" s="38"/>
      <c r="B87" s="480" t="s">
        <v>372</v>
      </c>
      <c r="C87" s="23"/>
      <c r="D87" s="481" t="s">
        <v>233</v>
      </c>
      <c r="E87" s="69"/>
      <c r="F87" s="337" t="s">
        <v>272</v>
      </c>
      <c r="G87" s="441" t="s">
        <v>342</v>
      </c>
    </row>
    <row r="88">
      <c r="A88" s="44"/>
      <c r="B88" s="532">
        <v>321.0</v>
      </c>
      <c r="C88" s="47"/>
      <c r="D88" s="200">
        <v>304.0</v>
      </c>
      <c r="E88" s="76"/>
      <c r="F88" s="344" t="s">
        <v>430</v>
      </c>
      <c r="G88" s="535" t="s">
        <v>137</v>
      </c>
    </row>
    <row r="89">
      <c r="A89" s="152" t="s">
        <v>59</v>
      </c>
      <c r="B89" s="159"/>
      <c r="C89" s="228"/>
      <c r="D89" s="228"/>
      <c r="E89" s="63"/>
      <c r="F89" s="207" t="s">
        <v>257</v>
      </c>
      <c r="G89" s="437" t="s">
        <v>337</v>
      </c>
    </row>
    <row r="90">
      <c r="A90" s="38"/>
      <c r="B90" s="159"/>
      <c r="C90" s="161"/>
      <c r="D90" s="161"/>
      <c r="E90" s="69"/>
      <c r="F90" s="214" t="s">
        <v>258</v>
      </c>
      <c r="G90" s="441" t="s">
        <v>342</v>
      </c>
    </row>
    <row r="91">
      <c r="A91" s="44"/>
      <c r="B91" s="175"/>
      <c r="C91" s="177"/>
      <c r="D91" s="177"/>
      <c r="E91" s="76"/>
      <c r="F91" s="491" t="s">
        <v>378</v>
      </c>
      <c r="G91" s="535" t="s">
        <v>137</v>
      </c>
    </row>
    <row r="92">
      <c r="A92" s="152" t="s">
        <v>64</v>
      </c>
      <c r="B92" s="159"/>
      <c r="C92" s="228"/>
      <c r="D92" s="156"/>
      <c r="E92" s="415" t="s">
        <v>380</v>
      </c>
      <c r="F92" s="156"/>
      <c r="G92" s="437" t="s">
        <v>337</v>
      </c>
    </row>
    <row r="93">
      <c r="A93" s="38"/>
      <c r="B93" s="159"/>
      <c r="C93" s="161"/>
      <c r="D93" s="156"/>
      <c r="E93" s="423" t="s">
        <v>384</v>
      </c>
      <c r="F93" s="156"/>
      <c r="G93" s="536" t="s">
        <v>432</v>
      </c>
    </row>
    <row r="94">
      <c r="A94" s="44"/>
      <c r="B94" s="175"/>
      <c r="C94" s="177"/>
      <c r="D94" s="172"/>
      <c r="E94" s="430" t="s">
        <v>137</v>
      </c>
      <c r="F94" s="172"/>
      <c r="G94" s="535" t="s">
        <v>137</v>
      </c>
    </row>
    <row r="95">
      <c r="A95" s="154" t="s">
        <v>66</v>
      </c>
      <c r="B95" s="156"/>
      <c r="C95" s="156"/>
      <c r="D95" s="228"/>
      <c r="E95" s="156"/>
      <c r="F95" s="228"/>
      <c r="G95" s="437" t="s">
        <v>337</v>
      </c>
    </row>
    <row r="96">
      <c r="A96" s="23"/>
      <c r="B96" s="156"/>
      <c r="C96" s="156"/>
      <c r="D96" s="161"/>
      <c r="E96" s="156"/>
      <c r="F96" s="161"/>
      <c r="G96" s="536" t="s">
        <v>432</v>
      </c>
    </row>
    <row r="97">
      <c r="A97" s="47"/>
      <c r="B97" s="172"/>
      <c r="C97" s="172"/>
      <c r="D97" s="177"/>
      <c r="E97" s="172"/>
      <c r="F97" s="177"/>
      <c r="G97" s="535" t="s">
        <v>137</v>
      </c>
    </row>
    <row r="98">
      <c r="A98" s="149" t="s">
        <v>103</v>
      </c>
      <c r="B98" s="148"/>
      <c r="C98" s="46"/>
      <c r="D98" s="46"/>
      <c r="E98" s="46"/>
      <c r="F98" s="46"/>
      <c r="G98" s="47"/>
    </row>
    <row r="99">
      <c r="A99" s="154" t="s">
        <v>39</v>
      </c>
      <c r="B99" s="156"/>
      <c r="C99" s="156"/>
      <c r="D99" s="156"/>
      <c r="E99" s="156"/>
      <c r="F99" s="156"/>
      <c r="G99" s="156"/>
    </row>
    <row r="100">
      <c r="A100" s="23"/>
      <c r="B100" s="156"/>
      <c r="C100" s="156"/>
      <c r="D100" s="156"/>
      <c r="E100" s="156"/>
      <c r="F100" s="156"/>
      <c r="G100" s="156"/>
    </row>
    <row r="101">
      <c r="A101" s="47"/>
      <c r="B101" s="172"/>
      <c r="C101" s="172"/>
      <c r="D101" s="172"/>
      <c r="E101" s="172"/>
      <c r="F101" s="172"/>
      <c r="G101" s="172"/>
    </row>
    <row r="102">
      <c r="A102" s="154" t="s">
        <v>49</v>
      </c>
      <c r="B102" s="156"/>
      <c r="C102" s="156"/>
      <c r="D102" s="156"/>
      <c r="E102" s="516" t="s">
        <v>436</v>
      </c>
      <c r="F102" s="392" t="s">
        <v>308</v>
      </c>
      <c r="G102" s="507"/>
    </row>
    <row r="103">
      <c r="A103" s="23"/>
      <c r="B103" s="156"/>
      <c r="C103" s="156"/>
      <c r="D103" s="156"/>
      <c r="E103" s="518" t="s">
        <v>437</v>
      </c>
      <c r="F103" s="192" t="s">
        <v>310</v>
      </c>
      <c r="G103" s="298"/>
    </row>
    <row r="104">
      <c r="A104" s="47"/>
      <c r="B104" s="172"/>
      <c r="C104" s="172"/>
      <c r="D104" s="172"/>
      <c r="E104" s="538">
        <v>303.0</v>
      </c>
      <c r="F104" s="395" t="s">
        <v>440</v>
      </c>
      <c r="G104" s="355"/>
    </row>
    <row r="105">
      <c r="A105" s="154" t="s">
        <v>51</v>
      </c>
      <c r="B105" s="156"/>
      <c r="C105" s="156"/>
      <c r="D105" s="156"/>
      <c r="E105" s="516" t="s">
        <v>436</v>
      </c>
      <c r="F105" s="156"/>
      <c r="G105" s="237"/>
    </row>
    <row r="106">
      <c r="A106" s="23"/>
      <c r="B106" s="156"/>
      <c r="C106" s="156"/>
      <c r="D106" s="156"/>
      <c r="E106" s="518" t="s">
        <v>437</v>
      </c>
      <c r="F106" s="156"/>
      <c r="G106" s="237"/>
    </row>
    <row r="107">
      <c r="A107" s="47"/>
      <c r="B107" s="172"/>
      <c r="C107" s="172"/>
      <c r="D107" s="172"/>
      <c r="E107" s="538">
        <v>303.0</v>
      </c>
      <c r="F107" s="172"/>
      <c r="G107" s="412"/>
    </row>
    <row r="108">
      <c r="A108" s="154" t="s">
        <v>59</v>
      </c>
      <c r="B108" s="156"/>
      <c r="C108" s="156"/>
      <c r="D108" s="228"/>
      <c r="E108" s="156"/>
      <c r="F108" s="156"/>
      <c r="G108" s="232"/>
    </row>
    <row r="109">
      <c r="A109" s="23"/>
      <c r="B109" s="156"/>
      <c r="C109" s="156"/>
      <c r="D109" s="161"/>
      <c r="E109" s="156"/>
      <c r="F109" s="156"/>
      <c r="G109" s="237"/>
    </row>
    <row r="110">
      <c r="A110" s="47"/>
      <c r="B110" s="172"/>
      <c r="C110" s="172"/>
      <c r="D110" s="177"/>
      <c r="E110" s="172"/>
      <c r="F110" s="172"/>
      <c r="G110" s="412"/>
    </row>
    <row r="111">
      <c r="A111" s="154" t="s">
        <v>64</v>
      </c>
      <c r="B111" s="156"/>
      <c r="C111" s="156"/>
      <c r="D111" s="228"/>
      <c r="E111" s="156"/>
      <c r="F111" s="156"/>
      <c r="G111" s="156"/>
    </row>
    <row r="112">
      <c r="A112" s="23"/>
      <c r="B112" s="156"/>
      <c r="C112" s="156"/>
      <c r="D112" s="161"/>
      <c r="E112" s="156"/>
      <c r="F112" s="156"/>
      <c r="G112" s="156"/>
    </row>
    <row r="113">
      <c r="A113" s="47"/>
      <c r="B113" s="172"/>
      <c r="C113" s="172"/>
      <c r="D113" s="177"/>
      <c r="E113" s="172"/>
      <c r="F113" s="172"/>
      <c r="G113" s="172"/>
    </row>
    <row r="114">
      <c r="A114" s="154" t="s">
        <v>66</v>
      </c>
      <c r="B114" s="156"/>
      <c r="C114" s="156"/>
      <c r="D114" s="156"/>
      <c r="E114" s="156"/>
      <c r="F114" s="156"/>
      <c r="G114" s="156"/>
    </row>
    <row r="115">
      <c r="A115" s="23"/>
      <c r="B115" s="156"/>
      <c r="C115" s="156"/>
      <c r="D115" s="156"/>
      <c r="E115" s="156"/>
      <c r="F115" s="156"/>
      <c r="G115" s="156"/>
    </row>
    <row r="116">
      <c r="A116" s="47"/>
      <c r="B116" s="172"/>
      <c r="C116" s="172"/>
      <c r="D116" s="172"/>
      <c r="E116" s="172"/>
      <c r="F116" s="172"/>
      <c r="G116" s="172"/>
    </row>
  </sheetData>
  <mergeCells count="65">
    <mergeCell ref="A48:A50"/>
    <mergeCell ref="A51:A53"/>
    <mergeCell ref="A54:A56"/>
    <mergeCell ref="A57:A59"/>
    <mergeCell ref="A61:A63"/>
    <mergeCell ref="A64:A66"/>
    <mergeCell ref="A67:A69"/>
    <mergeCell ref="A102:A104"/>
    <mergeCell ref="A105:A107"/>
    <mergeCell ref="A108:A110"/>
    <mergeCell ref="A111:A113"/>
    <mergeCell ref="A114:A116"/>
    <mergeCell ref="A80:A82"/>
    <mergeCell ref="A83:A85"/>
    <mergeCell ref="A86:A88"/>
    <mergeCell ref="A89:A91"/>
    <mergeCell ref="A92:A94"/>
    <mergeCell ref="A95:A97"/>
    <mergeCell ref="A99:A101"/>
    <mergeCell ref="A1:A2"/>
    <mergeCell ref="B1:G1"/>
    <mergeCell ref="B3:G3"/>
    <mergeCell ref="A4:A6"/>
    <mergeCell ref="A7:A9"/>
    <mergeCell ref="A10:A12"/>
    <mergeCell ref="A13:A15"/>
    <mergeCell ref="A16:A18"/>
    <mergeCell ref="A19:A21"/>
    <mergeCell ref="B22:G22"/>
    <mergeCell ref="A23:A25"/>
    <mergeCell ref="A26:A28"/>
    <mergeCell ref="A29:A31"/>
    <mergeCell ref="A32:A34"/>
    <mergeCell ref="B34:C34"/>
    <mergeCell ref="B32:C32"/>
    <mergeCell ref="B33:C33"/>
    <mergeCell ref="A35:A37"/>
    <mergeCell ref="B38:C38"/>
    <mergeCell ref="B39:C39"/>
    <mergeCell ref="B40:C40"/>
    <mergeCell ref="B41:G41"/>
    <mergeCell ref="B48:C48"/>
    <mergeCell ref="B49:C49"/>
    <mergeCell ref="B51:C51"/>
    <mergeCell ref="B52:C52"/>
    <mergeCell ref="B53:C53"/>
    <mergeCell ref="B60:G60"/>
    <mergeCell ref="A38:A40"/>
    <mergeCell ref="A42:A44"/>
    <mergeCell ref="A45:A47"/>
    <mergeCell ref="B45:C45"/>
    <mergeCell ref="B46:C46"/>
    <mergeCell ref="B47:C47"/>
    <mergeCell ref="B50:C50"/>
    <mergeCell ref="B86:C86"/>
    <mergeCell ref="B87:C87"/>
    <mergeCell ref="B88:C88"/>
    <mergeCell ref="B98:G98"/>
    <mergeCell ref="A70:A72"/>
    <mergeCell ref="A73:A75"/>
    <mergeCell ref="A76:A78"/>
    <mergeCell ref="B79:G79"/>
    <mergeCell ref="B83:C83"/>
    <mergeCell ref="B84:C84"/>
    <mergeCell ref="B85:C85"/>
  </mergeCells>
  <conditionalFormatting sqref="A1:A12 B1:C21 D1:D12 E1:E21 F1:F6 G1:G21 D16:D21 F19:F21 A23:A31 B23:C40 E23:E40 F23:F25 G23:G40 D29:D40 F32:F37 A35:A37 B42:E59 G42:G59 A48:A53 F48:F56 A61:A75 B61:E78 G61:G78 F67:F78 A80:A82 B80:B91 C80:C94 D80:D91 E80:E97 F80:F82 G80:G97 D93:D97 F95:F97 C100:D101 E100:E107 G102:G116 C103:D104 C106:C107 D106:D113 C109:C110 E109:E110 C112:C113 E112:E113 C115:E116">
    <cfRule type="expression" dxfId="0" priority="1">
      <formula>REGEXMATCH(A1, "(^\s+)|(\s+$)")</formula>
    </cfRule>
  </conditionalFormatting>
  <conditionalFormatting sqref="A1:A12 B1:C21 D1:D12 E1:E21 F1:F6 G1:G21 D16:D21 F19:F21 A23:A31 B23:C40 E23:E40 F23:F25 G23:G40 D29:D40 F32:F37 A35:A37 B42:E59 G42:G59 A48:A53 F48:F56 A61:A75 B61:E78 G61:G78 F67:F78 A80:A82 B80:B91 C80:C94 D80:D91 E80:E97 F80:F82 G80:G97 D93:D97 F95:F97 C100:D101 E100:E107 G102:G116 C103:D104 C106:C107 D106:D113 C109:C110 E109:E110 C112:C113 E112:E113 C115:E116">
    <cfRule type="expression" dxfId="0" priority="2">
      <formula>REGEXMATCH(A1, "[а-яА-Я]")</formula>
    </cfRule>
  </conditionalFormatting>
  <conditionalFormatting sqref="A1:A12 B1:C21 D1:D12 E1:E21 F1:F6 G1:G21 D16:D21 F19:F21 A23:A31 B23:C40 E23:E40 F23:F25 G23:G40 D29:D40 F32:F37 A35:A37 B42:E59 G42:G59 A48:A53 F48:F56 A61:A75 B61:E78 G61:G78 F67:F78 A80:A82 B80:B91 C80:C94 D80:D91 E80:E97 F80:F82 G80:G97 D93:D97 F95:F97 C100:D101 E100:E107 G102:G116 C103:D104 C106:C107 D106:D113 C109:C110 E109:E110 C112:C113 E112:E113 C115:E116">
    <cfRule type="expression" dxfId="0" priority="3">
      <formula>REGEXMATCH(A1, "\s{2,}")</formula>
    </cfRule>
  </conditionalFormatting>
  <conditionalFormatting sqref="A1:A12 B1:C21 D1:D12 E1:E21 F1:F6 G1:G21 D16:D21 F19:F21 A23:A31 B23:C40 E23:E40 F23:F25 G23:G40 D29:D40 F32:F37 A35:A37 B42:E59 G42:G59 A48:A53 F48:F56 A61:A75 B61:E78 G61:G78 F67:F78 A80:A82 B80:B91 C80:C94 D80:D91 E80:E97 F80:F82 G80:G97 D93:D97 F95:F97 C100:D101 E100:E107 G102:G116 C103:D104 C106:C107 D106:D113 C109:C110 E109:E110 C112:C113 E112:E113 C115:E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3" width="28.38"/>
  </cols>
  <sheetData>
    <row r="1">
      <c r="A1" s="140"/>
      <c r="B1" s="141" t="s">
        <v>112</v>
      </c>
      <c r="C1" s="142" t="s">
        <v>113</v>
      </c>
    </row>
    <row r="2">
      <c r="A2" s="44"/>
      <c r="B2" s="146" t="s">
        <v>126</v>
      </c>
      <c r="C2" s="146" t="s">
        <v>126</v>
      </c>
    </row>
    <row r="3">
      <c r="A3" s="147" t="s">
        <v>38</v>
      </c>
      <c r="B3" s="150"/>
      <c r="C3" s="150"/>
    </row>
    <row r="4">
      <c r="A4" s="152" t="s">
        <v>39</v>
      </c>
      <c r="B4" s="160"/>
      <c r="C4" s="161"/>
    </row>
    <row r="5">
      <c r="A5" s="38"/>
      <c r="B5" s="169"/>
      <c r="C5" s="161"/>
    </row>
    <row r="6">
      <c r="A6" s="44"/>
      <c r="B6" s="176"/>
      <c r="C6" s="177"/>
    </row>
    <row r="7">
      <c r="A7" s="152" t="s">
        <v>49</v>
      </c>
      <c r="B7" s="161"/>
      <c r="C7" s="161"/>
    </row>
    <row r="8">
      <c r="A8" s="38"/>
      <c r="B8" s="161"/>
      <c r="C8" s="161"/>
    </row>
    <row r="9">
      <c r="A9" s="44"/>
      <c r="B9" s="177"/>
      <c r="C9" s="177"/>
    </row>
    <row r="10">
      <c r="A10" s="152" t="s">
        <v>51</v>
      </c>
      <c r="B10" s="211"/>
      <c r="C10" s="211"/>
    </row>
    <row r="11">
      <c r="A11" s="38"/>
      <c r="B11" s="211"/>
      <c r="C11" s="211"/>
    </row>
    <row r="12">
      <c r="A12" s="44"/>
      <c r="B12" s="226"/>
      <c r="C12" s="226"/>
    </row>
    <row r="13">
      <c r="A13" s="152" t="s">
        <v>59</v>
      </c>
      <c r="B13" s="211"/>
      <c r="C13" s="211"/>
    </row>
    <row r="14">
      <c r="A14" s="38"/>
      <c r="B14" s="211"/>
      <c r="C14" s="211"/>
    </row>
    <row r="15">
      <c r="A15" s="44"/>
      <c r="B15" s="226"/>
      <c r="C15" s="226"/>
    </row>
    <row r="16">
      <c r="A16" s="152" t="s">
        <v>64</v>
      </c>
      <c r="B16" s="63"/>
      <c r="C16" s="63"/>
    </row>
    <row r="17">
      <c r="A17" s="38"/>
      <c r="B17" s="69"/>
      <c r="C17" s="69"/>
    </row>
    <row r="18">
      <c r="A18" s="44"/>
      <c r="B18" s="76"/>
      <c r="C18" s="76"/>
    </row>
    <row r="19">
      <c r="A19" s="152" t="s">
        <v>66</v>
      </c>
      <c r="B19" s="254"/>
      <c r="C19" s="254"/>
    </row>
    <row r="20">
      <c r="A20" s="38"/>
      <c r="B20" s="254"/>
      <c r="C20" s="254"/>
    </row>
    <row r="21">
      <c r="A21" s="44"/>
      <c r="B21" s="254"/>
      <c r="C21" s="254"/>
    </row>
    <row r="22">
      <c r="A22" s="147" t="s">
        <v>74</v>
      </c>
      <c r="B22" s="150"/>
      <c r="C22" s="150"/>
    </row>
    <row r="23">
      <c r="A23" s="152" t="s">
        <v>39</v>
      </c>
      <c r="B23" s="257" t="s">
        <v>199</v>
      </c>
      <c r="C23" s="161"/>
    </row>
    <row r="24">
      <c r="A24" s="38"/>
      <c r="B24" s="264" t="s">
        <v>204</v>
      </c>
      <c r="C24" s="161"/>
    </row>
    <row r="25">
      <c r="A25" s="44"/>
      <c r="B25" s="266">
        <v>320.0</v>
      </c>
      <c r="C25" s="177"/>
    </row>
    <row r="26">
      <c r="A26" s="152" t="s">
        <v>49</v>
      </c>
      <c r="B26" s="63"/>
      <c r="C26" s="63"/>
    </row>
    <row r="27">
      <c r="A27" s="38"/>
      <c r="B27" s="69"/>
      <c r="C27" s="69"/>
    </row>
    <row r="28">
      <c r="A28" s="44"/>
      <c r="B28" s="76"/>
      <c r="C28" s="76"/>
    </row>
    <row r="29">
      <c r="A29" s="152" t="s">
        <v>51</v>
      </c>
      <c r="B29" s="63"/>
      <c r="C29" s="63"/>
    </row>
    <row r="30">
      <c r="A30" s="38"/>
      <c r="B30" s="69"/>
      <c r="C30" s="69"/>
    </row>
    <row r="31">
      <c r="A31" s="44"/>
      <c r="B31" s="76"/>
      <c r="C31" s="76"/>
    </row>
    <row r="32">
      <c r="A32" s="152" t="s">
        <v>59</v>
      </c>
      <c r="B32" s="63"/>
      <c r="C32" s="63"/>
    </row>
    <row r="33">
      <c r="A33" s="38"/>
      <c r="B33" s="69"/>
      <c r="C33" s="69"/>
    </row>
    <row r="34">
      <c r="A34" s="44"/>
      <c r="B34" s="76"/>
      <c r="C34" s="76"/>
    </row>
    <row r="35">
      <c r="A35" s="152" t="s">
        <v>64</v>
      </c>
      <c r="B35" s="257" t="s">
        <v>252</v>
      </c>
      <c r="C35" s="319"/>
    </row>
    <row r="36">
      <c r="A36" s="38"/>
      <c r="B36" s="321" t="s">
        <v>254</v>
      </c>
      <c r="C36" s="152"/>
    </row>
    <row r="37">
      <c r="A37" s="44"/>
      <c r="B37" s="266" t="s">
        <v>256</v>
      </c>
      <c r="C37" s="323"/>
    </row>
    <row r="38">
      <c r="A38" s="324" t="s">
        <v>66</v>
      </c>
      <c r="B38" s="257" t="s">
        <v>252</v>
      </c>
      <c r="C38" s="319"/>
    </row>
    <row r="39">
      <c r="A39" s="38"/>
      <c r="B39" s="321" t="s">
        <v>254</v>
      </c>
      <c r="C39" s="152"/>
    </row>
    <row r="40">
      <c r="A40" s="44"/>
      <c r="B40" s="266" t="s">
        <v>256</v>
      </c>
      <c r="C40" s="323"/>
    </row>
    <row r="41">
      <c r="A41" s="147" t="s">
        <v>82</v>
      </c>
      <c r="B41" s="326"/>
      <c r="C41" s="326"/>
    </row>
    <row r="42">
      <c r="A42" s="152" t="s">
        <v>39</v>
      </c>
      <c r="B42" s="330" t="s">
        <v>266</v>
      </c>
      <c r="C42" s="331" t="s">
        <v>267</v>
      </c>
    </row>
    <row r="43">
      <c r="A43" s="38"/>
      <c r="B43" s="321" t="s">
        <v>254</v>
      </c>
      <c r="C43" s="338" t="s">
        <v>273</v>
      </c>
    </row>
    <row r="44">
      <c r="A44" s="44"/>
      <c r="B44" s="266" t="s">
        <v>275</v>
      </c>
      <c r="C44" s="345" t="s">
        <v>276</v>
      </c>
    </row>
    <row r="45">
      <c r="A45" s="152" t="s">
        <v>49</v>
      </c>
      <c r="B45" s="330" t="s">
        <v>266</v>
      </c>
      <c r="C45" s="331" t="s">
        <v>282</v>
      </c>
    </row>
    <row r="46">
      <c r="A46" s="38"/>
      <c r="B46" s="321" t="s">
        <v>254</v>
      </c>
      <c r="C46" s="338" t="s">
        <v>273</v>
      </c>
    </row>
    <row r="47">
      <c r="A47" s="44"/>
      <c r="B47" s="266" t="s">
        <v>275</v>
      </c>
      <c r="C47" s="345" t="s">
        <v>276</v>
      </c>
    </row>
    <row r="48">
      <c r="A48" s="152" t="s">
        <v>51</v>
      </c>
      <c r="B48" s="63"/>
      <c r="C48" s="63"/>
    </row>
    <row r="49">
      <c r="A49" s="38"/>
      <c r="B49" s="69"/>
      <c r="C49" s="69"/>
    </row>
    <row r="50">
      <c r="A50" s="44"/>
      <c r="B50" s="76"/>
      <c r="C50" s="76"/>
    </row>
    <row r="51">
      <c r="A51" s="152" t="s">
        <v>59</v>
      </c>
      <c r="B51" s="63"/>
      <c r="C51" s="63"/>
    </row>
    <row r="52">
      <c r="A52" s="38"/>
      <c r="B52" s="69"/>
      <c r="C52" s="69"/>
    </row>
    <row r="53">
      <c r="A53" s="44"/>
      <c r="B53" s="76"/>
      <c r="C53" s="76"/>
    </row>
    <row r="54">
      <c r="A54" s="152" t="s">
        <v>64</v>
      </c>
      <c r="B54" s="63"/>
      <c r="C54" s="63"/>
    </row>
    <row r="55">
      <c r="A55" s="38"/>
      <c r="B55" s="69"/>
      <c r="C55" s="69"/>
    </row>
    <row r="56">
      <c r="A56" s="44"/>
      <c r="B56" s="76"/>
      <c r="C56" s="76"/>
    </row>
    <row r="57">
      <c r="A57" s="152" t="s">
        <v>66</v>
      </c>
      <c r="B57" s="161"/>
      <c r="C57" s="161"/>
    </row>
    <row r="58">
      <c r="A58" s="38"/>
      <c r="B58" s="161"/>
      <c r="C58" s="161"/>
    </row>
    <row r="59">
      <c r="A59" s="44"/>
      <c r="B59" s="161"/>
      <c r="C59" s="161"/>
    </row>
    <row r="60">
      <c r="A60" s="147" t="s">
        <v>86</v>
      </c>
      <c r="B60" s="150"/>
      <c r="C60" s="150"/>
    </row>
    <row r="61">
      <c r="A61" s="152" t="s">
        <v>39</v>
      </c>
      <c r="B61" s="160"/>
      <c r="C61" s="331" t="s">
        <v>267</v>
      </c>
    </row>
    <row r="62">
      <c r="A62" s="38"/>
      <c r="B62" s="169"/>
      <c r="C62" s="338" t="s">
        <v>273</v>
      </c>
    </row>
    <row r="63">
      <c r="A63" s="44"/>
      <c r="B63" s="176"/>
      <c r="C63" s="345" t="s">
        <v>314</v>
      </c>
    </row>
    <row r="64">
      <c r="A64" s="152" t="s">
        <v>49</v>
      </c>
      <c r="B64" s="160"/>
      <c r="C64" s="331" t="s">
        <v>282</v>
      </c>
    </row>
    <row r="65">
      <c r="A65" s="38"/>
      <c r="B65" s="169"/>
      <c r="C65" s="338" t="s">
        <v>273</v>
      </c>
    </row>
    <row r="66">
      <c r="A66" s="44"/>
      <c r="B66" s="176"/>
      <c r="C66" s="345" t="s">
        <v>314</v>
      </c>
    </row>
    <row r="67">
      <c r="A67" s="152" t="s">
        <v>51</v>
      </c>
      <c r="B67" s="254"/>
      <c r="C67" s="254"/>
    </row>
    <row r="68">
      <c r="A68" s="38"/>
      <c r="B68" s="254"/>
      <c r="C68" s="254"/>
    </row>
    <row r="69">
      <c r="A69" s="44"/>
      <c r="B69" s="254"/>
      <c r="C69" s="254"/>
    </row>
    <row r="70">
      <c r="A70" s="152" t="s">
        <v>59</v>
      </c>
      <c r="B70" s="63"/>
      <c r="C70" s="63"/>
    </row>
    <row r="71">
      <c r="A71" s="38"/>
      <c r="B71" s="69"/>
      <c r="C71" s="69"/>
    </row>
    <row r="72">
      <c r="A72" s="44"/>
      <c r="B72" s="76"/>
      <c r="C72" s="76"/>
    </row>
    <row r="73">
      <c r="A73" s="152" t="s">
        <v>64</v>
      </c>
      <c r="B73" s="319"/>
      <c r="C73" s="319"/>
    </row>
    <row r="74">
      <c r="A74" s="38"/>
      <c r="B74" s="152"/>
      <c r="C74" s="152"/>
    </row>
    <row r="75">
      <c r="A75" s="44"/>
      <c r="B75" s="323"/>
      <c r="C75" s="323"/>
    </row>
    <row r="76">
      <c r="A76" s="152" t="s">
        <v>66</v>
      </c>
      <c r="B76" s="254"/>
      <c r="C76" s="254"/>
    </row>
    <row r="77">
      <c r="A77" s="38"/>
      <c r="B77" s="254"/>
      <c r="C77" s="254"/>
    </row>
    <row r="78">
      <c r="A78" s="44"/>
      <c r="B78" s="254"/>
      <c r="C78" s="254"/>
    </row>
    <row r="79">
      <c r="A79" s="147" t="s">
        <v>92</v>
      </c>
      <c r="B79" s="150"/>
      <c r="C79" s="150"/>
    </row>
    <row r="80">
      <c r="A80" s="152" t="s">
        <v>39</v>
      </c>
      <c r="B80" s="63"/>
      <c r="C80" s="63"/>
    </row>
    <row r="81">
      <c r="A81" s="38"/>
      <c r="B81" s="69"/>
      <c r="C81" s="69"/>
    </row>
    <row r="82">
      <c r="A82" s="44"/>
      <c r="B82" s="76"/>
      <c r="C82" s="76"/>
    </row>
    <row r="83">
      <c r="A83" s="152" t="s">
        <v>49</v>
      </c>
      <c r="B83" s="63"/>
      <c r="C83" s="63"/>
    </row>
    <row r="84">
      <c r="A84" s="38"/>
      <c r="B84" s="69"/>
      <c r="C84" s="69"/>
    </row>
    <row r="85">
      <c r="A85" s="44"/>
      <c r="B85" s="76"/>
      <c r="C85" s="76"/>
    </row>
    <row r="86">
      <c r="A86" s="152" t="s">
        <v>51</v>
      </c>
      <c r="B86" s="254"/>
      <c r="C86" s="254"/>
    </row>
    <row r="87">
      <c r="A87" s="38"/>
      <c r="B87" s="254"/>
      <c r="C87" s="254"/>
    </row>
    <row r="88">
      <c r="A88" s="44"/>
      <c r="B88" s="254"/>
      <c r="C88" s="254"/>
    </row>
    <row r="89">
      <c r="A89" s="152" t="s">
        <v>59</v>
      </c>
      <c r="B89" s="382" t="s">
        <v>376</v>
      </c>
      <c r="C89" s="349"/>
    </row>
    <row r="90">
      <c r="A90" s="38"/>
      <c r="B90" s="386" t="s">
        <v>377</v>
      </c>
      <c r="C90" s="298"/>
    </row>
    <row r="91">
      <c r="A91" s="44"/>
      <c r="B91" s="390" t="s">
        <v>137</v>
      </c>
      <c r="C91" s="355"/>
    </row>
    <row r="92">
      <c r="A92" s="152" t="s">
        <v>64</v>
      </c>
      <c r="B92" s="493" t="s">
        <v>376</v>
      </c>
      <c r="C92" s="494"/>
    </row>
    <row r="93">
      <c r="A93" s="38"/>
      <c r="B93" s="386" t="s">
        <v>377</v>
      </c>
      <c r="C93" s="298"/>
    </row>
    <row r="94">
      <c r="A94" s="44"/>
      <c r="B94" s="390" t="s">
        <v>137</v>
      </c>
      <c r="C94" s="355"/>
    </row>
    <row r="95">
      <c r="A95" s="152" t="s">
        <v>66</v>
      </c>
      <c r="B95" s="330" t="s">
        <v>266</v>
      </c>
      <c r="C95" s="500"/>
    </row>
    <row r="96">
      <c r="A96" s="38"/>
      <c r="B96" s="321" t="s">
        <v>254</v>
      </c>
      <c r="C96" s="152"/>
    </row>
    <row r="97">
      <c r="A97" s="44"/>
      <c r="B97" s="266" t="s">
        <v>385</v>
      </c>
      <c r="C97" s="323"/>
    </row>
    <row r="98">
      <c r="A98" s="149" t="s">
        <v>103</v>
      </c>
      <c r="B98" s="326"/>
      <c r="C98" s="326"/>
    </row>
    <row r="99">
      <c r="A99" s="152" t="s">
        <v>39</v>
      </c>
      <c r="B99" s="63"/>
      <c r="C99" s="500"/>
    </row>
    <row r="100">
      <c r="A100" s="38"/>
      <c r="B100" s="69"/>
      <c r="C100" s="152"/>
    </row>
    <row r="101">
      <c r="A101" s="44"/>
      <c r="B101" s="76"/>
      <c r="C101" s="323"/>
    </row>
    <row r="102">
      <c r="A102" s="152" t="s">
        <v>49</v>
      </c>
      <c r="B102" s="63"/>
      <c r="C102" s="500"/>
    </row>
    <row r="103">
      <c r="A103" s="38"/>
      <c r="B103" s="69"/>
      <c r="C103" s="152"/>
    </row>
    <row r="104">
      <c r="A104" s="44"/>
      <c r="B104" s="76"/>
      <c r="C104" s="323"/>
    </row>
    <row r="105">
      <c r="A105" s="152" t="s">
        <v>51</v>
      </c>
      <c r="B105" s="228"/>
      <c r="C105" s="161"/>
    </row>
    <row r="106">
      <c r="A106" s="38"/>
      <c r="B106" s="161"/>
      <c r="C106" s="161"/>
    </row>
    <row r="107">
      <c r="A107" s="44"/>
      <c r="B107" s="177"/>
      <c r="C107" s="177"/>
    </row>
    <row r="108">
      <c r="A108" s="152" t="s">
        <v>59</v>
      </c>
      <c r="B108" s="161"/>
      <c r="C108" s="161"/>
    </row>
    <row r="109">
      <c r="A109" s="38"/>
      <c r="B109" s="161"/>
      <c r="C109" s="161"/>
    </row>
    <row r="110">
      <c r="A110" s="44"/>
      <c r="B110" s="177"/>
      <c r="C110" s="177"/>
    </row>
    <row r="111">
      <c r="A111" s="152" t="s">
        <v>64</v>
      </c>
      <c r="B111" s="161"/>
      <c r="C111" s="161"/>
    </row>
    <row r="112">
      <c r="A112" s="38"/>
      <c r="B112" s="161"/>
      <c r="C112" s="161"/>
    </row>
    <row r="113">
      <c r="A113" s="44"/>
      <c r="B113" s="177"/>
      <c r="C113" s="177"/>
    </row>
    <row r="114">
      <c r="A114" s="152" t="s">
        <v>66</v>
      </c>
      <c r="B114" s="161"/>
      <c r="C114" s="161"/>
    </row>
    <row r="115">
      <c r="A115" s="38"/>
      <c r="B115" s="161"/>
      <c r="C115" s="161"/>
    </row>
    <row r="116">
      <c r="A116" s="44"/>
      <c r="B116" s="177"/>
      <c r="C116" s="177"/>
    </row>
  </sheetData>
  <mergeCells count="37">
    <mergeCell ref="A1:A2"/>
    <mergeCell ref="A4:A6"/>
    <mergeCell ref="A7:A9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73:A75"/>
    <mergeCell ref="A76:A78"/>
    <mergeCell ref="A80:A82"/>
    <mergeCell ref="A83:A85"/>
    <mergeCell ref="A86:A88"/>
    <mergeCell ref="A111:A113"/>
    <mergeCell ref="A114:A116"/>
    <mergeCell ref="A89:A91"/>
    <mergeCell ref="A92:A94"/>
    <mergeCell ref="A95:A97"/>
    <mergeCell ref="A99:A101"/>
    <mergeCell ref="A102:A104"/>
    <mergeCell ref="A105:A107"/>
    <mergeCell ref="A108:A110"/>
  </mergeCells>
  <conditionalFormatting sqref="A1:A12 B1:C2 B4:C12 A16:C21 A23:A37 B23:C40 C42:C56 B48:B56 A61:A78 B61:C66 B70:C78 A80:C85 A89:A91 B89:C97">
    <cfRule type="expression" dxfId="0" priority="1">
      <formula>REGEXMATCH(A1, "(^\s+)|(\s+$)")</formula>
    </cfRule>
  </conditionalFormatting>
  <conditionalFormatting sqref="A1:A12 B1:C2 B4:C12 A16:C21 A23:A37 B23:C40 C42:C56 B48:B56 A61:A78 B61:C66 B70:C78 A80:C85 A89:A91 B89:C97">
    <cfRule type="expression" dxfId="0" priority="2">
      <formula>REGEXMATCH(A1, "[а-яА-Я]")</formula>
    </cfRule>
  </conditionalFormatting>
  <conditionalFormatting sqref="A1:A12 B1:C2 B4:C12 A16:C21 A23:A37 B23:C40 C42:C56 B48:B56 A61:A78 B61:C66 B70:C78 A80:C85 A89:A91 B89:C97">
    <cfRule type="expression" dxfId="0" priority="3">
      <formula>REGEXMATCH(A1, "\s{2,}")</formula>
    </cfRule>
  </conditionalFormatting>
  <conditionalFormatting sqref="A1:A12 B1:C2 B4:C12 A16:C21 A23:A37 B23:C40 C42:C56 B48:B56 A61:A78 B61:C66 B70:C78 A80:C85 A89:A91 B89:C97">
    <cfRule type="expression" dxfId="0" priority="4">
      <formula>REGEXMATCH(A1, "(\S\()|(\)\S)")</formula>
    </cfRule>
  </conditionalFormatting>
  <drawing r:id="rId1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1.63"/>
    <col customWidth="1" min="2" max="11" width="23.75"/>
    <col customWidth="1" min="12" max="12" width="11.63"/>
    <col customWidth="1" min="13" max="13" width="23.75"/>
    <col customWidth="1" min="14" max="23" width="22.38"/>
    <col customWidth="1" min="24" max="24" width="11.63"/>
    <col customWidth="1" min="25" max="25" width="28.25"/>
    <col customWidth="1" min="26" max="26" width="27.5"/>
    <col customWidth="1" min="27" max="27" width="29.38"/>
    <col customWidth="1" min="28" max="28" width="27.13"/>
    <col customWidth="1" min="29" max="29" width="29.38"/>
    <col customWidth="1" min="30" max="31" width="28.13"/>
    <col customWidth="1" min="32" max="32" width="26.38"/>
    <col customWidth="1" min="33" max="33" width="11.63"/>
    <col customWidth="1" min="34" max="35" width="29.13"/>
    <col customWidth="1" min="36" max="36" width="27.88"/>
    <col customWidth="1" min="37" max="37" width="29.88"/>
    <col customWidth="1" min="38" max="38" width="27.88"/>
    <col customWidth="1" min="39" max="39" width="31.38"/>
    <col customWidth="1" min="40" max="40" width="11.63"/>
    <col customWidth="1" min="41" max="41" width="28.13"/>
    <col customWidth="1" min="42" max="42" width="27.38"/>
    <col customWidth="1" min="43" max="43" width="34.0"/>
    <col customWidth="1" min="44" max="47" width="26.38"/>
    <col customWidth="1" min="48" max="48" width="70.38"/>
    <col customWidth="1" min="49" max="49" width="14.13"/>
    <col customWidth="1" min="50" max="51" width="12.88"/>
  </cols>
  <sheetData>
    <row r="1">
      <c r="A1" s="623"/>
      <c r="B1" s="624" t="s">
        <v>0</v>
      </c>
      <c r="C1" s="3"/>
      <c r="D1" s="3"/>
      <c r="E1" s="3"/>
      <c r="F1" s="3"/>
      <c r="G1" s="3"/>
      <c r="H1" s="3"/>
      <c r="I1" s="3"/>
      <c r="J1" s="3"/>
      <c r="K1" s="4"/>
      <c r="L1" s="625"/>
      <c r="M1" s="626" t="s">
        <v>1</v>
      </c>
      <c r="N1" s="3"/>
      <c r="O1" s="3"/>
      <c r="P1" s="3"/>
      <c r="Q1" s="3"/>
      <c r="R1" s="3"/>
      <c r="S1" s="3"/>
      <c r="T1" s="3"/>
      <c r="U1" s="3"/>
      <c r="V1" s="3"/>
      <c r="W1" s="4"/>
      <c r="X1" s="625"/>
      <c r="Y1" s="624" t="s">
        <v>111</v>
      </c>
      <c r="Z1" s="3"/>
      <c r="AA1" s="3"/>
      <c r="AB1" s="3"/>
      <c r="AC1" s="3"/>
      <c r="AD1" s="3"/>
      <c r="AE1" s="3"/>
      <c r="AF1" s="4"/>
      <c r="AG1" s="625"/>
      <c r="AH1" s="626" t="s">
        <v>550</v>
      </c>
      <c r="AI1" s="3"/>
      <c r="AJ1" s="3"/>
      <c r="AK1" s="3"/>
      <c r="AL1" s="3"/>
      <c r="AM1" s="4"/>
      <c r="AN1" s="625"/>
      <c r="AO1" s="627" t="s">
        <v>2</v>
      </c>
      <c r="AP1" s="3"/>
      <c r="AQ1" s="3"/>
      <c r="AR1" s="3"/>
      <c r="AS1" s="4"/>
      <c r="AT1" s="628" t="s">
        <v>551</v>
      </c>
      <c r="AU1" s="4"/>
      <c r="AV1" s="143"/>
      <c r="AW1" s="143"/>
      <c r="AX1" s="143"/>
      <c r="AY1" s="143"/>
    </row>
    <row r="2">
      <c r="A2" s="44"/>
      <c r="B2" s="629" t="s">
        <v>552</v>
      </c>
      <c r="C2" s="630" t="s">
        <v>553</v>
      </c>
      <c r="D2" s="629" t="s">
        <v>554</v>
      </c>
      <c r="E2" s="630" t="s">
        <v>555</v>
      </c>
      <c r="F2" s="629" t="s">
        <v>556</v>
      </c>
      <c r="G2" s="629" t="s">
        <v>557</v>
      </c>
      <c r="H2" s="629" t="s">
        <v>558</v>
      </c>
      <c r="I2" s="629" t="s">
        <v>559</v>
      </c>
      <c r="J2" s="629" t="s">
        <v>560</v>
      </c>
      <c r="K2" s="629" t="s">
        <v>561</v>
      </c>
      <c r="L2" s="44"/>
      <c r="M2" s="630" t="s">
        <v>114</v>
      </c>
      <c r="N2" s="629" t="s">
        <v>562</v>
      </c>
      <c r="O2" s="629" t="s">
        <v>563</v>
      </c>
      <c r="P2" s="144" t="s">
        <v>564</v>
      </c>
      <c r="Q2" s="144" t="s">
        <v>565</v>
      </c>
      <c r="R2" s="629" t="s">
        <v>121</v>
      </c>
      <c r="S2" s="629" t="s">
        <v>566</v>
      </c>
      <c r="T2" s="629" t="s">
        <v>567</v>
      </c>
      <c r="U2" s="629" t="s">
        <v>568</v>
      </c>
      <c r="V2" s="629" t="s">
        <v>569</v>
      </c>
      <c r="W2" s="629" t="s">
        <v>570</v>
      </c>
      <c r="X2" s="44"/>
      <c r="Y2" s="631" t="s">
        <v>571</v>
      </c>
      <c r="Z2" s="631" t="s">
        <v>572</v>
      </c>
      <c r="AA2" s="631" t="s">
        <v>573</v>
      </c>
      <c r="AB2" s="631" t="s">
        <v>574</v>
      </c>
      <c r="AC2" s="631" t="s">
        <v>575</v>
      </c>
      <c r="AD2" s="631" t="s">
        <v>576</v>
      </c>
      <c r="AE2" s="631" t="s">
        <v>577</v>
      </c>
      <c r="AF2" s="631" t="s">
        <v>578</v>
      </c>
      <c r="AG2" s="44"/>
      <c r="AH2" s="631" t="s">
        <v>579</v>
      </c>
      <c r="AI2" s="631" t="s">
        <v>580</v>
      </c>
      <c r="AJ2" s="632" t="s">
        <v>581</v>
      </c>
      <c r="AK2" s="631" t="s">
        <v>582</v>
      </c>
      <c r="AL2" s="631" t="s">
        <v>583</v>
      </c>
      <c r="AM2" s="631" t="s">
        <v>584</v>
      </c>
      <c r="AN2" s="44"/>
      <c r="AO2" s="631" t="s">
        <v>585</v>
      </c>
      <c r="AP2" s="631" t="s">
        <v>586</v>
      </c>
      <c r="AQ2" s="631" t="s">
        <v>587</v>
      </c>
      <c r="AR2" s="632" t="s">
        <v>588</v>
      </c>
      <c r="AS2" s="631" t="s">
        <v>589</v>
      </c>
      <c r="AT2" s="631" t="s">
        <v>590</v>
      </c>
      <c r="AU2" s="631" t="s">
        <v>591</v>
      </c>
      <c r="AV2" s="143"/>
      <c r="AW2" s="143"/>
      <c r="AX2" s="143"/>
      <c r="AY2" s="143"/>
    </row>
    <row r="3">
      <c r="A3" s="633" t="s">
        <v>38</v>
      </c>
      <c r="B3" s="634"/>
      <c r="K3" s="23"/>
      <c r="L3" s="633" t="s">
        <v>38</v>
      </c>
      <c r="M3" s="634"/>
      <c r="W3" s="23"/>
      <c r="X3" s="633" t="s">
        <v>38</v>
      </c>
      <c r="Y3" s="635"/>
      <c r="Z3" s="46"/>
      <c r="AA3" s="46"/>
      <c r="AB3" s="46"/>
      <c r="AC3" s="46"/>
      <c r="AD3" s="46"/>
      <c r="AE3" s="46"/>
      <c r="AF3" s="47"/>
      <c r="AG3" s="633" t="s">
        <v>38</v>
      </c>
      <c r="AH3" s="634"/>
      <c r="AM3" s="23"/>
      <c r="AN3" s="633" t="s">
        <v>38</v>
      </c>
      <c r="AO3" s="636"/>
      <c r="AP3" s="3"/>
      <c r="AQ3" s="3"/>
      <c r="AR3" s="3"/>
      <c r="AS3" s="4"/>
      <c r="AT3" s="151"/>
      <c r="AV3" s="151"/>
      <c r="AW3" s="151"/>
      <c r="AX3" s="151"/>
      <c r="AY3" s="151"/>
    </row>
    <row r="4">
      <c r="A4" s="623" t="s">
        <v>39</v>
      </c>
      <c r="B4" s="637" t="s">
        <v>127</v>
      </c>
      <c r="C4" s="7"/>
      <c r="D4" s="7"/>
      <c r="E4" s="7"/>
      <c r="F4" s="7"/>
      <c r="G4" s="7"/>
      <c r="H4" s="7"/>
      <c r="I4" s="7"/>
      <c r="J4" s="7"/>
      <c r="K4" s="8"/>
      <c r="L4" s="498" t="s">
        <v>130</v>
      </c>
      <c r="M4" s="638" t="s">
        <v>140</v>
      </c>
      <c r="N4" s="7"/>
      <c r="O4" s="7"/>
      <c r="P4" s="7"/>
      <c r="Q4" s="8"/>
      <c r="R4" s="639" t="s">
        <v>592</v>
      </c>
      <c r="S4" s="8"/>
      <c r="T4" s="640"/>
      <c r="U4" s="640"/>
      <c r="V4" s="641"/>
      <c r="W4" s="642"/>
      <c r="X4" s="623" t="s">
        <v>128</v>
      </c>
      <c r="Y4" s="641"/>
      <c r="Z4" s="641"/>
      <c r="AA4" s="641"/>
      <c r="AB4" s="156"/>
      <c r="AC4" s="643" t="s">
        <v>593</v>
      </c>
      <c r="AD4" s="7"/>
      <c r="AE4" s="8"/>
      <c r="AF4" s="641"/>
      <c r="AG4" s="623" t="s">
        <v>594</v>
      </c>
      <c r="AH4" s="644"/>
      <c r="AI4" s="645"/>
      <c r="AJ4" s="646"/>
      <c r="AK4" s="647" t="s">
        <v>592</v>
      </c>
      <c r="AL4" s="646"/>
      <c r="AM4" s="647" t="s">
        <v>592</v>
      </c>
      <c r="AN4" s="623" t="s">
        <v>39</v>
      </c>
      <c r="AO4" s="648" t="s">
        <v>595</v>
      </c>
      <c r="AP4" s="8"/>
      <c r="AQ4" s="143"/>
      <c r="AR4" s="649"/>
      <c r="AS4" s="650"/>
      <c r="AT4" s="651"/>
      <c r="AU4" s="651"/>
      <c r="AV4" s="163"/>
      <c r="AW4" s="163"/>
      <c r="AX4" s="163"/>
      <c r="AY4" s="163"/>
    </row>
    <row r="5">
      <c r="A5" s="38"/>
      <c r="B5" s="652" t="s">
        <v>134</v>
      </c>
      <c r="K5" s="23"/>
      <c r="L5" s="38"/>
      <c r="M5" s="653" t="s">
        <v>79</v>
      </c>
      <c r="Q5" s="23"/>
      <c r="R5" s="654" t="s">
        <v>269</v>
      </c>
      <c r="S5" s="23"/>
      <c r="T5" s="655"/>
      <c r="U5" s="655"/>
      <c r="V5" s="656"/>
      <c r="W5" s="657"/>
      <c r="X5" s="38"/>
      <c r="Y5" s="658"/>
      <c r="Z5" s="658"/>
      <c r="AA5" s="658"/>
      <c r="AB5" s="156"/>
      <c r="AC5" s="659" t="s">
        <v>354</v>
      </c>
      <c r="AE5" s="23"/>
      <c r="AF5" s="658"/>
      <c r="AG5" s="38"/>
      <c r="AH5" s="655"/>
      <c r="AI5" s="660"/>
      <c r="AJ5" s="655"/>
      <c r="AK5" s="661" t="s">
        <v>269</v>
      </c>
      <c r="AL5" s="655"/>
      <c r="AM5" s="661" t="s">
        <v>269</v>
      </c>
      <c r="AN5" s="38"/>
      <c r="AO5" s="662" t="s">
        <v>521</v>
      </c>
      <c r="AP5" s="23"/>
      <c r="AQ5" s="143"/>
      <c r="AR5" s="663"/>
      <c r="AS5" s="663"/>
      <c r="AT5" s="655"/>
      <c r="AU5" s="655"/>
      <c r="AV5" s="163" t="str">
        <f t="array" ref="AV5">TEXTJOIN(" | ", 1, A6:AS6)</f>
        <v>108 | ONLINE/105 | 106 | 321 | 106 STARTS AT 9:20 | 106 STARTS AT 9:20 | 107 (ON 01/04)</v>
      </c>
      <c r="AW5" s="163"/>
      <c r="AX5" s="163"/>
      <c r="AY5" s="163"/>
    </row>
    <row r="6">
      <c r="A6" s="44"/>
      <c r="B6" s="664">
        <v>108.0</v>
      </c>
      <c r="K6" s="23"/>
      <c r="L6" s="44"/>
      <c r="M6" s="665" t="s">
        <v>596</v>
      </c>
      <c r="N6" s="46"/>
      <c r="O6" s="46"/>
      <c r="P6" s="46"/>
      <c r="Q6" s="47"/>
      <c r="R6" s="666">
        <v>106.0</v>
      </c>
      <c r="S6" s="47"/>
      <c r="T6" s="667"/>
      <c r="U6" s="667"/>
      <c r="V6" s="668"/>
      <c r="W6" s="668"/>
      <c r="X6" s="44"/>
      <c r="Y6" s="669"/>
      <c r="Z6" s="669"/>
      <c r="AA6" s="669"/>
      <c r="AB6" s="172"/>
      <c r="AC6" s="670">
        <v>321.0</v>
      </c>
      <c r="AD6" s="46"/>
      <c r="AE6" s="47"/>
      <c r="AF6" s="669"/>
      <c r="AG6" s="44"/>
      <c r="AH6" s="671"/>
      <c r="AI6" s="669"/>
      <c r="AJ6" s="668"/>
      <c r="AK6" s="672" t="s">
        <v>597</v>
      </c>
      <c r="AL6" s="668"/>
      <c r="AM6" s="672" t="s">
        <v>598</v>
      </c>
      <c r="AN6" s="44"/>
      <c r="AO6" s="673" t="s">
        <v>599</v>
      </c>
      <c r="AP6" s="47"/>
      <c r="AQ6" s="143"/>
      <c r="AR6" s="674"/>
      <c r="AS6" s="674"/>
      <c r="AT6" s="675"/>
      <c r="AU6" s="675"/>
      <c r="AV6" s="178" t="str">
        <f>IFERROR(__xludf.DUMMYFUNCTION("TEXTJOIN("" / "", 1, SORT(UNIQUE(TRANSPOSE(SPLIT(TRIM(REGEXREPLACE(AV5,""([0-9]{3}[a-zA-Z]?)|."",""$1 "")), "" "")))))"),"105 / 106 / 107 / 108 / 321")</f>
        <v>105 / 106 / 107 / 108 / 321</v>
      </c>
      <c r="AW6" s="163"/>
      <c r="AX6" s="164">
        <v>301.0</v>
      </c>
      <c r="AY6" s="163"/>
    </row>
    <row r="7">
      <c r="A7" s="623" t="s">
        <v>49</v>
      </c>
      <c r="B7" s="637" t="s">
        <v>138</v>
      </c>
      <c r="C7" s="7"/>
      <c r="D7" s="7"/>
      <c r="E7" s="7"/>
      <c r="F7" s="7"/>
      <c r="G7" s="7"/>
      <c r="H7" s="7"/>
      <c r="I7" s="7"/>
      <c r="J7" s="7"/>
      <c r="K7" s="8"/>
      <c r="L7" s="498" t="s">
        <v>145</v>
      </c>
      <c r="M7" s="640"/>
      <c r="N7" s="676" t="s">
        <v>196</v>
      </c>
      <c r="O7" s="641"/>
      <c r="P7" s="676" t="s">
        <v>196</v>
      </c>
      <c r="Q7" s="641"/>
      <c r="R7" s="573"/>
      <c r="S7" s="640"/>
      <c r="T7" s="640"/>
      <c r="U7" s="640"/>
      <c r="V7" s="641"/>
      <c r="W7" s="677" t="s">
        <v>144</v>
      </c>
      <c r="X7" s="623" t="s">
        <v>139</v>
      </c>
      <c r="Y7" s="640"/>
      <c r="Z7" s="640"/>
      <c r="AA7" s="640"/>
      <c r="AB7" s="678"/>
      <c r="AC7" s="679" t="s">
        <v>600</v>
      </c>
      <c r="AD7" s="641"/>
      <c r="AE7" s="641"/>
      <c r="AF7" s="641"/>
      <c r="AG7" s="623" t="s">
        <v>601</v>
      </c>
      <c r="AH7" s="645"/>
      <c r="AI7" s="680"/>
      <c r="AJ7" s="646"/>
      <c r="AK7" s="681" t="s">
        <v>602</v>
      </c>
      <c r="AL7" s="646"/>
      <c r="AM7" s="647" t="s">
        <v>602</v>
      </c>
      <c r="AN7" s="623" t="s">
        <v>49</v>
      </c>
      <c r="AO7" s="648" t="s">
        <v>595</v>
      </c>
      <c r="AP7" s="8"/>
      <c r="AQ7" s="682" t="s">
        <v>360</v>
      </c>
      <c r="AR7" s="642"/>
      <c r="AS7" s="650"/>
      <c r="AT7" s="651"/>
      <c r="AU7" s="651"/>
      <c r="AV7" s="163"/>
      <c r="AW7" s="163"/>
      <c r="AX7" s="163"/>
      <c r="AY7" s="163"/>
    </row>
    <row r="8">
      <c r="A8" s="38"/>
      <c r="B8" s="652" t="s">
        <v>134</v>
      </c>
      <c r="K8" s="23"/>
      <c r="L8" s="38"/>
      <c r="M8" s="655"/>
      <c r="N8" s="454" t="s">
        <v>201</v>
      </c>
      <c r="O8" s="655"/>
      <c r="P8" s="454" t="s">
        <v>603</v>
      </c>
      <c r="Q8" s="655"/>
      <c r="R8" s="575"/>
      <c r="S8" s="655"/>
      <c r="T8" s="655"/>
      <c r="U8" s="655"/>
      <c r="V8" s="656"/>
      <c r="W8" s="683" t="s">
        <v>151</v>
      </c>
      <c r="X8" s="38"/>
      <c r="Y8" s="658"/>
      <c r="Z8" s="658"/>
      <c r="AA8" s="658"/>
      <c r="AB8" s="588"/>
      <c r="AC8" s="684" t="s">
        <v>283</v>
      </c>
      <c r="AD8" s="658"/>
      <c r="AE8" s="658"/>
      <c r="AF8" s="685"/>
      <c r="AG8" s="38"/>
      <c r="AH8" s="660"/>
      <c r="AI8" s="655"/>
      <c r="AJ8" s="655"/>
      <c r="AK8" s="686" t="s">
        <v>604</v>
      </c>
      <c r="AL8" s="655"/>
      <c r="AM8" s="661" t="s">
        <v>245</v>
      </c>
      <c r="AN8" s="38"/>
      <c r="AO8" s="662" t="s">
        <v>521</v>
      </c>
      <c r="AP8" s="23"/>
      <c r="AQ8" s="687" t="s">
        <v>321</v>
      </c>
      <c r="AR8" s="655"/>
      <c r="AS8" s="663"/>
      <c r="AT8" s="655"/>
      <c r="AU8" s="655"/>
      <c r="AV8" s="163" t="str">
        <f t="array" ref="AV8">TEXTJOIN(" | ", 1, A9:AS9)</f>
        <v>108 | 312 | 317 | 102 | 321 | 421 STARTS AT 11:00 | 303 STARTS AT 11:00 | 107 (ON 01/04) | 300</v>
      </c>
      <c r="AW8" s="163"/>
      <c r="AX8" s="163"/>
      <c r="AY8" s="163"/>
    </row>
    <row r="9">
      <c r="A9" s="44"/>
      <c r="B9" s="195">
        <v>108.0</v>
      </c>
      <c r="C9" s="46"/>
      <c r="D9" s="46"/>
      <c r="E9" s="46"/>
      <c r="F9" s="46"/>
      <c r="G9" s="46"/>
      <c r="H9" s="46"/>
      <c r="I9" s="46"/>
      <c r="J9" s="46"/>
      <c r="K9" s="47"/>
      <c r="L9" s="44"/>
      <c r="M9" s="667"/>
      <c r="N9" s="458">
        <v>312.0</v>
      </c>
      <c r="O9" s="667"/>
      <c r="P9" s="458">
        <v>317.0</v>
      </c>
      <c r="Q9" s="667"/>
      <c r="R9" s="323"/>
      <c r="S9" s="688"/>
      <c r="T9" s="669"/>
      <c r="U9" s="667"/>
      <c r="V9" s="689"/>
      <c r="W9" s="690">
        <v>102.0</v>
      </c>
      <c r="X9" s="44"/>
      <c r="Y9" s="675"/>
      <c r="Z9" s="675"/>
      <c r="AA9" s="675"/>
      <c r="AB9" s="691"/>
      <c r="AC9" s="692">
        <v>321.0</v>
      </c>
      <c r="AD9" s="669"/>
      <c r="AE9" s="669"/>
      <c r="AF9" s="693"/>
      <c r="AG9" s="44"/>
      <c r="AH9" s="669"/>
      <c r="AI9" s="668"/>
      <c r="AJ9" s="668"/>
      <c r="AK9" s="672" t="s">
        <v>605</v>
      </c>
      <c r="AL9" s="668"/>
      <c r="AM9" s="672" t="s">
        <v>606</v>
      </c>
      <c r="AN9" s="44"/>
      <c r="AO9" s="673" t="s">
        <v>607</v>
      </c>
      <c r="AP9" s="47"/>
      <c r="AQ9" s="690">
        <v>300.0</v>
      </c>
      <c r="AR9" s="674"/>
      <c r="AS9" s="674"/>
      <c r="AT9" s="675"/>
      <c r="AU9" s="675"/>
      <c r="AV9" s="178" t="str">
        <f>IFERROR(__xludf.DUMMYFUNCTION("TEXTJOIN("" / "", 1, SORT(UNIQUE(TRANSPOSE(SPLIT(TRIM(REGEXREPLACE(AV8,""([0-9]{3}[a-zA-Z]?)|."",""$1 "")), "" "")))))"),"102 / 107 / 108 / 300 / 303 / 312 / 317 / 321 / 421")</f>
        <v>102 / 107 / 108 / 300 / 303 / 312 / 317 / 321 / 421</v>
      </c>
      <c r="AW9" s="163"/>
      <c r="AX9" s="164">
        <v>301.0</v>
      </c>
      <c r="AY9" s="163"/>
    </row>
    <row r="10">
      <c r="A10" s="623" t="s">
        <v>51</v>
      </c>
      <c r="B10" s="143"/>
      <c r="C10" s="640"/>
      <c r="D10" s="694" t="s">
        <v>156</v>
      </c>
      <c r="E10" s="640"/>
      <c r="F10" s="694" t="s">
        <v>156</v>
      </c>
      <c r="G10" s="640"/>
      <c r="H10" s="640"/>
      <c r="I10" s="694" t="s">
        <v>156</v>
      </c>
      <c r="J10" s="694" t="s">
        <v>156</v>
      </c>
      <c r="K10" s="640"/>
      <c r="L10" s="498" t="s">
        <v>162</v>
      </c>
      <c r="M10" s="453" t="s">
        <v>196</v>
      </c>
      <c r="N10" s="640"/>
      <c r="O10" s="641"/>
      <c r="P10" s="641"/>
      <c r="Q10" s="676" t="s">
        <v>196</v>
      </c>
      <c r="R10" s="681" t="s">
        <v>602</v>
      </c>
      <c r="S10" s="143"/>
      <c r="T10" s="695" t="s">
        <v>142</v>
      </c>
      <c r="U10" s="8"/>
      <c r="V10" s="640"/>
      <c r="W10" s="677" t="s">
        <v>161</v>
      </c>
      <c r="X10" s="623" t="s">
        <v>158</v>
      </c>
      <c r="Y10" s="696" t="s">
        <v>163</v>
      </c>
      <c r="Z10" s="7"/>
      <c r="AA10" s="8"/>
      <c r="AB10" s="678"/>
      <c r="AC10" s="641"/>
      <c r="AD10" s="679" t="s">
        <v>600</v>
      </c>
      <c r="AE10" s="641"/>
      <c r="AF10" s="697"/>
      <c r="AG10" s="623" t="s">
        <v>608</v>
      </c>
      <c r="AH10" s="698"/>
      <c r="AI10" s="698"/>
      <c r="AJ10" s="698"/>
      <c r="AK10" s="698"/>
      <c r="AL10" s="699" t="s">
        <v>142</v>
      </c>
      <c r="AM10" s="143"/>
      <c r="AN10" s="623" t="s">
        <v>51</v>
      </c>
      <c r="AO10" s="648" t="s">
        <v>595</v>
      </c>
      <c r="AP10" s="8"/>
      <c r="AQ10" s="700"/>
      <c r="AR10" s="651"/>
      <c r="AS10" s="228"/>
      <c r="AT10" s="651"/>
      <c r="AU10" s="651"/>
      <c r="AV10" s="163"/>
      <c r="AW10" s="163"/>
      <c r="AX10" s="163"/>
      <c r="AY10" s="163"/>
    </row>
    <row r="11">
      <c r="A11" s="38"/>
      <c r="B11" s="143"/>
      <c r="C11" s="701"/>
      <c r="D11" s="702" t="s">
        <v>167</v>
      </c>
      <c r="E11" s="701"/>
      <c r="F11" s="703" t="s">
        <v>166</v>
      </c>
      <c r="G11" s="701"/>
      <c r="H11" s="701"/>
      <c r="I11" s="704" t="s">
        <v>54</v>
      </c>
      <c r="J11" s="705" t="s">
        <v>168</v>
      </c>
      <c r="K11" s="701"/>
      <c r="L11" s="38"/>
      <c r="M11" s="706" t="s">
        <v>201</v>
      </c>
      <c r="N11" s="655"/>
      <c r="O11" s="655"/>
      <c r="P11" s="655"/>
      <c r="Q11" s="454" t="s">
        <v>603</v>
      </c>
      <c r="R11" s="707" t="s">
        <v>233</v>
      </c>
      <c r="S11" s="143"/>
      <c r="T11" s="708" t="s">
        <v>149</v>
      </c>
      <c r="U11" s="23"/>
      <c r="V11" s="656"/>
      <c r="W11" s="683" t="s">
        <v>151</v>
      </c>
      <c r="X11" s="38"/>
      <c r="Y11" s="709" t="s">
        <v>134</v>
      </c>
      <c r="AA11" s="23"/>
      <c r="AB11" s="156"/>
      <c r="AC11" s="658"/>
      <c r="AD11" s="684" t="s">
        <v>283</v>
      </c>
      <c r="AE11" s="658"/>
      <c r="AF11" s="710"/>
      <c r="AG11" s="38"/>
      <c r="AH11" s="711"/>
      <c r="AI11" s="711"/>
      <c r="AJ11" s="711"/>
      <c r="AK11" s="711"/>
      <c r="AL11" s="684" t="s">
        <v>149</v>
      </c>
      <c r="AM11" s="143"/>
      <c r="AN11" s="38"/>
      <c r="AO11" s="662" t="s">
        <v>521</v>
      </c>
      <c r="AP11" s="23"/>
      <c r="AQ11" s="712"/>
      <c r="AR11" s="655"/>
      <c r="AS11" s="161"/>
      <c r="AT11" s="655"/>
      <c r="AU11" s="655"/>
      <c r="AV11" s="163" t="str">
        <f t="array" ref="AV11">TEXTJOIN(" | ", 1, A12:AS12)</f>
        <v>303 | 300 | 308 | 101 | 312 | 317 | 314 | ONLINE | 102 | 106 | 321 | ONLINE STARTS AT 13:00 | 107 (ON 01/04)</v>
      </c>
      <c r="AW11" s="163"/>
      <c r="AX11" s="163"/>
      <c r="AY11" s="163"/>
    </row>
    <row r="12">
      <c r="A12" s="44"/>
      <c r="B12" s="143"/>
      <c r="C12" s="713"/>
      <c r="D12" s="714">
        <v>303.0</v>
      </c>
      <c r="E12" s="715"/>
      <c r="F12" s="714">
        <v>300.0</v>
      </c>
      <c r="G12" s="715"/>
      <c r="H12" s="713"/>
      <c r="I12" s="714">
        <v>308.0</v>
      </c>
      <c r="J12" s="714">
        <v>101.0</v>
      </c>
      <c r="K12" s="713"/>
      <c r="L12" s="44"/>
      <c r="M12" s="458">
        <v>312.0</v>
      </c>
      <c r="N12" s="669"/>
      <c r="O12" s="667"/>
      <c r="P12" s="667"/>
      <c r="Q12" s="458">
        <v>317.0</v>
      </c>
      <c r="R12" s="716">
        <v>314.0</v>
      </c>
      <c r="S12" s="143"/>
      <c r="T12" s="670" t="s">
        <v>137</v>
      </c>
      <c r="U12" s="47"/>
      <c r="V12" s="668"/>
      <c r="W12" s="690">
        <v>102.0</v>
      </c>
      <c r="X12" s="44"/>
      <c r="Y12" s="717">
        <v>106.0</v>
      </c>
      <c r="Z12" s="46"/>
      <c r="AA12" s="47"/>
      <c r="AB12" s="691"/>
      <c r="AC12" s="669"/>
      <c r="AD12" s="692">
        <v>321.0</v>
      </c>
      <c r="AE12" s="669"/>
      <c r="AF12" s="693"/>
      <c r="AG12" s="44"/>
      <c r="AH12" s="718"/>
      <c r="AI12" s="718"/>
      <c r="AJ12" s="718"/>
      <c r="AK12" s="718"/>
      <c r="AL12" s="719" t="s">
        <v>609</v>
      </c>
      <c r="AM12" s="143"/>
      <c r="AN12" s="44"/>
      <c r="AO12" s="673" t="s">
        <v>610</v>
      </c>
      <c r="AP12" s="47"/>
      <c r="AQ12" s="688"/>
      <c r="AR12" s="675"/>
      <c r="AS12" s="177"/>
      <c r="AT12" s="675"/>
      <c r="AU12" s="675"/>
      <c r="AV12" s="178" t="str">
        <f>IFERROR(__xludf.DUMMYFUNCTION("TEXTJOIN("" / "", 1, SORT(UNIQUE(TRANSPOSE(SPLIT(TRIM(REGEXREPLACE(AV11,""([0-9]{3}[a-zA-Z]?)|."",""$1 "")), "" "")))))"),"101 / 102 / 106 / 107 / 300 / 303 / 308 / 312 / 314 / 317 / 321")</f>
        <v>101 / 102 / 106 / 107 / 300 / 303 / 308 / 312 / 314 / 317 / 321</v>
      </c>
      <c r="AW12" s="163"/>
      <c r="AX12" s="164">
        <v>301.0</v>
      </c>
      <c r="AY12" s="163"/>
    </row>
    <row r="13">
      <c r="A13" s="623" t="s">
        <v>59</v>
      </c>
      <c r="B13" s="640"/>
      <c r="C13" s="694" t="s">
        <v>156</v>
      </c>
      <c r="D13" s="640"/>
      <c r="E13" s="694" t="s">
        <v>156</v>
      </c>
      <c r="F13" s="640"/>
      <c r="G13" s="694" t="s">
        <v>156</v>
      </c>
      <c r="H13" s="640"/>
      <c r="I13" s="227"/>
      <c r="J13" s="640"/>
      <c r="K13" s="694" t="s">
        <v>156</v>
      </c>
      <c r="L13" s="498" t="s">
        <v>174</v>
      </c>
      <c r="M13" s="640"/>
      <c r="N13" s="641"/>
      <c r="O13" s="720" t="s">
        <v>196</v>
      </c>
      <c r="P13" s="640"/>
      <c r="Q13" s="641"/>
      <c r="R13" s="640"/>
      <c r="S13" s="721"/>
      <c r="T13" s="143"/>
      <c r="U13" s="640"/>
      <c r="V13" s="722"/>
      <c r="W13" s="677" t="s">
        <v>173</v>
      </c>
      <c r="X13" s="623" t="s">
        <v>172</v>
      </c>
      <c r="Y13" s="720" t="s">
        <v>175</v>
      </c>
      <c r="Z13" s="723" t="s">
        <v>175</v>
      </c>
      <c r="AA13" s="156"/>
      <c r="AB13" s="724" t="s">
        <v>303</v>
      </c>
      <c r="AC13" s="641"/>
      <c r="AD13" s="641"/>
      <c r="AE13" s="679" t="s">
        <v>600</v>
      </c>
      <c r="AF13" s="641"/>
      <c r="AG13" s="623" t="s">
        <v>611</v>
      </c>
      <c r="AH13" s="641"/>
      <c r="AI13" s="641"/>
      <c r="AJ13" s="641"/>
      <c r="AK13" s="641"/>
      <c r="AL13" s="641"/>
      <c r="AM13" s="641"/>
      <c r="AN13" s="623" t="s">
        <v>59</v>
      </c>
      <c r="AO13" s="651"/>
      <c r="AP13" s="651"/>
      <c r="AQ13" s="682" t="s">
        <v>369</v>
      </c>
      <c r="AR13" s="651"/>
      <c r="AS13" s="651"/>
      <c r="AT13" s="651"/>
      <c r="AU13" s="651"/>
      <c r="AV13" s="163"/>
      <c r="AW13" s="163"/>
      <c r="AX13" s="163"/>
      <c r="AY13" s="163"/>
    </row>
    <row r="14">
      <c r="A14" s="38"/>
      <c r="B14" s="701"/>
      <c r="C14" s="704" t="s">
        <v>54</v>
      </c>
      <c r="D14" s="701"/>
      <c r="E14" s="702" t="s">
        <v>167</v>
      </c>
      <c r="F14" s="701"/>
      <c r="G14" s="703" t="s">
        <v>166</v>
      </c>
      <c r="H14" s="701"/>
      <c r="I14" s="234"/>
      <c r="J14" s="701"/>
      <c r="K14" s="725" t="s">
        <v>168</v>
      </c>
      <c r="L14" s="38"/>
      <c r="M14" s="655"/>
      <c r="N14" s="726"/>
      <c r="O14" s="706" t="s">
        <v>201</v>
      </c>
      <c r="P14" s="658"/>
      <c r="Q14" s="655"/>
      <c r="R14" s="655"/>
      <c r="S14" s="660"/>
      <c r="T14" s="143"/>
      <c r="U14" s="655"/>
      <c r="V14" s="657"/>
      <c r="W14" s="683" t="s">
        <v>151</v>
      </c>
      <c r="X14" s="38"/>
      <c r="Y14" s="727" t="s">
        <v>612</v>
      </c>
      <c r="Z14" s="235" t="s">
        <v>178</v>
      </c>
      <c r="AA14" s="156"/>
      <c r="AB14" s="728" t="s">
        <v>613</v>
      </c>
      <c r="AC14" s="658"/>
      <c r="AD14" s="658"/>
      <c r="AE14" s="684" t="s">
        <v>283</v>
      </c>
      <c r="AF14" s="658"/>
      <c r="AG14" s="38"/>
      <c r="AH14" s="658"/>
      <c r="AI14" s="658"/>
      <c r="AJ14" s="658"/>
      <c r="AK14" s="658"/>
      <c r="AL14" s="658"/>
      <c r="AM14" s="658"/>
      <c r="AN14" s="38"/>
      <c r="AO14" s="655"/>
      <c r="AP14" s="655"/>
      <c r="AQ14" s="729" t="s">
        <v>245</v>
      </c>
      <c r="AR14" s="655"/>
      <c r="AS14" s="655"/>
      <c r="AT14" s="655"/>
      <c r="AU14" s="655"/>
      <c r="AV14" s="163" t="str">
        <f t="array" ref="AV14">TEXTJOIN(" | ", 1, A15:AS15)</f>
        <v>308 | 303 | 300 | 101 | 312 | 102 | 313 (307 ON 08/04) | 316 | 317 | 321 | 304</v>
      </c>
      <c r="AW14" s="163"/>
      <c r="AX14" s="163"/>
      <c r="AY14" s="163"/>
    </row>
    <row r="15">
      <c r="A15" s="44"/>
      <c r="B15" s="715"/>
      <c r="C15" s="714">
        <v>308.0</v>
      </c>
      <c r="D15" s="715"/>
      <c r="E15" s="714">
        <v>303.0</v>
      </c>
      <c r="F15" s="715"/>
      <c r="G15" s="714">
        <v>300.0</v>
      </c>
      <c r="H15" s="713"/>
      <c r="I15" s="240"/>
      <c r="J15" s="715"/>
      <c r="K15" s="714">
        <v>101.0</v>
      </c>
      <c r="L15" s="44"/>
      <c r="M15" s="675"/>
      <c r="N15" s="669"/>
      <c r="O15" s="458">
        <v>312.0</v>
      </c>
      <c r="P15" s="669"/>
      <c r="Q15" s="667"/>
      <c r="R15" s="688"/>
      <c r="S15" s="730"/>
      <c r="T15" s="143"/>
      <c r="U15" s="667"/>
      <c r="V15" s="668"/>
      <c r="W15" s="690">
        <v>102.0</v>
      </c>
      <c r="X15" s="44"/>
      <c r="Y15" s="244" t="s">
        <v>614</v>
      </c>
      <c r="Z15" s="244">
        <v>316.0</v>
      </c>
      <c r="AA15" s="172"/>
      <c r="AB15" s="731">
        <v>317.0</v>
      </c>
      <c r="AC15" s="669"/>
      <c r="AD15" s="669"/>
      <c r="AE15" s="692">
        <v>321.0</v>
      </c>
      <c r="AF15" s="669"/>
      <c r="AG15" s="44"/>
      <c r="AH15" s="669"/>
      <c r="AI15" s="669"/>
      <c r="AJ15" s="669"/>
      <c r="AK15" s="669"/>
      <c r="AL15" s="669"/>
      <c r="AM15" s="669"/>
      <c r="AN15" s="44"/>
      <c r="AO15" s="675"/>
      <c r="AP15" s="675"/>
      <c r="AQ15" s="266">
        <v>304.0</v>
      </c>
      <c r="AR15" s="675"/>
      <c r="AS15" s="675"/>
      <c r="AT15" s="675"/>
      <c r="AU15" s="675"/>
      <c r="AV15" s="178" t="str">
        <f>IFERROR(__xludf.DUMMYFUNCTION("TEXTJOIN("" / "", 1, SORT(UNIQUE(TRANSPOSE(SPLIT(TRIM(REGEXREPLACE(AV14,""([0-9]{3}[a-zA-Z]?)|."",""$1 "")), "" "")))))"),"101 / 102 / 300 / 303 / 304 / 307 / 308 / 312 / 313 / 316 / 317 / 321")</f>
        <v>101 / 102 / 300 / 303 / 304 / 307 / 308 / 312 / 313 / 316 / 317 / 321</v>
      </c>
      <c r="AW15" s="164"/>
      <c r="AX15" s="164"/>
      <c r="AY15" s="164"/>
    </row>
    <row r="16">
      <c r="A16" s="623" t="s">
        <v>64</v>
      </c>
      <c r="B16" s="694" t="s">
        <v>156</v>
      </c>
      <c r="C16" s="732"/>
      <c r="D16" s="640"/>
      <c r="E16" s="640"/>
      <c r="F16" s="640"/>
      <c r="G16" s="733"/>
      <c r="H16" s="694" t="s">
        <v>156</v>
      </c>
      <c r="I16" s="640"/>
      <c r="J16" s="640"/>
      <c r="K16" s="734"/>
      <c r="L16" s="498" t="s">
        <v>185</v>
      </c>
      <c r="M16" s="640"/>
      <c r="N16" s="641"/>
      <c r="O16" s="641"/>
      <c r="P16" s="641"/>
      <c r="Q16" s="640"/>
      <c r="R16" s="641"/>
      <c r="S16" s="641"/>
      <c r="T16" s="641"/>
      <c r="U16" s="735"/>
      <c r="V16" s="641"/>
      <c r="W16" s="641"/>
      <c r="X16" s="623" t="s">
        <v>184</v>
      </c>
      <c r="Y16" s="228"/>
      <c r="Z16" s="156"/>
      <c r="AA16" s="723" t="s">
        <v>175</v>
      </c>
      <c r="AB16" s="641"/>
      <c r="AC16" s="641"/>
      <c r="AD16" s="641"/>
      <c r="AE16" s="641"/>
      <c r="AF16" s="736" t="s">
        <v>227</v>
      </c>
      <c r="AG16" s="623" t="s">
        <v>615</v>
      </c>
      <c r="AH16" s="641"/>
      <c r="AI16" s="641"/>
      <c r="AJ16" s="641"/>
      <c r="AK16" s="641"/>
      <c r="AL16" s="641"/>
      <c r="AM16" s="641"/>
      <c r="AN16" s="623" t="s">
        <v>64</v>
      </c>
      <c r="AO16" s="651"/>
      <c r="AP16" s="651"/>
      <c r="AQ16" s="737" t="s">
        <v>300</v>
      </c>
      <c r="AR16" s="650"/>
      <c r="AS16" s="650"/>
      <c r="AT16" s="651"/>
      <c r="AU16" s="651"/>
      <c r="AV16" s="163"/>
      <c r="AW16" s="163"/>
      <c r="AX16" s="163"/>
      <c r="AY16" s="163"/>
    </row>
    <row r="17">
      <c r="A17" s="38"/>
      <c r="B17" s="705" t="s">
        <v>168</v>
      </c>
      <c r="C17" s="588"/>
      <c r="D17" s="655"/>
      <c r="E17" s="660"/>
      <c r="F17" s="658"/>
      <c r="G17" s="701"/>
      <c r="H17" s="725" t="s">
        <v>166</v>
      </c>
      <c r="I17" s="658"/>
      <c r="J17" s="663"/>
      <c r="K17" s="738"/>
      <c r="L17" s="38"/>
      <c r="M17" s="656"/>
      <c r="N17" s="656"/>
      <c r="O17" s="656"/>
      <c r="P17" s="656"/>
      <c r="Q17" s="656"/>
      <c r="R17" s="656"/>
      <c r="S17" s="656"/>
      <c r="T17" s="658"/>
      <c r="U17" s="143"/>
      <c r="V17" s="656"/>
      <c r="W17" s="656"/>
      <c r="X17" s="38"/>
      <c r="Y17" s="161"/>
      <c r="Z17" s="156"/>
      <c r="AA17" s="235" t="s">
        <v>612</v>
      </c>
      <c r="AB17" s="658"/>
      <c r="AC17" s="658"/>
      <c r="AD17" s="658"/>
      <c r="AE17" s="658"/>
      <c r="AF17" s="739" t="s">
        <v>236</v>
      </c>
      <c r="AG17" s="38"/>
      <c r="AH17" s="658"/>
      <c r="AI17" s="658"/>
      <c r="AJ17" s="658"/>
      <c r="AK17" s="658"/>
      <c r="AL17" s="658"/>
      <c r="AM17" s="658"/>
      <c r="AN17" s="38"/>
      <c r="AO17" s="655"/>
      <c r="AP17" s="655"/>
      <c r="AQ17" s="740" t="s">
        <v>286</v>
      </c>
      <c r="AR17" s="663"/>
      <c r="AS17" s="663"/>
      <c r="AT17" s="655"/>
      <c r="AU17" s="655"/>
      <c r="AV17" s="163" t="str">
        <f t="array" ref="AV17">TEXTJOIN(" | ", 1, A18:AS18)</f>
        <v>101 | 300 | 313 | 104 | 303</v>
      </c>
      <c r="AW17" s="163"/>
      <c r="AX17" s="163"/>
      <c r="AY17" s="163"/>
    </row>
    <row r="18">
      <c r="A18" s="44"/>
      <c r="B18" s="714">
        <v>101.0</v>
      </c>
      <c r="C18" s="741"/>
      <c r="D18" s="675"/>
      <c r="E18" s="675"/>
      <c r="F18" s="675"/>
      <c r="G18" s="730"/>
      <c r="H18" s="714">
        <v>300.0</v>
      </c>
      <c r="I18" s="675"/>
      <c r="J18" s="675"/>
      <c r="K18" s="742"/>
      <c r="L18" s="44"/>
      <c r="M18" s="668"/>
      <c r="N18" s="668"/>
      <c r="O18" s="668"/>
      <c r="P18" s="668"/>
      <c r="Q18" s="668"/>
      <c r="R18" s="668"/>
      <c r="S18" s="668"/>
      <c r="T18" s="669"/>
      <c r="U18" s="143"/>
      <c r="V18" s="668"/>
      <c r="W18" s="668"/>
      <c r="X18" s="44"/>
      <c r="Y18" s="177"/>
      <c r="Z18" s="172"/>
      <c r="AA18" s="244">
        <v>313.0</v>
      </c>
      <c r="AB18" s="669"/>
      <c r="AC18" s="669"/>
      <c r="AD18" s="669"/>
      <c r="AE18" s="669"/>
      <c r="AF18" s="743">
        <v>104.0</v>
      </c>
      <c r="AG18" s="44"/>
      <c r="AH18" s="669"/>
      <c r="AI18" s="669"/>
      <c r="AJ18" s="669"/>
      <c r="AK18" s="669"/>
      <c r="AL18" s="669"/>
      <c r="AM18" s="669"/>
      <c r="AN18" s="44"/>
      <c r="AO18" s="675"/>
      <c r="AP18" s="675"/>
      <c r="AQ18" s="590">
        <v>303.0</v>
      </c>
      <c r="AR18" s="674"/>
      <c r="AS18" s="674"/>
      <c r="AT18" s="675"/>
      <c r="AU18" s="675"/>
      <c r="AV18" s="178" t="str">
        <f>IFERROR(__xludf.DUMMYFUNCTION("TEXTJOIN("" / "", 1, SORT(UNIQUE(TRANSPOSE(SPLIT(TRIM(REGEXREPLACE(AV17,""([0-9]{3}[a-zA-Z]?)|."",""$1 "")), "" "")))))"),"101 / 104 / 300 / 303 / 313")</f>
        <v>101 / 104 / 300 / 303 / 313</v>
      </c>
      <c r="AW18" s="163"/>
      <c r="AX18" s="163"/>
      <c r="AY18" s="163"/>
    </row>
    <row r="19">
      <c r="A19" s="623" t="s">
        <v>66</v>
      </c>
      <c r="B19" s="700"/>
      <c r="C19" s="641"/>
      <c r="D19" s="640"/>
      <c r="E19" s="640"/>
      <c r="F19" s="640"/>
      <c r="G19" s="733"/>
      <c r="H19" s="642"/>
      <c r="I19" s="640"/>
      <c r="J19" s="697"/>
      <c r="K19" s="697"/>
      <c r="L19" s="498" t="s">
        <v>192</v>
      </c>
      <c r="M19" s="640"/>
      <c r="N19" s="642"/>
      <c r="O19" s="642"/>
      <c r="P19" s="642"/>
      <c r="Q19" s="642"/>
      <c r="R19" s="642"/>
      <c r="S19" s="642"/>
      <c r="T19" s="642"/>
      <c r="U19" s="642"/>
      <c r="V19" s="642"/>
      <c r="W19" s="641"/>
      <c r="X19" s="623" t="s">
        <v>191</v>
      </c>
      <c r="Y19" s="641"/>
      <c r="Z19" s="641"/>
      <c r="AA19" s="641"/>
      <c r="AB19" s="641"/>
      <c r="AC19" s="641"/>
      <c r="AD19" s="641"/>
      <c r="AE19" s="641"/>
      <c r="AF19" s="736" t="s">
        <v>227</v>
      </c>
      <c r="AG19" s="623" t="s">
        <v>616</v>
      </c>
      <c r="AH19" s="698"/>
      <c r="AI19" s="698"/>
      <c r="AJ19" s="698"/>
      <c r="AK19" s="698"/>
      <c r="AL19" s="699" t="s">
        <v>206</v>
      </c>
      <c r="AM19" s="698"/>
      <c r="AN19" s="623" t="s">
        <v>66</v>
      </c>
      <c r="AO19" s="651"/>
      <c r="AP19" s="651"/>
      <c r="AQ19" s="744" t="s">
        <v>304</v>
      </c>
      <c r="AR19" s="650"/>
      <c r="AS19" s="650"/>
      <c r="AT19" s="651"/>
      <c r="AU19" s="651"/>
      <c r="AV19" s="163"/>
      <c r="AW19" s="163"/>
      <c r="AX19" s="163"/>
      <c r="AY19" s="163"/>
    </row>
    <row r="20">
      <c r="A20" s="38"/>
      <c r="B20" s="745"/>
      <c r="C20" s="746"/>
      <c r="D20" s="655"/>
      <c r="E20" s="660"/>
      <c r="F20" s="658"/>
      <c r="G20" s="701"/>
      <c r="H20" s="657"/>
      <c r="I20" s="658"/>
      <c r="J20" s="697"/>
      <c r="K20" s="697"/>
      <c r="L20" s="38"/>
      <c r="M20" s="655"/>
      <c r="N20" s="656"/>
      <c r="O20" s="656"/>
      <c r="P20" s="656"/>
      <c r="Q20" s="656"/>
      <c r="R20" s="656"/>
      <c r="S20" s="656"/>
      <c r="T20" s="656"/>
      <c r="U20" s="656"/>
      <c r="V20" s="656"/>
      <c r="W20" s="656"/>
      <c r="X20" s="38"/>
      <c r="Y20" s="658"/>
      <c r="Z20" s="658"/>
      <c r="AA20" s="658"/>
      <c r="AB20" s="658"/>
      <c r="AC20" s="658"/>
      <c r="AD20" s="658"/>
      <c r="AE20" s="658"/>
      <c r="AF20" s="739" t="s">
        <v>236</v>
      </c>
      <c r="AG20" s="38"/>
      <c r="AH20" s="711"/>
      <c r="AI20" s="711"/>
      <c r="AJ20" s="711"/>
      <c r="AK20" s="711"/>
      <c r="AL20" s="747" t="s">
        <v>168</v>
      </c>
      <c r="AM20" s="711"/>
      <c r="AN20" s="38"/>
      <c r="AO20" s="655"/>
      <c r="AP20" s="655"/>
      <c r="AQ20" s="501" t="s">
        <v>617</v>
      </c>
      <c r="AR20" s="663"/>
      <c r="AS20" s="663"/>
      <c r="AT20" s="655"/>
      <c r="AU20" s="655"/>
      <c r="AV20" s="163" t="str">
        <f t="array" ref="AV20">TEXTJOIN(" | ", 1, A21:AS21)</f>
        <v>104 | 303 | 317</v>
      </c>
      <c r="AW20" s="163"/>
      <c r="AX20" s="163"/>
      <c r="AY20" s="163"/>
    </row>
    <row r="21">
      <c r="A21" s="44"/>
      <c r="B21" s="675"/>
      <c r="C21" s="691"/>
      <c r="D21" s="675"/>
      <c r="E21" s="675"/>
      <c r="F21" s="675"/>
      <c r="G21" s="730"/>
      <c r="H21" s="668"/>
      <c r="I21" s="675"/>
      <c r="J21" s="697"/>
      <c r="K21" s="669"/>
      <c r="L21" s="44"/>
      <c r="M21" s="667"/>
      <c r="N21" s="668"/>
      <c r="O21" s="668"/>
      <c r="P21" s="668"/>
      <c r="Q21" s="668"/>
      <c r="R21" s="668"/>
      <c r="S21" s="668"/>
      <c r="T21" s="668"/>
      <c r="U21" s="668"/>
      <c r="V21" s="668"/>
      <c r="W21" s="668"/>
      <c r="X21" s="44"/>
      <c r="Y21" s="669"/>
      <c r="Z21" s="669"/>
      <c r="AA21" s="669"/>
      <c r="AB21" s="669"/>
      <c r="AC21" s="669"/>
      <c r="AD21" s="669"/>
      <c r="AE21" s="669"/>
      <c r="AF21" s="743">
        <v>104.0</v>
      </c>
      <c r="AG21" s="44"/>
      <c r="AH21" s="718"/>
      <c r="AI21" s="718"/>
      <c r="AJ21" s="718"/>
      <c r="AK21" s="718"/>
      <c r="AL21" s="692">
        <v>303.0</v>
      </c>
      <c r="AM21" s="718"/>
      <c r="AN21" s="44"/>
      <c r="AO21" s="675"/>
      <c r="AP21" s="675"/>
      <c r="AQ21" s="731">
        <v>317.0</v>
      </c>
      <c r="AR21" s="674"/>
      <c r="AS21" s="674"/>
      <c r="AT21" s="675"/>
      <c r="AU21" s="675"/>
      <c r="AV21" s="178" t="str">
        <f>IFERROR(__xludf.DUMMYFUNCTION("TEXTJOIN("" / "", 1, SORT(UNIQUE(TRANSPOSE(SPLIT(TRIM(REGEXREPLACE(AV20,""([0-9]{3}[a-zA-Z]?)|."",""$1 "")), "" "")))))"),"104 / 303 / 317")</f>
        <v>104 / 303 / 317</v>
      </c>
      <c r="AW21" s="163"/>
      <c r="AX21" s="163"/>
      <c r="AY21" s="163"/>
    </row>
    <row r="22">
      <c r="A22" s="633" t="s">
        <v>74</v>
      </c>
      <c r="B22" s="748"/>
      <c r="C22" s="7"/>
      <c r="D22" s="7"/>
      <c r="E22" s="7"/>
      <c r="F22" s="7"/>
      <c r="G22" s="7"/>
      <c r="H22" s="7"/>
      <c r="I22" s="7"/>
      <c r="J22" s="7"/>
      <c r="K22" s="8"/>
      <c r="L22" s="633" t="s">
        <v>74</v>
      </c>
      <c r="M22" s="636"/>
      <c r="N22" s="3"/>
      <c r="O22" s="3"/>
      <c r="P22" s="3"/>
      <c r="Q22" s="3"/>
      <c r="R22" s="3"/>
      <c r="S22" s="3"/>
      <c r="T22" s="3"/>
      <c r="U22" s="3"/>
      <c r="V22" s="3"/>
      <c r="W22" s="4"/>
      <c r="X22" s="633" t="s">
        <v>74</v>
      </c>
      <c r="Y22" s="748"/>
      <c r="Z22" s="7"/>
      <c r="AA22" s="7"/>
      <c r="AB22" s="7"/>
      <c r="AC22" s="7"/>
      <c r="AD22" s="7"/>
      <c r="AE22" s="7"/>
      <c r="AF22" s="8"/>
      <c r="AG22" s="633" t="s">
        <v>74</v>
      </c>
      <c r="AH22" s="749"/>
      <c r="AI22" s="3"/>
      <c r="AJ22" s="3"/>
      <c r="AK22" s="3"/>
      <c r="AL22" s="3"/>
      <c r="AM22" s="4"/>
      <c r="AN22" s="633" t="s">
        <v>74</v>
      </c>
      <c r="AO22" s="749"/>
      <c r="AP22" s="3"/>
      <c r="AQ22" s="3"/>
      <c r="AR22" s="3"/>
      <c r="AS22" s="4"/>
      <c r="AT22" s="750"/>
      <c r="AU22" s="23"/>
      <c r="AV22" s="151"/>
      <c r="AW22" s="151"/>
      <c r="AX22" s="151"/>
      <c r="AY22" s="151"/>
    </row>
    <row r="23">
      <c r="A23" s="623" t="s">
        <v>39</v>
      </c>
      <c r="B23" s="751" t="s">
        <v>261</v>
      </c>
      <c r="C23" s="7"/>
      <c r="D23" s="7"/>
      <c r="E23" s="7"/>
      <c r="F23" s="7"/>
      <c r="G23" s="7"/>
      <c r="H23" s="7"/>
      <c r="I23" s="7"/>
      <c r="J23" s="7"/>
      <c r="K23" s="8"/>
      <c r="L23" s="498" t="s">
        <v>130</v>
      </c>
      <c r="M23" s="752" t="s">
        <v>129</v>
      </c>
      <c r="N23" s="7"/>
      <c r="O23" s="7"/>
      <c r="P23" s="7"/>
      <c r="Q23" s="7"/>
      <c r="R23" s="7"/>
      <c r="S23" s="7"/>
      <c r="T23" s="7"/>
      <c r="U23" s="7"/>
      <c r="V23" s="7"/>
      <c r="W23" s="8"/>
      <c r="X23" s="623" t="s">
        <v>128</v>
      </c>
      <c r="Y23" s="641"/>
      <c r="Z23" s="641"/>
      <c r="AA23" s="641"/>
      <c r="AB23" s="641"/>
      <c r="AC23" s="753" t="s">
        <v>262</v>
      </c>
      <c r="AD23" s="7"/>
      <c r="AE23" s="8"/>
      <c r="AF23" s="641"/>
      <c r="AG23" s="623" t="s">
        <v>594</v>
      </c>
      <c r="AH23" s="641"/>
      <c r="AI23" s="641"/>
      <c r="AJ23" s="641"/>
      <c r="AK23" s="754"/>
      <c r="AL23" s="698"/>
      <c r="AM23" s="698"/>
      <c r="AN23" s="623" t="s">
        <v>39</v>
      </c>
      <c r="AO23" s="755" t="s">
        <v>210</v>
      </c>
      <c r="AP23" s="8"/>
      <c r="AQ23" s="642"/>
      <c r="AR23" s="641"/>
      <c r="AS23" s="641"/>
      <c r="AT23" s="651"/>
      <c r="AU23" s="651"/>
      <c r="AV23" s="258"/>
      <c r="AW23" s="258"/>
      <c r="AX23" s="258"/>
      <c r="AY23" s="258"/>
    </row>
    <row r="24">
      <c r="A24" s="38"/>
      <c r="B24" s="756" t="s">
        <v>283</v>
      </c>
      <c r="K24" s="23"/>
      <c r="L24" s="38"/>
      <c r="M24" s="757" t="s">
        <v>135</v>
      </c>
      <c r="W24" s="23"/>
      <c r="X24" s="38"/>
      <c r="Y24" s="658"/>
      <c r="Z24" s="658"/>
      <c r="AA24" s="658"/>
      <c r="AB24" s="658"/>
      <c r="AC24" s="758" t="s">
        <v>269</v>
      </c>
      <c r="AE24" s="23"/>
      <c r="AF24" s="658"/>
      <c r="AG24" s="38"/>
      <c r="AH24" s="658"/>
      <c r="AI24" s="658"/>
      <c r="AJ24" s="658"/>
      <c r="AK24" s="575"/>
      <c r="AL24" s="711"/>
      <c r="AM24" s="711"/>
      <c r="AN24" s="38"/>
      <c r="AO24" s="759" t="s">
        <v>618</v>
      </c>
      <c r="AP24" s="23"/>
      <c r="AQ24" s="655"/>
      <c r="AR24" s="760"/>
      <c r="AS24" s="658"/>
      <c r="AT24" s="655"/>
      <c r="AU24" s="655"/>
      <c r="AV24" s="163" t="str">
        <f t="array" ref="AV24">TEXTJOIN(" | ", 1, A25:AS25)</f>
        <v>108 | ONLINE | 106 | 321 (ONLY ON 23/04)</v>
      </c>
      <c r="AW24" s="258"/>
      <c r="AX24" s="258"/>
      <c r="AY24" s="258"/>
    </row>
    <row r="25">
      <c r="A25" s="44"/>
      <c r="B25" s="761">
        <v>108.0</v>
      </c>
      <c r="C25" s="46"/>
      <c r="D25" s="46"/>
      <c r="E25" s="46"/>
      <c r="F25" s="46"/>
      <c r="G25" s="46"/>
      <c r="H25" s="46"/>
      <c r="I25" s="46"/>
      <c r="J25" s="46"/>
      <c r="K25" s="47"/>
      <c r="L25" s="44"/>
      <c r="M25" s="762" t="s">
        <v>137</v>
      </c>
      <c r="N25" s="46"/>
      <c r="O25" s="46"/>
      <c r="P25" s="46"/>
      <c r="Q25" s="46"/>
      <c r="R25" s="46"/>
      <c r="S25" s="46"/>
      <c r="T25" s="46"/>
      <c r="U25" s="46"/>
      <c r="V25" s="46"/>
      <c r="W25" s="47"/>
      <c r="X25" s="44"/>
      <c r="Y25" s="669"/>
      <c r="Z25" s="669"/>
      <c r="AA25" s="669"/>
      <c r="AB25" s="669"/>
      <c r="AC25" s="763">
        <v>106.0</v>
      </c>
      <c r="AD25" s="46"/>
      <c r="AE25" s="47"/>
      <c r="AF25" s="669"/>
      <c r="AG25" s="44"/>
      <c r="AH25" s="669"/>
      <c r="AI25" s="669"/>
      <c r="AJ25" s="669"/>
      <c r="AK25" s="303"/>
      <c r="AL25" s="718"/>
      <c r="AM25" s="718"/>
      <c r="AN25" s="44"/>
      <c r="AO25" s="764" t="s">
        <v>619</v>
      </c>
      <c r="AP25" s="47"/>
      <c r="AQ25" s="669"/>
      <c r="AR25" s="691"/>
      <c r="AS25" s="669"/>
      <c r="AT25" s="675"/>
      <c r="AU25" s="675"/>
      <c r="AV25" s="178" t="str">
        <f>IFERROR(__xludf.DUMMYFUNCTION("TEXTJOIN("" / "", 1, SORT(UNIQUE(TRANSPOSE(SPLIT(TRIM(REGEXREPLACE(AV24,""([0-9]{3}[a-zA-Z]?)|."",""$1 "")), "" "")))))"),"106 / 108 / 321")</f>
        <v>106 / 108 / 321</v>
      </c>
      <c r="AW25" s="163"/>
      <c r="AX25" s="163"/>
      <c r="AY25" s="163"/>
    </row>
    <row r="26">
      <c r="A26" s="623" t="s">
        <v>49</v>
      </c>
      <c r="B26" s="765" t="s">
        <v>277</v>
      </c>
      <c r="K26" s="23"/>
      <c r="L26" s="498" t="s">
        <v>145</v>
      </c>
      <c r="M26" s="640"/>
      <c r="N26" s="766" t="s">
        <v>143</v>
      </c>
      <c r="O26" s="641"/>
      <c r="P26" s="767" t="s">
        <v>143</v>
      </c>
      <c r="Q26" s="766" t="s">
        <v>143</v>
      </c>
      <c r="R26" s="143"/>
      <c r="S26" s="768"/>
      <c r="T26" s="769" t="s">
        <v>143</v>
      </c>
      <c r="U26" s="699" t="s">
        <v>206</v>
      </c>
      <c r="V26" s="770" t="s">
        <v>143</v>
      </c>
      <c r="W26" s="8"/>
      <c r="X26" s="623" t="s">
        <v>139</v>
      </c>
      <c r="Y26" s="641"/>
      <c r="Z26" s="641"/>
      <c r="AA26" s="641"/>
      <c r="AB26" s="641"/>
      <c r="AC26" s="641"/>
      <c r="AD26" s="641"/>
      <c r="AE26" s="771" t="s">
        <v>278</v>
      </c>
      <c r="AF26" s="772" t="s">
        <v>263</v>
      </c>
      <c r="AG26" s="623" t="s">
        <v>601</v>
      </c>
      <c r="AH26" s="773" t="s">
        <v>520</v>
      </c>
      <c r="AI26" s="7"/>
      <c r="AJ26" s="7"/>
      <c r="AK26" s="754"/>
      <c r="AL26" s="698"/>
      <c r="AM26" s="698"/>
      <c r="AN26" s="623" t="s">
        <v>49</v>
      </c>
      <c r="AO26" s="755" t="s">
        <v>210</v>
      </c>
      <c r="AP26" s="8"/>
      <c r="AQ26" s="642"/>
      <c r="AR26" s="641"/>
      <c r="AS26" s="641"/>
      <c r="AT26" s="651"/>
      <c r="AU26" s="651"/>
      <c r="AV26" s="163"/>
      <c r="AW26" s="163"/>
      <c r="AX26" s="163"/>
      <c r="AY26" s="163"/>
    </row>
    <row r="27">
      <c r="A27" s="38"/>
      <c r="B27" s="756" t="s">
        <v>283</v>
      </c>
      <c r="K27" s="23"/>
      <c r="L27" s="38"/>
      <c r="M27" s="655"/>
      <c r="N27" s="219" t="s">
        <v>200</v>
      </c>
      <c r="O27" s="774"/>
      <c r="P27" s="775" t="s">
        <v>233</v>
      </c>
      <c r="Q27" s="775" t="s">
        <v>620</v>
      </c>
      <c r="R27" s="143"/>
      <c r="S27" s="776"/>
      <c r="T27" s="777" t="s">
        <v>621</v>
      </c>
      <c r="U27" s="747" t="s">
        <v>168</v>
      </c>
      <c r="V27" s="778" t="s">
        <v>150</v>
      </c>
      <c r="W27" s="23"/>
      <c r="X27" s="38"/>
      <c r="Y27" s="658"/>
      <c r="Z27" s="658"/>
      <c r="AA27" s="658"/>
      <c r="AB27" s="658"/>
      <c r="AC27" s="658"/>
      <c r="AD27" s="658"/>
      <c r="AE27" s="779" t="s">
        <v>622</v>
      </c>
      <c r="AF27" s="780" t="s">
        <v>270</v>
      </c>
      <c r="AG27" s="38"/>
      <c r="AH27" s="662" t="s">
        <v>521</v>
      </c>
      <c r="AK27" s="575"/>
      <c r="AL27" s="711"/>
      <c r="AM27" s="711"/>
      <c r="AN27" s="38"/>
      <c r="AO27" s="759" t="s">
        <v>618</v>
      </c>
      <c r="AP27" s="23"/>
      <c r="AQ27" s="655"/>
      <c r="AR27" s="760"/>
      <c r="AS27" s="658"/>
      <c r="AT27" s="655"/>
      <c r="AU27" s="655"/>
      <c r="AV27" s="163" t="str">
        <f t="array" ref="AV27">TEXTJOIN(" | ", 1, A28:AS28)</f>
        <v>108 | 308 | 314 | 318 | 316 | 104(452 TILL 10/04) | 101 | 317 | 103 | ONLINE (ONLY ON 02/04) starts at 10:50 | 321</v>
      </c>
      <c r="AW27" s="163"/>
      <c r="AX27" s="163"/>
      <c r="AY27" s="163"/>
    </row>
    <row r="28">
      <c r="A28" s="44"/>
      <c r="B28" s="781">
        <v>108.0</v>
      </c>
      <c r="C28" s="46"/>
      <c r="D28" s="46"/>
      <c r="E28" s="46"/>
      <c r="F28" s="46"/>
      <c r="G28" s="46"/>
      <c r="H28" s="46"/>
      <c r="I28" s="46"/>
      <c r="J28" s="46"/>
      <c r="K28" s="47"/>
      <c r="L28" s="44"/>
      <c r="M28" s="675"/>
      <c r="N28" s="782">
        <v>308.0</v>
      </c>
      <c r="O28" s="675"/>
      <c r="P28" s="782">
        <v>314.0</v>
      </c>
      <c r="Q28" s="782">
        <v>318.0</v>
      </c>
      <c r="R28" s="143"/>
      <c r="S28" s="783"/>
      <c r="T28" s="784">
        <v>316.0</v>
      </c>
      <c r="U28" s="785" t="s">
        <v>623</v>
      </c>
      <c r="V28" s="786">
        <v>101.0</v>
      </c>
      <c r="W28" s="47"/>
      <c r="X28" s="44"/>
      <c r="Y28" s="669"/>
      <c r="Z28" s="669"/>
      <c r="AA28" s="669"/>
      <c r="AB28" s="669"/>
      <c r="AC28" s="669"/>
      <c r="AD28" s="669"/>
      <c r="AE28" s="787">
        <v>317.0</v>
      </c>
      <c r="AF28" s="788">
        <v>103.0</v>
      </c>
      <c r="AG28" s="44"/>
      <c r="AH28" s="429" t="s">
        <v>624</v>
      </c>
      <c r="AI28" s="46"/>
      <c r="AJ28" s="46"/>
      <c r="AK28" s="303"/>
      <c r="AL28" s="718"/>
      <c r="AM28" s="718"/>
      <c r="AN28" s="44"/>
      <c r="AO28" s="292">
        <v>321.0</v>
      </c>
      <c r="AP28" s="47"/>
      <c r="AQ28" s="669"/>
      <c r="AR28" s="746"/>
      <c r="AS28" s="669"/>
      <c r="AT28" s="675"/>
      <c r="AU28" s="675"/>
      <c r="AV28" s="178" t="str">
        <f>IFERROR(__xludf.DUMMYFUNCTION("TEXTJOIN("" / "", 1, SORT(UNIQUE(TRANSPOSE(SPLIT(TRIM(REGEXREPLACE(AV27,""([0-9]{3}[a-zA-Z]?)|."",""$1 "")), "" "")))))"),"101 / 103 / 104 / 108 / 308 / 314 / 316 / 317 / 318 / 321 / 452")</f>
        <v>101 / 103 / 104 / 108 / 308 / 314 / 316 / 317 / 318 / 321 / 452</v>
      </c>
      <c r="AW28" s="163"/>
      <c r="AX28" s="163"/>
      <c r="AY28" s="163"/>
    </row>
    <row r="29">
      <c r="A29" s="623" t="s">
        <v>51</v>
      </c>
      <c r="B29" s="584" t="s">
        <v>157</v>
      </c>
      <c r="C29" s="487" t="s">
        <v>366</v>
      </c>
      <c r="D29" s="584" t="s">
        <v>157</v>
      </c>
      <c r="E29" s="789" t="s">
        <v>287</v>
      </c>
      <c r="F29" s="584" t="s">
        <v>157</v>
      </c>
      <c r="G29" s="789" t="s">
        <v>287</v>
      </c>
      <c r="H29" s="584" t="s">
        <v>157</v>
      </c>
      <c r="I29" s="789" t="s">
        <v>287</v>
      </c>
      <c r="J29" s="584" t="s">
        <v>157</v>
      </c>
      <c r="K29" s="790"/>
      <c r="L29" s="498" t="s">
        <v>162</v>
      </c>
      <c r="M29" s="143"/>
      <c r="N29" s="640"/>
      <c r="O29" s="767" t="s">
        <v>143</v>
      </c>
      <c r="P29" s="640"/>
      <c r="Q29" s="640"/>
      <c r="R29" s="767" t="s">
        <v>143</v>
      </c>
      <c r="S29" s="791" t="s">
        <v>143</v>
      </c>
      <c r="T29" s="699" t="s">
        <v>206</v>
      </c>
      <c r="U29" s="769" t="s">
        <v>143</v>
      </c>
      <c r="V29" s="698"/>
      <c r="W29" s="792" t="s">
        <v>208</v>
      </c>
      <c r="X29" s="623" t="s">
        <v>158</v>
      </c>
      <c r="Y29" s="793" t="s">
        <v>333</v>
      </c>
      <c r="Z29" s="7"/>
      <c r="AA29" s="7"/>
      <c r="AB29" s="8"/>
      <c r="AC29" s="641"/>
      <c r="AD29" s="771" t="s">
        <v>278</v>
      </c>
      <c r="AE29" s="641"/>
      <c r="AF29" s="772" t="s">
        <v>263</v>
      </c>
      <c r="AG29" s="623" t="s">
        <v>608</v>
      </c>
      <c r="AH29" s="773" t="s">
        <v>520</v>
      </c>
      <c r="AI29" s="7"/>
      <c r="AJ29" s="7"/>
      <c r="AK29" s="754"/>
      <c r="AL29" s="646"/>
      <c r="AM29" s="646"/>
      <c r="AN29" s="623" t="s">
        <v>51</v>
      </c>
      <c r="AO29" s="794" t="s">
        <v>290</v>
      </c>
      <c r="AP29" s="8"/>
      <c r="AQ29" s="640"/>
      <c r="AR29" s="795" t="s">
        <v>380</v>
      </c>
      <c r="AS29" s="641"/>
      <c r="AT29" s="651"/>
      <c r="AU29" s="651"/>
      <c r="AV29" s="163"/>
      <c r="AW29" s="163"/>
      <c r="AX29" s="163"/>
      <c r="AY29" s="163"/>
    </row>
    <row r="30">
      <c r="A30" s="38"/>
      <c r="B30" s="796" t="s">
        <v>625</v>
      </c>
      <c r="C30" s="797" t="s">
        <v>244</v>
      </c>
      <c r="D30" s="796" t="s">
        <v>625</v>
      </c>
      <c r="E30" s="363" t="s">
        <v>53</v>
      </c>
      <c r="F30" s="796" t="s">
        <v>625</v>
      </c>
      <c r="G30" s="363" t="s">
        <v>626</v>
      </c>
      <c r="H30" s="796" t="s">
        <v>625</v>
      </c>
      <c r="I30" s="363" t="s">
        <v>627</v>
      </c>
      <c r="J30" s="796" t="s">
        <v>625</v>
      </c>
      <c r="K30" s="482"/>
      <c r="L30" s="38"/>
      <c r="M30" s="143"/>
      <c r="N30" s="655"/>
      <c r="O30" s="775" t="s">
        <v>233</v>
      </c>
      <c r="P30" s="658"/>
      <c r="Q30" s="658"/>
      <c r="R30" s="798" t="s">
        <v>200</v>
      </c>
      <c r="S30" s="775" t="s">
        <v>150</v>
      </c>
      <c r="T30" s="747" t="s">
        <v>168</v>
      </c>
      <c r="U30" s="777" t="s">
        <v>621</v>
      </c>
      <c r="V30" s="658"/>
      <c r="W30" s="799" t="s">
        <v>99</v>
      </c>
      <c r="X30" s="38"/>
      <c r="Y30" s="800" t="s">
        <v>340</v>
      </c>
      <c r="AB30" s="23"/>
      <c r="AC30" s="658"/>
      <c r="AD30" s="801" t="s">
        <v>284</v>
      </c>
      <c r="AE30" s="658"/>
      <c r="AF30" s="780" t="s">
        <v>270</v>
      </c>
      <c r="AG30" s="38"/>
      <c r="AH30" s="662" t="s">
        <v>521</v>
      </c>
      <c r="AK30" s="575"/>
      <c r="AL30" s="655"/>
      <c r="AM30" s="655"/>
      <c r="AN30" s="38"/>
      <c r="AO30" s="802" t="s">
        <v>628</v>
      </c>
      <c r="AP30" s="23"/>
      <c r="AQ30" s="658"/>
      <c r="AR30" s="803" t="s">
        <v>384</v>
      </c>
      <c r="AS30" s="658"/>
      <c r="AT30" s="655"/>
      <c r="AU30" s="655"/>
      <c r="AV30" s="300" t="str">
        <f t="array" ref="AV30">TEXTJOIN(" | ", 1, A31:AS31)</f>
        <v>106/108/301/312/321/421 | 303 | 106/108/301/312/321/421 | 300 | 106/108/301/312/321/421 | 318 | 106/108/301/312/321/421 | 320 | 106/108/301/312/321/421 | 314 | 308 | 101 | 104 | 316 | 102 | 106 (ONLY ON 16/04) | 317 | 103 | ONLINE (ONLY ON 02/04) starts at 12:50 | STARTS AT 13:00 | ONLINE</v>
      </c>
      <c r="AW30" s="163"/>
      <c r="AX30" s="163"/>
      <c r="AY30" s="163"/>
    </row>
    <row r="31">
      <c r="A31" s="44"/>
      <c r="B31" s="221" t="s">
        <v>629</v>
      </c>
      <c r="C31" s="446">
        <v>303.0</v>
      </c>
      <c r="D31" s="221" t="s">
        <v>629</v>
      </c>
      <c r="E31" s="368">
        <v>300.0</v>
      </c>
      <c r="F31" s="221" t="s">
        <v>629</v>
      </c>
      <c r="G31" s="368">
        <v>318.0</v>
      </c>
      <c r="H31" s="221" t="s">
        <v>629</v>
      </c>
      <c r="I31" s="368">
        <v>320.0</v>
      </c>
      <c r="J31" s="221" t="s">
        <v>629</v>
      </c>
      <c r="K31" s="202"/>
      <c r="L31" s="44"/>
      <c r="M31" s="143"/>
      <c r="N31" s="675"/>
      <c r="O31" s="782">
        <v>314.0</v>
      </c>
      <c r="P31" s="675"/>
      <c r="Q31" s="675"/>
      <c r="R31" s="782">
        <v>308.0</v>
      </c>
      <c r="S31" s="784">
        <v>101.0</v>
      </c>
      <c r="T31" s="785">
        <v>104.0</v>
      </c>
      <c r="U31" s="784">
        <v>316.0</v>
      </c>
      <c r="V31" s="675"/>
      <c r="W31" s="804">
        <v>102.0</v>
      </c>
      <c r="X31" s="44"/>
      <c r="Y31" s="805" t="s">
        <v>630</v>
      </c>
      <c r="Z31" s="46"/>
      <c r="AA31" s="46"/>
      <c r="AB31" s="47"/>
      <c r="AC31" s="669"/>
      <c r="AD31" s="787">
        <v>317.0</v>
      </c>
      <c r="AE31" s="669"/>
      <c r="AF31" s="788">
        <v>103.0</v>
      </c>
      <c r="AG31" s="44"/>
      <c r="AH31" s="429" t="s">
        <v>631</v>
      </c>
      <c r="AI31" s="46"/>
      <c r="AJ31" s="46"/>
      <c r="AK31" s="303"/>
      <c r="AL31" s="668"/>
      <c r="AM31" s="668"/>
      <c r="AN31" s="44"/>
      <c r="AO31" s="806" t="s">
        <v>632</v>
      </c>
      <c r="AP31" s="47"/>
      <c r="AQ31" s="658"/>
      <c r="AR31" s="807" t="s">
        <v>137</v>
      </c>
      <c r="AS31" s="669"/>
      <c r="AT31" s="675"/>
      <c r="AU31" s="675"/>
      <c r="AV31" s="178" t="str">
        <f>IFERROR(__xludf.DUMMYFUNCTION("TEXTJOIN("" / "", 1, SORT(UNIQUE(TRANSPOSE(SPLIT(TRIM(REGEXREPLACE(AV30,""([0-9]{3}[a-zA-Z]?)|."",""$1 "")), "" "")))))"),"101 / 102 / 103 / 104 / 106 / 108 / 300 / 301 / 303 / 308 / 312 / 314 / 316 / 317 / 318 / 320 / 321 / 421")</f>
        <v>101 / 102 / 103 / 104 / 106 / 108 / 300 / 301 / 303 / 308 / 312 / 314 / 316 / 317 / 318 / 320 / 321 / 421</v>
      </c>
      <c r="AW31" s="163"/>
      <c r="AX31" s="163"/>
      <c r="AY31" s="163"/>
    </row>
    <row r="32">
      <c r="A32" s="623" t="s">
        <v>59</v>
      </c>
      <c r="B32" s="487" t="s">
        <v>366</v>
      </c>
      <c r="C32" s="584" t="s">
        <v>157</v>
      </c>
      <c r="D32" s="789" t="s">
        <v>287</v>
      </c>
      <c r="E32" s="584" t="s">
        <v>157</v>
      </c>
      <c r="F32" s="789" t="s">
        <v>287</v>
      </c>
      <c r="G32" s="584" t="s">
        <v>157</v>
      </c>
      <c r="H32" s="789" t="s">
        <v>287</v>
      </c>
      <c r="I32" s="584" t="s">
        <v>157</v>
      </c>
      <c r="J32" s="156"/>
      <c r="K32" s="584" t="s">
        <v>157</v>
      </c>
      <c r="L32" s="498" t="s">
        <v>174</v>
      </c>
      <c r="M32" s="769" t="s">
        <v>143</v>
      </c>
      <c r="N32" s="808"/>
      <c r="O32" s="642"/>
      <c r="P32" s="808"/>
      <c r="Q32" s="642"/>
      <c r="R32" s="641"/>
      <c r="S32" s="642"/>
      <c r="T32" s="143"/>
      <c r="U32" s="640"/>
      <c r="V32" s="809"/>
      <c r="W32" s="792" t="s">
        <v>208</v>
      </c>
      <c r="X32" s="623" t="s">
        <v>172</v>
      </c>
      <c r="Y32" s="641"/>
      <c r="Z32" s="641"/>
      <c r="AA32" s="641"/>
      <c r="AB32" s="641"/>
      <c r="AC32" s="771" t="s">
        <v>278</v>
      </c>
      <c r="AD32" s="641"/>
      <c r="AE32" s="641"/>
      <c r="AF32" s="641"/>
      <c r="AG32" s="623" t="s">
        <v>611</v>
      </c>
      <c r="AH32" s="773" t="s">
        <v>520</v>
      </c>
      <c r="AI32" s="7"/>
      <c r="AJ32" s="7"/>
      <c r="AK32" s="754"/>
      <c r="AL32" s="646"/>
      <c r="AM32" s="810"/>
      <c r="AN32" s="623" t="s">
        <v>59</v>
      </c>
      <c r="AO32" s="651"/>
      <c r="AP32" s="651"/>
      <c r="AQ32" s="640"/>
      <c r="AR32" s="733"/>
      <c r="AS32" s="641"/>
      <c r="AT32" s="651"/>
      <c r="AU32" s="651"/>
      <c r="AV32" s="163"/>
      <c r="AW32" s="163"/>
      <c r="AX32" s="163"/>
      <c r="AY32" s="163"/>
    </row>
    <row r="33">
      <c r="A33" s="38"/>
      <c r="B33" s="797" t="s">
        <v>244</v>
      </c>
      <c r="C33" s="796" t="s">
        <v>625</v>
      </c>
      <c r="D33" s="363" t="s">
        <v>53</v>
      </c>
      <c r="E33" s="796" t="s">
        <v>625</v>
      </c>
      <c r="F33" s="363" t="s">
        <v>626</v>
      </c>
      <c r="G33" s="796" t="s">
        <v>625</v>
      </c>
      <c r="H33" s="363" t="s">
        <v>627</v>
      </c>
      <c r="I33" s="796" t="s">
        <v>625</v>
      </c>
      <c r="J33" s="156"/>
      <c r="K33" s="796" t="s">
        <v>625</v>
      </c>
      <c r="L33" s="38"/>
      <c r="M33" s="811" t="s">
        <v>200</v>
      </c>
      <c r="N33" s="143"/>
      <c r="O33" s="656"/>
      <c r="P33" s="143"/>
      <c r="Q33" s="656"/>
      <c r="R33" s="658"/>
      <c r="S33" s="658"/>
      <c r="T33" s="143"/>
      <c r="U33" s="655"/>
      <c r="V33" s="760"/>
      <c r="W33" s="799" t="s">
        <v>99</v>
      </c>
      <c r="X33" s="38"/>
      <c r="Y33" s="658"/>
      <c r="Z33" s="658"/>
      <c r="AA33" s="658"/>
      <c r="AB33" s="658"/>
      <c r="AC33" s="801" t="s">
        <v>284</v>
      </c>
      <c r="AD33" s="658"/>
      <c r="AE33" s="658"/>
      <c r="AF33" s="658"/>
      <c r="AG33" s="38"/>
      <c r="AH33" s="662" t="s">
        <v>521</v>
      </c>
      <c r="AK33" s="575"/>
      <c r="AL33" s="655"/>
      <c r="AM33" s="655"/>
      <c r="AN33" s="38"/>
      <c r="AO33" s="655"/>
      <c r="AP33" s="655"/>
      <c r="AQ33" s="658"/>
      <c r="AR33" s="660"/>
      <c r="AS33" s="658"/>
      <c r="AT33" s="655"/>
      <c r="AU33" s="655"/>
      <c r="AV33" s="300" t="str">
        <f t="array" ref="AV33">TEXTJOIN(" | ", 1, A34:AS34)</f>
        <v>303 | 106/108/301/304/312/321/421 | 300 | 106/108/301/304/312/321/421 | 318 | 106/108/301/304/312/321/421 | 320 | 106/108/301/304/312/321/421 | 106/108/301/304/312/321/421 | 308 | 102 | 317 | ONLINE (ONLY ON 02/04) starts at 14:20</v>
      </c>
      <c r="AW33" s="163"/>
      <c r="AX33" s="163"/>
      <c r="AY33" s="163"/>
    </row>
    <row r="34">
      <c r="A34" s="44"/>
      <c r="B34" s="446">
        <v>303.0</v>
      </c>
      <c r="C34" s="221" t="s">
        <v>633</v>
      </c>
      <c r="D34" s="368">
        <v>300.0</v>
      </c>
      <c r="E34" s="221" t="s">
        <v>633</v>
      </c>
      <c r="F34" s="368">
        <v>318.0</v>
      </c>
      <c r="G34" s="221" t="s">
        <v>633</v>
      </c>
      <c r="H34" s="368">
        <v>320.0</v>
      </c>
      <c r="I34" s="221" t="s">
        <v>633</v>
      </c>
      <c r="J34" s="172"/>
      <c r="K34" s="221" t="s">
        <v>633</v>
      </c>
      <c r="L34" s="44"/>
      <c r="M34" s="782">
        <v>308.0</v>
      </c>
      <c r="N34" s="143"/>
      <c r="O34" s="668"/>
      <c r="P34" s="143"/>
      <c r="Q34" s="668"/>
      <c r="R34" s="675"/>
      <c r="S34" s="669"/>
      <c r="T34" s="143"/>
      <c r="U34" s="675"/>
      <c r="V34" s="691"/>
      <c r="W34" s="804">
        <v>102.0</v>
      </c>
      <c r="X34" s="44"/>
      <c r="Y34" s="669"/>
      <c r="Z34" s="669"/>
      <c r="AA34" s="669"/>
      <c r="AB34" s="669"/>
      <c r="AC34" s="787">
        <v>317.0</v>
      </c>
      <c r="AD34" s="669"/>
      <c r="AE34" s="669"/>
      <c r="AF34" s="669"/>
      <c r="AG34" s="44"/>
      <c r="AH34" s="812" t="s">
        <v>634</v>
      </c>
      <c r="AI34" s="46"/>
      <c r="AJ34" s="46"/>
      <c r="AK34" s="813"/>
      <c r="AL34" s="668"/>
      <c r="AM34" s="657"/>
      <c r="AN34" s="44"/>
      <c r="AO34" s="675"/>
      <c r="AP34" s="675"/>
      <c r="AQ34" s="675"/>
      <c r="AR34" s="730"/>
      <c r="AS34" s="669"/>
      <c r="AT34" s="675"/>
      <c r="AU34" s="675"/>
      <c r="AV34" s="178" t="str">
        <f>IFERROR(__xludf.DUMMYFUNCTION("TEXTJOIN("" / "", 1, SORT(UNIQUE(TRANSPOSE(SPLIT(TRIM(REGEXREPLACE(AV33,""([0-9]{3}[a-zA-Z]?)|."",""$1 "")), "" "")))))"),"102 / 106 / 108 / 300 / 301 / 303 / 304 / 308 / 312 / 317 / 318 / 320 / 321 / 421")</f>
        <v>102 / 106 / 108 / 300 / 301 / 303 / 304 / 308 / 312 / 317 / 318 / 320 / 321 / 421</v>
      </c>
      <c r="AW34" s="163"/>
      <c r="AX34" s="163"/>
      <c r="AY34" s="163"/>
    </row>
    <row r="35">
      <c r="A35" s="623" t="s">
        <v>64</v>
      </c>
      <c r="B35" s="584" t="s">
        <v>157</v>
      </c>
      <c r="C35" s="584" t="s">
        <v>157</v>
      </c>
      <c r="D35" s="584" t="s">
        <v>157</v>
      </c>
      <c r="E35" s="584" t="s">
        <v>157</v>
      </c>
      <c r="F35" s="584" t="s">
        <v>157</v>
      </c>
      <c r="G35" s="584" t="s">
        <v>157</v>
      </c>
      <c r="H35" s="584" t="s">
        <v>157</v>
      </c>
      <c r="I35" s="584" t="s">
        <v>157</v>
      </c>
      <c r="J35" s="584" t="s">
        <v>157</v>
      </c>
      <c r="K35" s="584" t="s">
        <v>157</v>
      </c>
      <c r="L35" s="498" t="s">
        <v>185</v>
      </c>
      <c r="M35" s="814" t="s">
        <v>635</v>
      </c>
      <c r="N35" s="7"/>
      <c r="O35" s="7"/>
      <c r="P35" s="7"/>
      <c r="Q35" s="8"/>
      <c r="R35" s="642"/>
      <c r="S35" s="642"/>
      <c r="T35" s="814" t="s">
        <v>635</v>
      </c>
      <c r="U35" s="8"/>
      <c r="V35" s="808"/>
      <c r="W35" s="642"/>
      <c r="X35" s="623" t="s">
        <v>184</v>
      </c>
      <c r="Y35" s="793" t="s">
        <v>333</v>
      </c>
      <c r="Z35" s="7"/>
      <c r="AA35" s="7"/>
      <c r="AB35" s="8"/>
      <c r="AC35" s="641"/>
      <c r="AD35" s="641"/>
      <c r="AE35" s="641"/>
      <c r="AF35" s="641"/>
      <c r="AG35" s="623" t="s">
        <v>615</v>
      </c>
      <c r="AH35" s="698"/>
      <c r="AI35" s="698"/>
      <c r="AJ35" s="698"/>
      <c r="AK35" s="698"/>
      <c r="AL35" s="640"/>
      <c r="AM35" s="698"/>
      <c r="AN35" s="623" t="s">
        <v>64</v>
      </c>
      <c r="AO35" s="651"/>
      <c r="AP35" s="651"/>
      <c r="AQ35" s="143"/>
      <c r="AR35" s="733"/>
      <c r="AS35" s="584" t="s">
        <v>636</v>
      </c>
      <c r="AT35" s="651"/>
      <c r="AU35" s="651"/>
      <c r="AV35" s="258"/>
      <c r="AW35" s="258"/>
      <c r="AX35" s="258"/>
      <c r="AY35" s="258"/>
    </row>
    <row r="36">
      <c r="A36" s="38"/>
      <c r="B36" s="796" t="s">
        <v>625</v>
      </c>
      <c r="C36" s="796" t="s">
        <v>625</v>
      </c>
      <c r="D36" s="796" t="s">
        <v>625</v>
      </c>
      <c r="E36" s="796" t="s">
        <v>625</v>
      </c>
      <c r="F36" s="796" t="s">
        <v>625</v>
      </c>
      <c r="G36" s="796" t="s">
        <v>625</v>
      </c>
      <c r="H36" s="796" t="s">
        <v>625</v>
      </c>
      <c r="I36" s="796" t="s">
        <v>625</v>
      </c>
      <c r="J36" s="796" t="s">
        <v>625</v>
      </c>
      <c r="K36" s="796" t="s">
        <v>625</v>
      </c>
      <c r="L36" s="38"/>
      <c r="M36" s="815" t="s">
        <v>637</v>
      </c>
      <c r="Q36" s="23"/>
      <c r="R36" s="658"/>
      <c r="S36" s="658"/>
      <c r="T36" s="816" t="s">
        <v>637</v>
      </c>
      <c r="U36" s="23"/>
      <c r="V36" s="143"/>
      <c r="W36" s="655"/>
      <c r="X36" s="38"/>
      <c r="Y36" s="800" t="s">
        <v>340</v>
      </c>
      <c r="AB36" s="23"/>
      <c r="AC36" s="658"/>
      <c r="AD36" s="658"/>
      <c r="AE36" s="658"/>
      <c r="AF36" s="658"/>
      <c r="AG36" s="38"/>
      <c r="AH36" s="711"/>
      <c r="AI36" s="711"/>
      <c r="AJ36" s="711"/>
      <c r="AK36" s="711"/>
      <c r="AL36" s="658"/>
      <c r="AM36" s="711"/>
      <c r="AN36" s="38"/>
      <c r="AO36" s="655"/>
      <c r="AP36" s="655"/>
      <c r="AQ36" s="143"/>
      <c r="AR36" s="660"/>
      <c r="AS36" s="728" t="s">
        <v>638</v>
      </c>
      <c r="AT36" s="655"/>
      <c r="AU36" s="655"/>
      <c r="AV36" s="300" t="str">
        <f t="array" ref="AV36">TEXTJOIN(" | ", 1, A37:AS37)</f>
        <v>106/301/304/312/321/421 | 106/301/304/312/321/421 | 106/301/304/312/321/421 | 106/301/304/312/321/421 | 106/301/304/312/321/421 | 106/301/304/312/321/421 | 106/301/304/312/321/421 | 106/301/304/312/321/421 | 106/301/304/312/321/421 | 106/301/304/312/321/421 | 105 | 105 | 106 (EXCEPT 16/04) | 103</v>
      </c>
      <c r="AW36" s="258"/>
      <c r="AX36" s="258"/>
      <c r="AY36" s="258"/>
    </row>
    <row r="37">
      <c r="A37" s="44"/>
      <c r="B37" s="221" t="s">
        <v>639</v>
      </c>
      <c r="C37" s="221" t="s">
        <v>639</v>
      </c>
      <c r="D37" s="221" t="s">
        <v>639</v>
      </c>
      <c r="E37" s="221" t="s">
        <v>639</v>
      </c>
      <c r="F37" s="221" t="s">
        <v>639</v>
      </c>
      <c r="G37" s="221" t="s">
        <v>639</v>
      </c>
      <c r="H37" s="221" t="s">
        <v>639</v>
      </c>
      <c r="I37" s="221" t="s">
        <v>639</v>
      </c>
      <c r="J37" s="221" t="s">
        <v>639</v>
      </c>
      <c r="K37" s="221" t="s">
        <v>639</v>
      </c>
      <c r="L37" s="44"/>
      <c r="M37" s="817">
        <v>105.0</v>
      </c>
      <c r="N37" s="46"/>
      <c r="O37" s="46"/>
      <c r="P37" s="46"/>
      <c r="Q37" s="47"/>
      <c r="R37" s="669"/>
      <c r="S37" s="669"/>
      <c r="T37" s="817">
        <v>105.0</v>
      </c>
      <c r="U37" s="47"/>
      <c r="V37" s="143"/>
      <c r="W37" s="669"/>
      <c r="X37" s="44"/>
      <c r="Y37" s="805" t="s">
        <v>640</v>
      </c>
      <c r="Z37" s="46"/>
      <c r="AA37" s="46"/>
      <c r="AB37" s="47"/>
      <c r="AC37" s="669"/>
      <c r="AD37" s="669"/>
      <c r="AE37" s="669"/>
      <c r="AF37" s="669"/>
      <c r="AG37" s="44"/>
      <c r="AH37" s="718"/>
      <c r="AI37" s="718"/>
      <c r="AJ37" s="718"/>
      <c r="AK37" s="718"/>
      <c r="AL37" s="675"/>
      <c r="AM37" s="718"/>
      <c r="AN37" s="44"/>
      <c r="AO37" s="675"/>
      <c r="AP37" s="675"/>
      <c r="AQ37" s="143"/>
      <c r="AR37" s="730"/>
      <c r="AS37" s="731">
        <v>103.0</v>
      </c>
      <c r="AT37" s="675"/>
      <c r="AU37" s="675"/>
      <c r="AV37" s="178" t="str">
        <f>IFERROR(__xludf.DUMMYFUNCTION("TEXTJOIN("" / "", 1, SORT(UNIQUE(TRANSPOSE(SPLIT(TRIM(REGEXREPLACE(AV36,""([0-9]{3}[a-zA-Z]?)|."",""$1 "")), "" "")))))"),"103 / 105 / 106 / 301 / 304 / 312 / 321 / 421")</f>
        <v>103 / 105 / 106 / 301 / 304 / 312 / 321 / 421</v>
      </c>
      <c r="AW37" s="163"/>
      <c r="AX37" s="163"/>
      <c r="AY37" s="163"/>
    </row>
    <row r="38">
      <c r="A38" s="623" t="s">
        <v>66</v>
      </c>
      <c r="B38" s="641"/>
      <c r="C38" s="641"/>
      <c r="D38" s="640"/>
      <c r="E38" s="641"/>
      <c r="F38" s="641"/>
      <c r="G38" s="641"/>
      <c r="H38" s="818"/>
      <c r="I38" s="641"/>
      <c r="J38" s="819" t="s">
        <v>287</v>
      </c>
      <c r="K38" s="487" t="s">
        <v>366</v>
      </c>
      <c r="L38" s="498" t="s">
        <v>192</v>
      </c>
      <c r="M38" s="642"/>
      <c r="N38" s="642"/>
      <c r="O38" s="642"/>
      <c r="P38" s="642"/>
      <c r="Q38" s="642"/>
      <c r="R38" s="642"/>
      <c r="S38" s="642"/>
      <c r="T38" s="642"/>
      <c r="U38" s="642"/>
      <c r="V38" s="642"/>
      <c r="W38" s="642"/>
      <c r="X38" s="623" t="s">
        <v>191</v>
      </c>
      <c r="Y38" s="641"/>
      <c r="Z38" s="641"/>
      <c r="AA38" s="641"/>
      <c r="AB38" s="641"/>
      <c r="AC38" s="641"/>
      <c r="AD38" s="641"/>
      <c r="AE38" s="641"/>
      <c r="AF38" s="641"/>
      <c r="AG38" s="623" t="s">
        <v>616</v>
      </c>
      <c r="AH38" s="698"/>
      <c r="AI38" s="698"/>
      <c r="AJ38" s="698"/>
      <c r="AK38" s="698"/>
      <c r="AL38" s="640"/>
      <c r="AM38" s="698"/>
      <c r="AN38" s="623" t="s">
        <v>66</v>
      </c>
      <c r="AO38" s="651"/>
      <c r="AP38" s="651"/>
      <c r="AQ38" s="651"/>
      <c r="AR38" s="640"/>
      <c r="AS38" s="143"/>
      <c r="AT38" s="651"/>
      <c r="AU38" s="651"/>
      <c r="AV38" s="258"/>
      <c r="AW38" s="258"/>
      <c r="AX38" s="258"/>
      <c r="AY38" s="258"/>
    </row>
    <row r="39">
      <c r="A39" s="38"/>
      <c r="B39" s="678"/>
      <c r="C39" s="678"/>
      <c r="D39" s="658"/>
      <c r="E39" s="678"/>
      <c r="F39" s="678"/>
      <c r="G39" s="678"/>
      <c r="H39" s="324"/>
      <c r="I39" s="678"/>
      <c r="J39" s="820" t="s">
        <v>53</v>
      </c>
      <c r="K39" s="797" t="s">
        <v>244</v>
      </c>
      <c r="L39" s="38"/>
      <c r="M39" s="655"/>
      <c r="N39" s="655"/>
      <c r="O39" s="655"/>
      <c r="P39" s="655"/>
      <c r="Q39" s="655"/>
      <c r="R39" s="655"/>
      <c r="S39" s="655"/>
      <c r="T39" s="655"/>
      <c r="U39" s="655"/>
      <c r="V39" s="655"/>
      <c r="W39" s="655"/>
      <c r="X39" s="38"/>
      <c r="Y39" s="658"/>
      <c r="Z39" s="658"/>
      <c r="AA39" s="658"/>
      <c r="AB39" s="658"/>
      <c r="AC39" s="658"/>
      <c r="AD39" s="658"/>
      <c r="AE39" s="658"/>
      <c r="AF39" s="658"/>
      <c r="AG39" s="38"/>
      <c r="AH39" s="711"/>
      <c r="AI39" s="711"/>
      <c r="AJ39" s="711"/>
      <c r="AK39" s="711"/>
      <c r="AL39" s="655"/>
      <c r="AM39" s="711"/>
      <c r="AN39" s="38"/>
      <c r="AO39" s="655"/>
      <c r="AP39" s="655"/>
      <c r="AQ39" s="655"/>
      <c r="AR39" s="658"/>
      <c r="AS39" s="143"/>
      <c r="AT39" s="655"/>
      <c r="AU39" s="655"/>
      <c r="AV39" s="163" t="str">
        <f t="array" ref="AV39">TEXTJOIN(" | ", 1, A40:AS40)</f>
        <v>300 | 303</v>
      </c>
      <c r="AW39" s="258"/>
      <c r="AX39" s="258"/>
      <c r="AY39" s="258"/>
    </row>
    <row r="40">
      <c r="A40" s="44"/>
      <c r="B40" s="691"/>
      <c r="C40" s="691"/>
      <c r="D40" s="675"/>
      <c r="E40" s="691"/>
      <c r="F40" s="691"/>
      <c r="G40" s="691"/>
      <c r="H40" s="821"/>
      <c r="I40" s="691"/>
      <c r="J40" s="822">
        <v>300.0</v>
      </c>
      <c r="K40" s="446">
        <v>303.0</v>
      </c>
      <c r="L40" s="44"/>
      <c r="M40" s="669"/>
      <c r="N40" s="669"/>
      <c r="O40" s="669"/>
      <c r="P40" s="669"/>
      <c r="Q40" s="669"/>
      <c r="R40" s="669"/>
      <c r="S40" s="669"/>
      <c r="T40" s="669"/>
      <c r="U40" s="669"/>
      <c r="V40" s="669"/>
      <c r="W40" s="669"/>
      <c r="X40" s="44"/>
      <c r="Y40" s="669"/>
      <c r="Z40" s="669"/>
      <c r="AA40" s="669"/>
      <c r="AB40" s="669"/>
      <c r="AC40" s="669"/>
      <c r="AD40" s="669"/>
      <c r="AE40" s="669"/>
      <c r="AF40" s="669"/>
      <c r="AG40" s="44"/>
      <c r="AH40" s="718"/>
      <c r="AI40" s="718"/>
      <c r="AJ40" s="718"/>
      <c r="AK40" s="718"/>
      <c r="AL40" s="675"/>
      <c r="AM40" s="718"/>
      <c r="AN40" s="44"/>
      <c r="AO40" s="675"/>
      <c r="AP40" s="675"/>
      <c r="AQ40" s="675"/>
      <c r="AR40" s="675"/>
      <c r="AS40" s="143"/>
      <c r="AT40" s="675"/>
      <c r="AU40" s="675"/>
      <c r="AV40" s="178" t="str">
        <f>IFERROR(__xludf.DUMMYFUNCTION("TEXTJOIN("" / "", 1, SORT(UNIQUE(TRANSPOSE(SPLIT(TRIM(REGEXREPLACE(AV39,""([0-9]{3}[a-zA-Z]?)|."",""$1 "")), "" "")))))"),"300 / 303")</f>
        <v>300 / 303</v>
      </c>
      <c r="AW40" s="164" t="s">
        <v>641</v>
      </c>
      <c r="AX40" s="164" t="s">
        <v>642</v>
      </c>
      <c r="AY40" s="163"/>
    </row>
    <row r="41">
      <c r="A41" s="633" t="s">
        <v>82</v>
      </c>
      <c r="B41" s="636"/>
      <c r="C41" s="3"/>
      <c r="D41" s="3"/>
      <c r="E41" s="3"/>
      <c r="F41" s="3"/>
      <c r="G41" s="3"/>
      <c r="H41" s="3"/>
      <c r="I41" s="3"/>
      <c r="J41" s="3"/>
      <c r="K41" s="4"/>
      <c r="L41" s="633" t="s">
        <v>82</v>
      </c>
      <c r="M41" s="748"/>
      <c r="N41" s="7"/>
      <c r="O41" s="7"/>
      <c r="P41" s="7"/>
      <c r="Q41" s="7"/>
      <c r="R41" s="7"/>
      <c r="S41" s="7"/>
      <c r="T41" s="7"/>
      <c r="U41" s="7"/>
      <c r="V41" s="7"/>
      <c r="W41" s="8"/>
      <c r="X41" s="633" t="s">
        <v>82</v>
      </c>
      <c r="Y41" s="636"/>
      <c r="Z41" s="3"/>
      <c r="AA41" s="3"/>
      <c r="AB41" s="3"/>
      <c r="AC41" s="3"/>
      <c r="AD41" s="3"/>
      <c r="AE41" s="3"/>
      <c r="AF41" s="4"/>
      <c r="AG41" s="633" t="s">
        <v>82</v>
      </c>
      <c r="AH41" s="748"/>
      <c r="AI41" s="7"/>
      <c r="AJ41" s="7"/>
      <c r="AK41" s="7"/>
      <c r="AL41" s="7"/>
      <c r="AM41" s="8"/>
      <c r="AN41" s="633" t="s">
        <v>82</v>
      </c>
      <c r="AO41" s="749"/>
      <c r="AP41" s="3"/>
      <c r="AQ41" s="3"/>
      <c r="AR41" s="3"/>
      <c r="AS41" s="4"/>
      <c r="AT41" s="749"/>
      <c r="AU41" s="4"/>
      <c r="AV41" s="151"/>
      <c r="AW41" s="151"/>
      <c r="AX41" s="151"/>
      <c r="AY41" s="151"/>
    </row>
    <row r="42">
      <c r="A42" s="623" t="s">
        <v>39</v>
      </c>
      <c r="B42" s="823" t="s">
        <v>85</v>
      </c>
      <c r="C42" s="7"/>
      <c r="D42" s="7"/>
      <c r="E42" s="7"/>
      <c r="F42" s="7"/>
      <c r="G42" s="7"/>
      <c r="H42" s="7"/>
      <c r="I42" s="7"/>
      <c r="J42" s="7"/>
      <c r="K42" s="8"/>
      <c r="L42" s="498" t="s">
        <v>130</v>
      </c>
      <c r="M42" s="824" t="s">
        <v>85</v>
      </c>
      <c r="N42" s="7"/>
      <c r="O42" s="7"/>
      <c r="P42" s="7"/>
      <c r="Q42" s="7"/>
      <c r="R42" s="7"/>
      <c r="S42" s="7"/>
      <c r="T42" s="7"/>
      <c r="U42" s="7"/>
      <c r="V42" s="7"/>
      <c r="W42" s="8"/>
      <c r="X42" s="623" t="s">
        <v>128</v>
      </c>
      <c r="Y42" s="825" t="s">
        <v>85</v>
      </c>
      <c r="AF42" s="23"/>
      <c r="AG42" s="623" t="s">
        <v>594</v>
      </c>
      <c r="AH42" s="823" t="s">
        <v>482</v>
      </c>
      <c r="AI42" s="7"/>
      <c r="AJ42" s="7"/>
      <c r="AK42" s="7"/>
      <c r="AL42" s="7"/>
      <c r="AM42" s="8"/>
      <c r="AN42" s="623" t="s">
        <v>39</v>
      </c>
      <c r="AO42" s="648" t="s">
        <v>595</v>
      </c>
      <c r="AP42" s="8"/>
      <c r="AQ42" s="698"/>
      <c r="AR42" s="640"/>
      <c r="AS42" s="826" t="s">
        <v>265</v>
      </c>
      <c r="AT42" s="651"/>
      <c r="AU42" s="827"/>
      <c r="AV42" s="332"/>
      <c r="AW42" s="332"/>
      <c r="AX42" s="332"/>
      <c r="AY42" s="332"/>
    </row>
    <row r="43">
      <c r="A43" s="38"/>
      <c r="B43" s="110"/>
      <c r="K43" s="23"/>
      <c r="L43" s="38"/>
      <c r="W43" s="23"/>
      <c r="X43" s="38"/>
      <c r="Y43" s="110"/>
      <c r="AF43" s="23"/>
      <c r="AG43" s="38"/>
      <c r="AH43" s="110"/>
      <c r="AM43" s="23"/>
      <c r="AN43" s="38"/>
      <c r="AO43" s="662" t="s">
        <v>521</v>
      </c>
      <c r="AP43" s="23"/>
      <c r="AQ43" s="658"/>
      <c r="AR43" s="658"/>
      <c r="AS43" s="828" t="s">
        <v>272</v>
      </c>
      <c r="AT43" s="655"/>
      <c r="AU43" s="746"/>
      <c r="AV43" s="163" t="str">
        <f t="array" ref="AV43">TEXTJOIN(" | ", 1, A44:AS44)</f>
        <v>314 (ON 27/03) | ONLINE</v>
      </c>
      <c r="AW43" s="339"/>
      <c r="AX43" s="339"/>
      <c r="AY43" s="339"/>
    </row>
    <row r="44">
      <c r="A44" s="44"/>
      <c r="B44" s="111"/>
      <c r="C44" s="46"/>
      <c r="D44" s="46"/>
      <c r="E44" s="46"/>
      <c r="F44" s="46"/>
      <c r="G44" s="46"/>
      <c r="H44" s="46"/>
      <c r="I44" s="46"/>
      <c r="J44" s="46"/>
      <c r="K44" s="47"/>
      <c r="L44" s="44"/>
      <c r="W44" s="23"/>
      <c r="X44" s="44"/>
      <c r="Y44" s="110"/>
      <c r="AF44" s="23"/>
      <c r="AG44" s="44"/>
      <c r="AH44" s="111"/>
      <c r="AI44" s="46"/>
      <c r="AJ44" s="46"/>
      <c r="AK44" s="46"/>
      <c r="AL44" s="46"/>
      <c r="AM44" s="47"/>
      <c r="AN44" s="44"/>
      <c r="AO44" s="673" t="s">
        <v>643</v>
      </c>
      <c r="AP44" s="47"/>
      <c r="AQ44" s="675"/>
      <c r="AR44" s="675"/>
      <c r="AS44" s="829" t="s">
        <v>137</v>
      </c>
      <c r="AT44" s="675"/>
      <c r="AU44" s="691"/>
      <c r="AV44" s="178" t="str">
        <f>IFERROR(__xludf.DUMMYFUNCTION("TEXTJOIN("" / "", 1, SORT(UNIQUE(TRANSPOSE(SPLIT(TRIM(REGEXREPLACE(AV43,""([0-9]{3}[a-zA-Z]?)|."",""$1 "")), "" "")))))"),"314")</f>
        <v>314</v>
      </c>
      <c r="AW44" s="346"/>
      <c r="AX44" s="346"/>
      <c r="AY44" s="346"/>
    </row>
    <row r="45">
      <c r="A45" s="623" t="s">
        <v>49</v>
      </c>
      <c r="B45" s="830" t="s">
        <v>205</v>
      </c>
      <c r="K45" s="23"/>
      <c r="L45" s="498" t="s">
        <v>145</v>
      </c>
      <c r="M45" s="831" t="s">
        <v>288</v>
      </c>
      <c r="N45" s="7"/>
      <c r="O45" s="7"/>
      <c r="P45" s="7"/>
      <c r="Q45" s="7"/>
      <c r="R45" s="7"/>
      <c r="S45" s="7"/>
      <c r="T45" s="7"/>
      <c r="U45" s="7"/>
      <c r="V45" s="8"/>
      <c r="W45" s="792" t="s">
        <v>226</v>
      </c>
      <c r="X45" s="623" t="s">
        <v>139</v>
      </c>
      <c r="Y45" s="640"/>
      <c r="Z45" s="640"/>
      <c r="AA45" s="640"/>
      <c r="AB45" s="640"/>
      <c r="AC45" s="641"/>
      <c r="AD45" s="641"/>
      <c r="AE45" s="641"/>
      <c r="AF45" s="641"/>
      <c r="AG45" s="623" t="s">
        <v>601</v>
      </c>
      <c r="AH45" s="640"/>
      <c r="AI45" s="640"/>
      <c r="AJ45" s="640"/>
      <c r="AK45" s="698"/>
      <c r="AL45" s="698"/>
      <c r="AM45" s="698"/>
      <c r="AN45" s="623" t="s">
        <v>49</v>
      </c>
      <c r="AO45" s="648" t="s">
        <v>595</v>
      </c>
      <c r="AP45" s="8"/>
      <c r="AQ45" s="640"/>
      <c r="AR45" s="640"/>
      <c r="AS45" s="826" t="s">
        <v>265</v>
      </c>
      <c r="AT45" s="657"/>
      <c r="AU45" s="827"/>
      <c r="AV45" s="332"/>
      <c r="AW45" s="332"/>
      <c r="AX45" s="332"/>
      <c r="AY45" s="332"/>
    </row>
    <row r="46">
      <c r="A46" s="38"/>
      <c r="B46" s="832" t="s">
        <v>644</v>
      </c>
      <c r="K46" s="23"/>
      <c r="L46" s="38"/>
      <c r="M46" s="833" t="s">
        <v>169</v>
      </c>
      <c r="V46" s="23"/>
      <c r="W46" s="799" t="s">
        <v>235</v>
      </c>
      <c r="X46" s="38"/>
      <c r="Y46" s="658"/>
      <c r="Z46" s="658"/>
      <c r="AA46" s="658"/>
      <c r="AB46" s="658"/>
      <c r="AC46" s="658"/>
      <c r="AD46" s="658"/>
      <c r="AE46" s="658"/>
      <c r="AF46" s="834"/>
      <c r="AG46" s="38"/>
      <c r="AH46" s="658"/>
      <c r="AI46" s="658"/>
      <c r="AJ46" s="658"/>
      <c r="AK46" s="711"/>
      <c r="AL46" s="711"/>
      <c r="AM46" s="711"/>
      <c r="AN46" s="38"/>
      <c r="AO46" s="662" t="s">
        <v>521</v>
      </c>
      <c r="AP46" s="23"/>
      <c r="AQ46" s="658"/>
      <c r="AR46" s="658"/>
      <c r="AS46" s="828" t="s">
        <v>272</v>
      </c>
      <c r="AT46" s="655"/>
      <c r="AU46" s="746"/>
      <c r="AV46" s="163" t="str">
        <f t="array" ref="AV46">TEXTJOIN(" | ", 1, A47:AS47)</f>
        <v>108 | ONLINE | 102 | 314 (ON 27/03) | ONLINE</v>
      </c>
      <c r="AW46" s="339"/>
      <c r="AX46" s="339"/>
      <c r="AY46" s="339"/>
    </row>
    <row r="47">
      <c r="A47" s="44"/>
      <c r="B47" s="286">
        <v>108.0</v>
      </c>
      <c r="C47" s="46"/>
      <c r="D47" s="46"/>
      <c r="E47" s="46"/>
      <c r="F47" s="46"/>
      <c r="G47" s="46"/>
      <c r="H47" s="46"/>
      <c r="I47" s="46"/>
      <c r="J47" s="46"/>
      <c r="K47" s="47"/>
      <c r="L47" s="44"/>
      <c r="M47" s="835" t="s">
        <v>137</v>
      </c>
      <c r="N47" s="46"/>
      <c r="O47" s="46"/>
      <c r="P47" s="46"/>
      <c r="Q47" s="46"/>
      <c r="R47" s="46"/>
      <c r="S47" s="46"/>
      <c r="T47" s="46"/>
      <c r="U47" s="46"/>
      <c r="V47" s="47"/>
      <c r="W47" s="804">
        <v>102.0</v>
      </c>
      <c r="X47" s="44"/>
      <c r="Y47" s="669"/>
      <c r="Z47" s="669"/>
      <c r="AA47" s="669"/>
      <c r="AB47" s="669"/>
      <c r="AC47" s="669"/>
      <c r="AD47" s="669"/>
      <c r="AE47" s="669"/>
      <c r="AF47" s="669"/>
      <c r="AG47" s="44"/>
      <c r="AH47" s="669"/>
      <c r="AI47" s="669"/>
      <c r="AJ47" s="669"/>
      <c r="AK47" s="718"/>
      <c r="AL47" s="718"/>
      <c r="AM47" s="718"/>
      <c r="AN47" s="44"/>
      <c r="AO47" s="673" t="s">
        <v>645</v>
      </c>
      <c r="AP47" s="47"/>
      <c r="AQ47" s="675"/>
      <c r="AR47" s="675"/>
      <c r="AS47" s="829" t="s">
        <v>137</v>
      </c>
      <c r="AT47" s="675"/>
      <c r="AU47" s="691"/>
      <c r="AV47" s="178" t="str">
        <f>IFERROR(__xludf.DUMMYFUNCTION("TEXTJOIN("" / "", 1, SORT(UNIQUE(TRANSPOSE(SPLIT(TRIM(REGEXREPLACE(AV46,""([0-9]{3}[a-zA-Z]?)|."",""$1 "")), "" "")))))"),"102 / 108 / 314")</f>
        <v>102 / 108 / 314</v>
      </c>
      <c r="AW47" s="267"/>
      <c r="AX47" s="726" t="s">
        <v>646</v>
      </c>
      <c r="AY47" s="346"/>
    </row>
    <row r="48">
      <c r="A48" s="623" t="s">
        <v>51</v>
      </c>
      <c r="B48" s="830" t="s">
        <v>224</v>
      </c>
      <c r="K48" s="23"/>
      <c r="L48" s="498" t="s">
        <v>162</v>
      </c>
      <c r="M48" s="836" t="s">
        <v>298</v>
      </c>
      <c r="N48" s="7"/>
      <c r="O48" s="7"/>
      <c r="P48" s="7"/>
      <c r="Q48" s="7"/>
      <c r="R48" s="7"/>
      <c r="S48" s="7"/>
      <c r="T48" s="7"/>
      <c r="U48" s="7"/>
      <c r="V48" s="8"/>
      <c r="W48" s="792" t="s">
        <v>226</v>
      </c>
      <c r="X48" s="623" t="s">
        <v>158</v>
      </c>
      <c r="Y48" s="640"/>
      <c r="Z48" s="640"/>
      <c r="AA48" s="640"/>
      <c r="AB48" s="640"/>
      <c r="AC48" s="641"/>
      <c r="AD48" s="641"/>
      <c r="AE48" s="641"/>
      <c r="AF48" s="641"/>
      <c r="AG48" s="623" t="s">
        <v>608</v>
      </c>
      <c r="AH48" s="640"/>
      <c r="AI48" s="640"/>
      <c r="AJ48" s="640"/>
      <c r="AK48" s="698"/>
      <c r="AL48" s="698"/>
      <c r="AM48" s="698"/>
      <c r="AN48" s="623" t="s">
        <v>51</v>
      </c>
      <c r="AO48" s="648" t="s">
        <v>595</v>
      </c>
      <c r="AP48" s="8"/>
      <c r="AQ48" s="640"/>
      <c r="AR48" s="837"/>
      <c r="AS48" s="838"/>
      <c r="AT48" s="651"/>
      <c r="AU48" s="651"/>
      <c r="AV48" s="360"/>
      <c r="AW48" s="360"/>
      <c r="AX48" s="359"/>
      <c r="AY48" s="360"/>
    </row>
    <row r="49">
      <c r="A49" s="38"/>
      <c r="B49" s="832" t="s">
        <v>644</v>
      </c>
      <c r="K49" s="23"/>
      <c r="L49" s="38"/>
      <c r="M49" s="839" t="s">
        <v>293</v>
      </c>
      <c r="V49" s="23"/>
      <c r="W49" s="799" t="s">
        <v>235</v>
      </c>
      <c r="X49" s="38"/>
      <c r="Y49" s="658"/>
      <c r="Z49" s="658"/>
      <c r="AA49" s="658"/>
      <c r="AB49" s="658"/>
      <c r="AC49" s="658"/>
      <c r="AD49" s="658"/>
      <c r="AE49" s="658"/>
      <c r="AF49" s="834"/>
      <c r="AG49" s="38"/>
      <c r="AH49" s="658"/>
      <c r="AI49" s="658"/>
      <c r="AJ49" s="658"/>
      <c r="AK49" s="711"/>
      <c r="AL49" s="711"/>
      <c r="AM49" s="711"/>
      <c r="AN49" s="38"/>
      <c r="AO49" s="662" t="s">
        <v>521</v>
      </c>
      <c r="AP49" s="23"/>
      <c r="AQ49" s="658"/>
      <c r="AR49" s="658"/>
      <c r="AS49" s="663"/>
      <c r="AT49" s="655"/>
      <c r="AU49" s="655"/>
      <c r="AV49" s="163" t="str">
        <f t="array" ref="AV49">TEXTJOIN(" | ", 1, A50:AS50)</f>
        <v>108 | 105 | 102 | 314 (ON 27/03)</v>
      </c>
      <c r="AW49" s="346"/>
      <c r="AX49" s="359"/>
      <c r="AY49" s="346"/>
    </row>
    <row r="50">
      <c r="A50" s="44"/>
      <c r="B50" s="286">
        <v>108.0</v>
      </c>
      <c r="C50" s="46"/>
      <c r="D50" s="46"/>
      <c r="E50" s="46"/>
      <c r="F50" s="46"/>
      <c r="G50" s="46"/>
      <c r="H50" s="46"/>
      <c r="I50" s="46"/>
      <c r="J50" s="46"/>
      <c r="K50" s="47"/>
      <c r="L50" s="44"/>
      <c r="M50" s="840">
        <v>105.0</v>
      </c>
      <c r="N50" s="46"/>
      <c r="O50" s="46"/>
      <c r="P50" s="46"/>
      <c r="Q50" s="46"/>
      <c r="R50" s="46"/>
      <c r="S50" s="46"/>
      <c r="T50" s="46"/>
      <c r="U50" s="46"/>
      <c r="V50" s="47"/>
      <c r="W50" s="804">
        <v>102.0</v>
      </c>
      <c r="X50" s="44"/>
      <c r="Y50" s="669"/>
      <c r="Z50" s="675"/>
      <c r="AA50" s="669"/>
      <c r="AB50" s="669"/>
      <c r="AC50" s="669"/>
      <c r="AD50" s="669"/>
      <c r="AE50" s="669"/>
      <c r="AF50" s="669"/>
      <c r="AG50" s="44"/>
      <c r="AH50" s="669"/>
      <c r="AI50" s="669"/>
      <c r="AJ50" s="669"/>
      <c r="AK50" s="718"/>
      <c r="AL50" s="718"/>
      <c r="AM50" s="718"/>
      <c r="AN50" s="44"/>
      <c r="AO50" s="673" t="s">
        <v>647</v>
      </c>
      <c r="AP50" s="47"/>
      <c r="AQ50" s="675"/>
      <c r="AR50" s="675"/>
      <c r="AS50" s="674"/>
      <c r="AT50" s="675"/>
      <c r="AU50" s="675"/>
      <c r="AV50" s="178" t="str">
        <f>IFERROR(__xludf.DUMMYFUNCTION("TEXTJOIN("" / "", 1, SORT(UNIQUE(TRANSPOSE(SPLIT(TRIM(REGEXREPLACE(AV49,""([0-9]{3}[a-zA-Z]?)|."",""$1 "")), "" "")))))"),"102 / 105 / 108 / 314")</f>
        <v>102 / 105 / 108 / 314</v>
      </c>
      <c r="AW50" s="267"/>
      <c r="AX50" s="726" t="s">
        <v>648</v>
      </c>
      <c r="AY50" s="346"/>
    </row>
    <row r="51">
      <c r="A51" s="623" t="s">
        <v>59</v>
      </c>
      <c r="B51" s="699" t="s">
        <v>239</v>
      </c>
      <c r="C51" s="789" t="s">
        <v>287</v>
      </c>
      <c r="D51" s="699" t="s">
        <v>239</v>
      </c>
      <c r="E51" s="640"/>
      <c r="F51" s="699" t="s">
        <v>239</v>
      </c>
      <c r="G51" s="640"/>
      <c r="H51" s="699" t="s">
        <v>239</v>
      </c>
      <c r="I51" s="640"/>
      <c r="J51" s="699" t="s">
        <v>239</v>
      </c>
      <c r="K51" s="789" t="s">
        <v>287</v>
      </c>
      <c r="L51" s="498" t="s">
        <v>174</v>
      </c>
      <c r="M51" s="841" t="s">
        <v>302</v>
      </c>
      <c r="N51" s="329" t="s">
        <v>649</v>
      </c>
      <c r="O51" s="641"/>
      <c r="P51" s="841" t="s">
        <v>302</v>
      </c>
      <c r="Q51" s="641"/>
      <c r="R51" s="641"/>
      <c r="S51" s="640"/>
      <c r="T51" s="640"/>
      <c r="U51" s="640"/>
      <c r="V51" s="841" t="s">
        <v>302</v>
      </c>
      <c r="W51" s="698"/>
      <c r="X51" s="623" t="s">
        <v>172</v>
      </c>
      <c r="Y51" s="640"/>
      <c r="Z51" s="640"/>
      <c r="AA51" s="640"/>
      <c r="AB51" s="640"/>
      <c r="AC51" s="641"/>
      <c r="AD51" s="641"/>
      <c r="AE51" s="641"/>
      <c r="AF51" s="641"/>
      <c r="AG51" s="623" t="s">
        <v>611</v>
      </c>
      <c r="AH51" s="698"/>
      <c r="AI51" s="698"/>
      <c r="AJ51" s="143"/>
      <c r="AK51" s="698"/>
      <c r="AL51" s="698"/>
      <c r="AM51" s="698"/>
      <c r="AN51" s="623" t="s">
        <v>59</v>
      </c>
      <c r="AO51" s="842" t="s">
        <v>279</v>
      </c>
      <c r="AP51" s="23"/>
      <c r="AQ51" s="843" t="s">
        <v>280</v>
      </c>
      <c r="AR51" s="844"/>
      <c r="AS51" s="640"/>
      <c r="AT51" s="651"/>
      <c r="AU51" s="651"/>
      <c r="AV51" s="360"/>
      <c r="AW51" s="360"/>
      <c r="AX51" s="359"/>
      <c r="AY51" s="360"/>
    </row>
    <row r="52">
      <c r="A52" s="38"/>
      <c r="B52" s="684" t="s">
        <v>245</v>
      </c>
      <c r="C52" s="363" t="s">
        <v>650</v>
      </c>
      <c r="D52" s="845" t="s">
        <v>651</v>
      </c>
      <c r="E52" s="701"/>
      <c r="F52" s="684" t="s">
        <v>652</v>
      </c>
      <c r="G52" s="701"/>
      <c r="H52" s="747" t="s">
        <v>370</v>
      </c>
      <c r="I52" s="701"/>
      <c r="J52" s="684" t="s">
        <v>406</v>
      </c>
      <c r="K52" s="363" t="s">
        <v>653</v>
      </c>
      <c r="L52" s="38"/>
      <c r="M52" s="846" t="s">
        <v>53</v>
      </c>
      <c r="N52" s="351" t="s">
        <v>654</v>
      </c>
      <c r="O52" s="655"/>
      <c r="P52" s="425" t="s">
        <v>54</v>
      </c>
      <c r="Q52" s="658"/>
      <c r="R52" s="658"/>
      <c r="S52" s="847"/>
      <c r="T52" s="655"/>
      <c r="U52" s="655"/>
      <c r="V52" s="386" t="s">
        <v>152</v>
      </c>
      <c r="W52" s="656"/>
      <c r="X52" s="38"/>
      <c r="Y52" s="658"/>
      <c r="Z52" s="658"/>
      <c r="AA52" s="658"/>
      <c r="AB52" s="658"/>
      <c r="AC52" s="848"/>
      <c r="AD52" s="658"/>
      <c r="AE52" s="658"/>
      <c r="AF52" s="658"/>
      <c r="AG52" s="38"/>
      <c r="AH52" s="711"/>
      <c r="AI52" s="711"/>
      <c r="AJ52" s="143"/>
      <c r="AK52" s="711"/>
      <c r="AL52" s="711"/>
      <c r="AM52" s="711"/>
      <c r="AN52" s="38"/>
      <c r="AO52" s="849" t="s">
        <v>285</v>
      </c>
      <c r="AP52" s="23"/>
      <c r="AQ52" s="661" t="s">
        <v>286</v>
      </c>
      <c r="AR52" s="850"/>
      <c r="AS52" s="658"/>
      <c r="AT52" s="655"/>
      <c r="AU52" s="655"/>
      <c r="AV52" s="163" t="str">
        <f t="array" ref="AV52">TEXTJOIN(" | ", 1, A53:AS53)</f>
        <v>318 | 312 | 421 | 303 | 320 | 300 | 316 | 101 | 317 | 308 (313 ON 24.04) | 314 | 321 | 301</v>
      </c>
      <c r="AW52" s="346"/>
      <c r="AX52" s="359"/>
      <c r="AY52" s="346"/>
    </row>
    <row r="53">
      <c r="A53" s="44"/>
      <c r="B53" s="851">
        <v>318.0</v>
      </c>
      <c r="C53" s="822">
        <v>312.0</v>
      </c>
      <c r="D53" s="692">
        <v>421.0</v>
      </c>
      <c r="E53" s="715"/>
      <c r="F53" s="692">
        <v>303.0</v>
      </c>
      <c r="G53" s="715"/>
      <c r="H53" s="692">
        <v>320.0</v>
      </c>
      <c r="I53" s="715"/>
      <c r="J53" s="692">
        <v>300.0</v>
      </c>
      <c r="K53" s="368">
        <v>316.0</v>
      </c>
      <c r="L53" s="44"/>
      <c r="M53" s="428">
        <v>101.0</v>
      </c>
      <c r="N53" s="342">
        <v>317.0</v>
      </c>
      <c r="O53" s="667"/>
      <c r="P53" s="428" t="s">
        <v>655</v>
      </c>
      <c r="Q53" s="669"/>
      <c r="R53" s="669"/>
      <c r="S53" s="688"/>
      <c r="T53" s="675"/>
      <c r="U53" s="675"/>
      <c r="V53" s="390">
        <v>314.0</v>
      </c>
      <c r="W53" s="668"/>
      <c r="X53" s="44"/>
      <c r="Y53" s="675"/>
      <c r="Z53" s="669"/>
      <c r="AA53" s="669"/>
      <c r="AB53" s="669"/>
      <c r="AC53" s="669"/>
      <c r="AD53" s="669"/>
      <c r="AE53" s="669"/>
      <c r="AF53" s="669"/>
      <c r="AG53" s="44"/>
      <c r="AH53" s="718"/>
      <c r="AI53" s="718"/>
      <c r="AJ53" s="143"/>
      <c r="AK53" s="718"/>
      <c r="AL53" s="718"/>
      <c r="AM53" s="718"/>
      <c r="AN53" s="44"/>
      <c r="AO53" s="354">
        <v>321.0</v>
      </c>
      <c r="AP53" s="47"/>
      <c r="AQ53" s="672">
        <v>301.0</v>
      </c>
      <c r="AR53" s="852"/>
      <c r="AS53" s="675"/>
      <c r="AT53" s="675"/>
      <c r="AU53" s="691"/>
      <c r="AV53" s="178" t="str">
        <f>IFERROR(__xludf.DUMMYFUNCTION("TEXTJOIN("" / "", 1, SORT(UNIQUE(TRANSPOSE(SPLIT(TRIM(REGEXREPLACE(AV52,""([0-9]{3}[a-zA-Z]?)|."",""$1 "")), "" "")))))"),"101 / 300 / 301 / 303 / 308 / 312 / 313 / 314 / 316 / 317 / 318 / 320 / 321 / 421")</f>
        <v>101 / 300 / 301 / 303 / 308 / 312 / 313 / 314 / 316 / 317 / 318 / 320 / 321 / 421</v>
      </c>
      <c r="AW53" s="164"/>
      <c r="AX53" s="164" t="s">
        <v>656</v>
      </c>
      <c r="AY53" s="163"/>
    </row>
    <row r="54">
      <c r="A54" s="623" t="s">
        <v>64</v>
      </c>
      <c r="B54" s="789" t="s">
        <v>287</v>
      </c>
      <c r="C54" s="699" t="s">
        <v>239</v>
      </c>
      <c r="D54" s="640"/>
      <c r="E54" s="227"/>
      <c r="F54" s="640"/>
      <c r="G54" s="699" t="s">
        <v>239</v>
      </c>
      <c r="H54" s="640"/>
      <c r="I54" s="699" t="s">
        <v>239</v>
      </c>
      <c r="J54" s="640"/>
      <c r="K54" s="699" t="s">
        <v>239</v>
      </c>
      <c r="L54" s="498" t="s">
        <v>185</v>
      </c>
      <c r="M54" s="329" t="s">
        <v>649</v>
      </c>
      <c r="N54" s="841" t="s">
        <v>302</v>
      </c>
      <c r="O54" s="329" t="s">
        <v>649</v>
      </c>
      <c r="P54" s="329" t="s">
        <v>649</v>
      </c>
      <c r="Q54" s="841" t="s">
        <v>302</v>
      </c>
      <c r="R54" s="641"/>
      <c r="S54" s="841" t="s">
        <v>302</v>
      </c>
      <c r="T54" s="329" t="s">
        <v>649</v>
      </c>
      <c r="U54" s="841" t="s">
        <v>302</v>
      </c>
      <c r="V54" s="640"/>
      <c r="W54" s="640"/>
      <c r="X54" s="623" t="s">
        <v>184</v>
      </c>
      <c r="Y54" s="640"/>
      <c r="Z54" s="640"/>
      <c r="AA54" s="640"/>
      <c r="AB54" s="641"/>
      <c r="AC54" s="641"/>
      <c r="AD54" s="641"/>
      <c r="AE54" s="641"/>
      <c r="AF54" s="641"/>
      <c r="AG54" s="623" t="s">
        <v>615</v>
      </c>
      <c r="AH54" s="698"/>
      <c r="AI54" s="698"/>
      <c r="AJ54" s="698"/>
      <c r="AK54" s="698"/>
      <c r="AL54" s="698"/>
      <c r="AM54" s="698"/>
      <c r="AN54" s="623" t="s">
        <v>64</v>
      </c>
      <c r="AO54" s="698"/>
      <c r="AP54" s="698"/>
      <c r="AQ54" s="843" t="s">
        <v>291</v>
      </c>
      <c r="AR54" s="651"/>
      <c r="AS54" s="584" t="s">
        <v>657</v>
      </c>
      <c r="AT54" s="657"/>
      <c r="AU54" s="651"/>
      <c r="AV54" s="258"/>
      <c r="AW54" s="258"/>
      <c r="AX54" s="258"/>
      <c r="AY54" s="258"/>
    </row>
    <row r="55">
      <c r="A55" s="38"/>
      <c r="B55" s="363" t="s">
        <v>650</v>
      </c>
      <c r="C55" s="684" t="s">
        <v>245</v>
      </c>
      <c r="D55" s="701"/>
      <c r="E55" s="234"/>
      <c r="F55" s="701"/>
      <c r="G55" s="684" t="s">
        <v>406</v>
      </c>
      <c r="H55" s="701"/>
      <c r="I55" s="747" t="s">
        <v>370</v>
      </c>
      <c r="J55" s="658"/>
      <c r="K55" s="684" t="s">
        <v>652</v>
      </c>
      <c r="L55" s="38"/>
      <c r="M55" s="351" t="s">
        <v>658</v>
      </c>
      <c r="N55" s="846" t="s">
        <v>53</v>
      </c>
      <c r="O55" s="351" t="s">
        <v>659</v>
      </c>
      <c r="P55" s="351" t="s">
        <v>231</v>
      </c>
      <c r="Q55" s="425" t="s">
        <v>54</v>
      </c>
      <c r="R55" s="658"/>
      <c r="S55" s="386" t="s">
        <v>660</v>
      </c>
      <c r="T55" s="351" t="s">
        <v>661</v>
      </c>
      <c r="U55" s="386" t="s">
        <v>152</v>
      </c>
      <c r="V55" s="655"/>
      <c r="W55" s="658"/>
      <c r="X55" s="38"/>
      <c r="Y55" s="658"/>
      <c r="Z55" s="658"/>
      <c r="AA55" s="658"/>
      <c r="AB55" s="658"/>
      <c r="AC55" s="658"/>
      <c r="AD55" s="658"/>
      <c r="AE55" s="658"/>
      <c r="AF55" s="658"/>
      <c r="AG55" s="38"/>
      <c r="AH55" s="711"/>
      <c r="AI55" s="711"/>
      <c r="AJ55" s="711"/>
      <c r="AK55" s="711"/>
      <c r="AL55" s="711"/>
      <c r="AM55" s="711"/>
      <c r="AN55" s="38"/>
      <c r="AO55" s="655"/>
      <c r="AP55" s="655"/>
      <c r="AQ55" s="853" t="s">
        <v>78</v>
      </c>
      <c r="AR55" s="655"/>
      <c r="AS55" s="728" t="s">
        <v>638</v>
      </c>
      <c r="AT55" s="655"/>
      <c r="AU55" s="655"/>
      <c r="AV55" s="163" t="str">
        <f t="array" ref="AV55">TEXTJOIN(" | ", 1, A56:AS56)</f>
        <v>312 | 318 | 300 | 320 | 303 | 104 (102 TILL 10/04) | 101 | 317 | 321 | 308 (313 ON 24.04) | 421 | 316 | 314 | 301 | 102</v>
      </c>
      <c r="AW55" s="258"/>
      <c r="AX55" s="258"/>
      <c r="AY55" s="258"/>
    </row>
    <row r="56">
      <c r="A56" s="44"/>
      <c r="B56" s="822">
        <v>312.0</v>
      </c>
      <c r="C56" s="851">
        <v>318.0</v>
      </c>
      <c r="D56" s="715"/>
      <c r="E56" s="234"/>
      <c r="F56" s="715"/>
      <c r="G56" s="692">
        <v>300.0</v>
      </c>
      <c r="H56" s="715"/>
      <c r="I56" s="692">
        <v>320.0</v>
      </c>
      <c r="J56" s="675"/>
      <c r="K56" s="851">
        <v>303.0</v>
      </c>
      <c r="L56" s="44"/>
      <c r="M56" s="342" t="s">
        <v>662</v>
      </c>
      <c r="N56" s="428">
        <v>101.0</v>
      </c>
      <c r="O56" s="342">
        <v>317.0</v>
      </c>
      <c r="P56" s="342">
        <v>321.0</v>
      </c>
      <c r="Q56" s="428" t="s">
        <v>663</v>
      </c>
      <c r="R56" s="669"/>
      <c r="S56" s="390">
        <v>421.0</v>
      </c>
      <c r="T56" s="342">
        <v>316.0</v>
      </c>
      <c r="U56" s="390">
        <v>314.0</v>
      </c>
      <c r="V56" s="675"/>
      <c r="W56" s="669"/>
      <c r="X56" s="44"/>
      <c r="Y56" s="669"/>
      <c r="Z56" s="669"/>
      <c r="AA56" s="675"/>
      <c r="AB56" s="669"/>
      <c r="AC56" s="669"/>
      <c r="AD56" s="669"/>
      <c r="AE56" s="669"/>
      <c r="AF56" s="669"/>
      <c r="AG56" s="44"/>
      <c r="AH56" s="718"/>
      <c r="AI56" s="718"/>
      <c r="AJ56" s="718"/>
      <c r="AK56" s="718"/>
      <c r="AL56" s="718"/>
      <c r="AM56" s="718"/>
      <c r="AN56" s="44"/>
      <c r="AO56" s="655"/>
      <c r="AP56" s="655"/>
      <c r="AQ56" s="853">
        <v>301.0</v>
      </c>
      <c r="AR56" s="675"/>
      <c r="AS56" s="731">
        <v>102.0</v>
      </c>
      <c r="AT56" s="675"/>
      <c r="AU56" s="675"/>
      <c r="AV56" s="178" t="str">
        <f>IFERROR(__xludf.DUMMYFUNCTION("TEXTJOIN("" / "", 1, SORT(UNIQUE(TRANSPOSE(SPLIT(TRIM(REGEXREPLACE(AV55,""([0-9]{3}[a-zA-Z]?)|."",""$1 "")), "" "")))))"),"101 / 102 / 104 / 300 / 301 / 303 / 308 / 312 / 313 / 314 / 316 / 317 / 318 / 320 / 321 / 421")</f>
        <v>101 / 102 / 104 / 300 / 301 / 303 / 308 / 312 / 313 / 314 / 316 / 317 / 318 / 320 / 321 / 421</v>
      </c>
      <c r="AW56" s="258"/>
      <c r="AX56" s="258"/>
      <c r="AY56" s="258"/>
    </row>
    <row r="57">
      <c r="A57" s="623" t="s">
        <v>66</v>
      </c>
      <c r="B57" s="640"/>
      <c r="C57" s="143"/>
      <c r="D57" s="640"/>
      <c r="E57" s="699" t="s">
        <v>239</v>
      </c>
      <c r="F57" s="640"/>
      <c r="G57" s="640"/>
      <c r="H57" s="640"/>
      <c r="I57" s="640"/>
      <c r="J57" s="640"/>
      <c r="K57" s="356" t="s">
        <v>287</v>
      </c>
      <c r="L57" s="498" t="s">
        <v>192</v>
      </c>
      <c r="M57" s="640"/>
      <c r="N57" s="640"/>
      <c r="O57" s="841" t="s">
        <v>302</v>
      </c>
      <c r="P57" s="641"/>
      <c r="Q57" s="329" t="s">
        <v>649</v>
      </c>
      <c r="R57" s="841" t="s">
        <v>302</v>
      </c>
      <c r="S57" s="647" t="s">
        <v>602</v>
      </c>
      <c r="T57" s="841" t="s">
        <v>302</v>
      </c>
      <c r="U57" s="854" t="s">
        <v>649</v>
      </c>
      <c r="V57" s="641"/>
      <c r="W57" s="641"/>
      <c r="X57" s="623" t="s">
        <v>191</v>
      </c>
      <c r="Y57" s="640"/>
      <c r="Z57" s="641"/>
      <c r="AA57" s="641"/>
      <c r="AB57" s="640"/>
      <c r="AC57" s="641"/>
      <c r="AD57" s="641"/>
      <c r="AE57" s="641"/>
      <c r="AF57" s="641"/>
      <c r="AG57" s="623" t="s">
        <v>616</v>
      </c>
      <c r="AH57" s="698"/>
      <c r="AI57" s="698"/>
      <c r="AJ57" s="698"/>
      <c r="AK57" s="698"/>
      <c r="AL57" s="698"/>
      <c r="AM57" s="698"/>
      <c r="AN57" s="623" t="s">
        <v>66</v>
      </c>
      <c r="AO57" s="698"/>
      <c r="AP57" s="698"/>
      <c r="AQ57" s="698"/>
      <c r="AR57" s="640"/>
      <c r="AS57" s="855" t="s">
        <v>257</v>
      </c>
      <c r="AT57" s="651"/>
      <c r="AU57" s="651"/>
      <c r="AV57" s="258"/>
      <c r="AW57" s="258"/>
      <c r="AX57" s="258"/>
      <c r="AY57" s="258"/>
    </row>
    <row r="58">
      <c r="A58" s="38"/>
      <c r="B58" s="658"/>
      <c r="C58" s="143"/>
      <c r="D58" s="658"/>
      <c r="E58" s="684" t="s">
        <v>652</v>
      </c>
      <c r="F58" s="658"/>
      <c r="G58" s="774"/>
      <c r="H58" s="658"/>
      <c r="I58" s="658"/>
      <c r="J58" s="658"/>
      <c r="K58" s="362" t="s">
        <v>650</v>
      </c>
      <c r="L58" s="38"/>
      <c r="M58" s="663"/>
      <c r="N58" s="663"/>
      <c r="O58" s="425" t="s">
        <v>53</v>
      </c>
      <c r="P58" s="655"/>
      <c r="Q58" s="351" t="s">
        <v>659</v>
      </c>
      <c r="R58" s="386" t="s">
        <v>152</v>
      </c>
      <c r="S58" s="661" t="s">
        <v>233</v>
      </c>
      <c r="T58" s="425" t="s">
        <v>54</v>
      </c>
      <c r="U58" s="351" t="s">
        <v>661</v>
      </c>
      <c r="V58" s="856"/>
      <c r="W58" s="655"/>
      <c r="X58" s="38"/>
      <c r="Y58" s="658"/>
      <c r="Z58" s="658"/>
      <c r="AA58" s="658"/>
      <c r="AB58" s="658"/>
      <c r="AC58" s="658"/>
      <c r="AD58" s="658"/>
      <c r="AE58" s="658"/>
      <c r="AF58" s="658"/>
      <c r="AG58" s="38"/>
      <c r="AH58" s="711"/>
      <c r="AI58" s="711"/>
      <c r="AJ58" s="711"/>
      <c r="AK58" s="711"/>
      <c r="AL58" s="711"/>
      <c r="AM58" s="711"/>
      <c r="AN58" s="38"/>
      <c r="AO58" s="655"/>
      <c r="AP58" s="655"/>
      <c r="AQ58" s="655"/>
      <c r="AR58" s="658"/>
      <c r="AS58" s="857" t="s">
        <v>258</v>
      </c>
      <c r="AT58" s="655"/>
      <c r="AU58" s="655"/>
      <c r="AV58" s="163" t="str">
        <f t="array" ref="AV58">TEXTJOIN(" | ", 1, A59:AS59)</f>
        <v>303 | 318 (ONLY ON 03/04, 10/04, 17/04) | 101 | 321 | 314 | 312 | 308 (313 ON 24.04) | 316 | ONLINE</v>
      </c>
      <c r="AW58" s="258"/>
      <c r="AX58" s="258"/>
      <c r="AY58" s="258"/>
    </row>
    <row r="59">
      <c r="A59" s="44"/>
      <c r="B59" s="675"/>
      <c r="C59" s="143"/>
      <c r="D59" s="675"/>
      <c r="E59" s="692">
        <v>303.0</v>
      </c>
      <c r="F59" s="675"/>
      <c r="G59" s="691"/>
      <c r="H59" s="675"/>
      <c r="I59" s="675"/>
      <c r="J59" s="675"/>
      <c r="K59" s="858" t="s">
        <v>664</v>
      </c>
      <c r="L59" s="44"/>
      <c r="M59" s="669"/>
      <c r="N59" s="669"/>
      <c r="O59" s="428">
        <v>101.0</v>
      </c>
      <c r="P59" s="667"/>
      <c r="Q59" s="342">
        <v>321.0</v>
      </c>
      <c r="R59" s="390">
        <v>314.0</v>
      </c>
      <c r="S59" s="672">
        <v>312.0</v>
      </c>
      <c r="T59" s="428" t="s">
        <v>665</v>
      </c>
      <c r="U59" s="859">
        <v>316.0</v>
      </c>
      <c r="V59" s="669"/>
      <c r="W59" s="667"/>
      <c r="X59" s="44"/>
      <c r="Y59" s="669"/>
      <c r="Z59" s="669"/>
      <c r="AA59" s="669"/>
      <c r="AB59" s="675"/>
      <c r="AC59" s="669"/>
      <c r="AD59" s="669"/>
      <c r="AE59" s="669"/>
      <c r="AF59" s="669"/>
      <c r="AG59" s="44"/>
      <c r="AH59" s="718"/>
      <c r="AI59" s="718"/>
      <c r="AJ59" s="718"/>
      <c r="AK59" s="718"/>
      <c r="AL59" s="718"/>
      <c r="AM59" s="718"/>
      <c r="AN59" s="44"/>
      <c r="AO59" s="655"/>
      <c r="AP59" s="655"/>
      <c r="AQ59" s="655"/>
      <c r="AR59" s="675"/>
      <c r="AS59" s="860" t="s">
        <v>137</v>
      </c>
      <c r="AT59" s="675"/>
      <c r="AU59" s="675"/>
      <c r="AV59" s="178" t="str">
        <f>IFERROR(__xludf.DUMMYFUNCTION("TEXTJOIN("" / "", 1, SORT(UNIQUE(TRANSPOSE(SPLIT(TRIM(REGEXREPLACE(AV58,""([0-9]{3}[a-zA-Z]?)|."",""$1 "")), "" "")))))"),"101 / 303 / 308 / 312 / 313 / 314 / 316 / 318 / 321")</f>
        <v>101 / 303 / 308 / 312 / 313 / 314 / 316 / 318 / 321</v>
      </c>
      <c r="AW59" s="258"/>
      <c r="AX59" s="164">
        <v>301.0</v>
      </c>
      <c r="AY59" s="258"/>
    </row>
    <row r="60">
      <c r="A60" s="633" t="s">
        <v>86</v>
      </c>
      <c r="B60" s="749"/>
      <c r="C60" s="3"/>
      <c r="D60" s="3"/>
      <c r="E60" s="3"/>
      <c r="F60" s="3"/>
      <c r="G60" s="3"/>
      <c r="H60" s="3"/>
      <c r="I60" s="3"/>
      <c r="J60" s="3"/>
      <c r="K60" s="4"/>
      <c r="L60" s="633" t="s">
        <v>86</v>
      </c>
      <c r="M60" s="861"/>
      <c r="W60" s="23"/>
      <c r="X60" s="633" t="s">
        <v>86</v>
      </c>
      <c r="Y60" s="748"/>
      <c r="Z60" s="7"/>
      <c r="AA60" s="7"/>
      <c r="AB60" s="7"/>
      <c r="AC60" s="7"/>
      <c r="AD60" s="7"/>
      <c r="AE60" s="7"/>
      <c r="AF60" s="8"/>
      <c r="AG60" s="633" t="s">
        <v>86</v>
      </c>
      <c r="AH60" s="636"/>
      <c r="AI60" s="3"/>
      <c r="AJ60" s="3"/>
      <c r="AK60" s="3"/>
      <c r="AL60" s="3"/>
      <c r="AM60" s="4"/>
      <c r="AN60" s="633" t="s">
        <v>86</v>
      </c>
      <c r="AO60" s="749"/>
      <c r="AP60" s="3"/>
      <c r="AQ60" s="3"/>
      <c r="AR60" s="3"/>
      <c r="AS60" s="4"/>
      <c r="AT60" s="862"/>
      <c r="AU60" s="23"/>
      <c r="AV60" s="151"/>
      <c r="AW60" s="151"/>
      <c r="AX60" s="151"/>
      <c r="AY60" s="151"/>
    </row>
    <row r="61">
      <c r="A61" s="623" t="s">
        <v>39</v>
      </c>
      <c r="B61" s="823" t="s">
        <v>85</v>
      </c>
      <c r="C61" s="7"/>
      <c r="D61" s="7"/>
      <c r="E61" s="7"/>
      <c r="F61" s="7"/>
      <c r="G61" s="7"/>
      <c r="H61" s="7"/>
      <c r="I61" s="7"/>
      <c r="J61" s="7"/>
      <c r="K61" s="8"/>
      <c r="L61" s="498" t="s">
        <v>130</v>
      </c>
      <c r="M61" s="824" t="s">
        <v>85</v>
      </c>
      <c r="N61" s="7"/>
      <c r="O61" s="7"/>
      <c r="P61" s="7"/>
      <c r="Q61" s="7"/>
      <c r="R61" s="7"/>
      <c r="S61" s="7"/>
      <c r="T61" s="7"/>
      <c r="U61" s="7"/>
      <c r="V61" s="7"/>
      <c r="W61" s="8"/>
      <c r="X61" s="623" t="s">
        <v>128</v>
      </c>
      <c r="Y61" s="823" t="s">
        <v>85</v>
      </c>
      <c r="Z61" s="7"/>
      <c r="AA61" s="7"/>
      <c r="AB61" s="7"/>
      <c r="AC61" s="7"/>
      <c r="AD61" s="7"/>
      <c r="AE61" s="7"/>
      <c r="AF61" s="8"/>
      <c r="AG61" s="623" t="s">
        <v>594</v>
      </c>
      <c r="AH61" s="823" t="s">
        <v>482</v>
      </c>
      <c r="AI61" s="7"/>
      <c r="AJ61" s="7"/>
      <c r="AK61" s="7"/>
      <c r="AL61" s="7"/>
      <c r="AM61" s="8"/>
      <c r="AN61" s="623" t="s">
        <v>39</v>
      </c>
      <c r="AO61" s="863" t="s">
        <v>359</v>
      </c>
      <c r="AP61" s="8"/>
      <c r="AQ61" s="638" t="s">
        <v>264</v>
      </c>
      <c r="AR61" s="864" t="s">
        <v>198</v>
      </c>
      <c r="AS61" s="865"/>
      <c r="AT61" s="638" t="s">
        <v>666</v>
      </c>
      <c r="AU61" s="8"/>
      <c r="AV61" s="258"/>
      <c r="AW61" s="258"/>
      <c r="AX61" s="258"/>
      <c r="AY61" s="258"/>
    </row>
    <row r="62">
      <c r="A62" s="38"/>
      <c r="B62" s="110"/>
      <c r="K62" s="23"/>
      <c r="L62" s="38"/>
      <c r="W62" s="23"/>
      <c r="X62" s="38"/>
      <c r="Y62" s="110"/>
      <c r="AF62" s="23"/>
      <c r="AG62" s="38"/>
      <c r="AH62" s="110"/>
      <c r="AM62" s="23"/>
      <c r="AN62" s="38"/>
      <c r="AO62" s="866" t="s">
        <v>218</v>
      </c>
      <c r="AP62" s="23"/>
      <c r="AQ62" s="867" t="s">
        <v>349</v>
      </c>
      <c r="AR62" s="687" t="s">
        <v>667</v>
      </c>
      <c r="AS62" s="868"/>
      <c r="AT62" s="867" t="s">
        <v>349</v>
      </c>
      <c r="AU62" s="23"/>
      <c r="AV62" s="163" t="str">
        <f t="array" ref="AV62">TEXTJOIN(" | ", 1, A63:AS63)</f>
        <v>321 | ONLINE | ONLINE</v>
      </c>
      <c r="AW62" s="258"/>
      <c r="AX62" s="258"/>
      <c r="AY62" s="258"/>
    </row>
    <row r="63">
      <c r="A63" s="44"/>
      <c r="B63" s="111"/>
      <c r="C63" s="46"/>
      <c r="D63" s="46"/>
      <c r="E63" s="46"/>
      <c r="F63" s="46"/>
      <c r="G63" s="46"/>
      <c r="H63" s="46"/>
      <c r="I63" s="46"/>
      <c r="J63" s="46"/>
      <c r="K63" s="47"/>
      <c r="L63" s="44"/>
      <c r="W63" s="23"/>
      <c r="X63" s="44"/>
      <c r="Y63" s="110"/>
      <c r="AF63" s="23"/>
      <c r="AG63" s="44"/>
      <c r="AH63" s="111"/>
      <c r="AI63" s="46"/>
      <c r="AJ63" s="46"/>
      <c r="AK63" s="46"/>
      <c r="AL63" s="46"/>
      <c r="AM63" s="47"/>
      <c r="AN63" s="44"/>
      <c r="AO63" s="869">
        <v>321.0</v>
      </c>
      <c r="AP63" s="47"/>
      <c r="AQ63" s="870" t="s">
        <v>137</v>
      </c>
      <c r="AR63" s="871" t="s">
        <v>137</v>
      </c>
      <c r="AS63" s="872"/>
      <c r="AT63" s="873" t="s">
        <v>137</v>
      </c>
      <c r="AU63" s="47"/>
      <c r="AV63" s="178" t="str">
        <f>IFERROR(__xludf.DUMMYFUNCTION("TEXTJOIN("" / "", 1, SORT(UNIQUE(TRANSPOSE(SPLIT(TRIM(REGEXREPLACE(AV62,""([0-9]{3}[a-zA-Z]?)|."",""$1 "")), "" "")))))"),"321")</f>
        <v>321</v>
      </c>
      <c r="AW63" s="163"/>
      <c r="AX63" s="163"/>
      <c r="AY63" s="163"/>
    </row>
    <row r="64">
      <c r="A64" s="623" t="s">
        <v>49</v>
      </c>
      <c r="B64" s="874" t="s">
        <v>315</v>
      </c>
      <c r="C64" s="7"/>
      <c r="D64" s="7"/>
      <c r="E64" s="7"/>
      <c r="F64" s="7"/>
      <c r="G64" s="7"/>
      <c r="H64" s="7"/>
      <c r="I64" s="7"/>
      <c r="J64" s="7"/>
      <c r="K64" s="8"/>
      <c r="L64" s="498" t="s">
        <v>145</v>
      </c>
      <c r="M64" s="814" t="s">
        <v>635</v>
      </c>
      <c r="N64" s="7"/>
      <c r="O64" s="7"/>
      <c r="P64" s="7"/>
      <c r="Q64" s="8"/>
      <c r="R64" s="640"/>
      <c r="S64" s="640"/>
      <c r="T64" s="814" t="s">
        <v>635</v>
      </c>
      <c r="U64" s="8"/>
      <c r="V64" s="875" t="s">
        <v>207</v>
      </c>
      <c r="W64" s="876" t="s">
        <v>251</v>
      </c>
      <c r="X64" s="623" t="s">
        <v>139</v>
      </c>
      <c r="Y64" s="877" t="s">
        <v>289</v>
      </c>
      <c r="Z64" s="7"/>
      <c r="AA64" s="8"/>
      <c r="AB64" s="855" t="s">
        <v>668</v>
      </c>
      <c r="AC64" s="641"/>
      <c r="AD64" s="641"/>
      <c r="AE64" s="641"/>
      <c r="AF64" s="878" t="s">
        <v>319</v>
      </c>
      <c r="AG64" s="623" t="s">
        <v>601</v>
      </c>
      <c r="AH64" s="879" t="s">
        <v>669</v>
      </c>
      <c r="AI64" s="879" t="s">
        <v>669</v>
      </c>
      <c r="AJ64" s="879" t="s">
        <v>669</v>
      </c>
      <c r="AK64" s="879" t="s">
        <v>669</v>
      </c>
      <c r="AL64" s="879" t="s">
        <v>669</v>
      </c>
      <c r="AM64" s="879" t="s">
        <v>669</v>
      </c>
      <c r="AN64" s="623" t="s">
        <v>49</v>
      </c>
      <c r="AO64" s="863" t="s">
        <v>368</v>
      </c>
      <c r="AP64" s="8"/>
      <c r="AQ64" s="880" t="s">
        <v>328</v>
      </c>
      <c r="AR64" s="864" t="s">
        <v>211</v>
      </c>
      <c r="AS64" s="881"/>
      <c r="AT64" s="638" t="s">
        <v>670</v>
      </c>
      <c r="AU64" s="8"/>
      <c r="AV64" s="163"/>
      <c r="AW64" s="163"/>
      <c r="AX64" s="163"/>
      <c r="AY64" s="163"/>
    </row>
    <row r="65">
      <c r="A65" s="38"/>
      <c r="B65" s="882" t="s">
        <v>285</v>
      </c>
      <c r="K65" s="23"/>
      <c r="L65" s="38"/>
      <c r="M65" s="815" t="s">
        <v>637</v>
      </c>
      <c r="Q65" s="23"/>
      <c r="R65" s="847"/>
      <c r="S65" s="658"/>
      <c r="T65" s="816" t="s">
        <v>637</v>
      </c>
      <c r="U65" s="23"/>
      <c r="V65" s="883" t="s">
        <v>218</v>
      </c>
      <c r="W65" s="884" t="s">
        <v>253</v>
      </c>
      <c r="X65" s="38"/>
      <c r="Y65" s="885" t="s">
        <v>294</v>
      </c>
      <c r="AA65" s="23"/>
      <c r="AB65" s="886" t="s">
        <v>349</v>
      </c>
      <c r="AC65" s="658"/>
      <c r="AD65" s="658"/>
      <c r="AE65" s="658"/>
      <c r="AF65" s="887" t="s">
        <v>354</v>
      </c>
      <c r="AG65" s="38"/>
      <c r="AH65" s="888" t="s">
        <v>671</v>
      </c>
      <c r="AI65" s="888" t="s">
        <v>671</v>
      </c>
      <c r="AJ65" s="888" t="s">
        <v>671</v>
      </c>
      <c r="AK65" s="888" t="s">
        <v>671</v>
      </c>
      <c r="AL65" s="888" t="s">
        <v>671</v>
      </c>
      <c r="AM65" s="888" t="s">
        <v>671</v>
      </c>
      <c r="AN65" s="38"/>
      <c r="AO65" s="866" t="s">
        <v>672</v>
      </c>
      <c r="AP65" s="23"/>
      <c r="AQ65" s="889" t="s">
        <v>320</v>
      </c>
      <c r="AR65" s="687" t="s">
        <v>667</v>
      </c>
      <c r="AS65" s="663"/>
      <c r="AT65" s="867" t="s">
        <v>617</v>
      </c>
      <c r="AU65" s="23"/>
      <c r="AV65" s="163" t="str">
        <f t="array" ref="AV65">TEXTJOIN(" | ", 1, A66:AS66)</f>
        <v>108 | 105 | 105 | 103 | ONLINE | Online | Online | 104 | 304/314/421/301 | 304/314/421/301 | 304/314/421/301 | 304/314/421/301 | 304/314/421/301 | 304/314/421/301 | 321 | ONLINE | ONLINE</v>
      </c>
      <c r="AW65" s="163"/>
      <c r="AX65" s="163"/>
      <c r="AY65" s="163"/>
    </row>
    <row r="66">
      <c r="A66" s="44"/>
      <c r="B66" s="717">
        <v>108.0</v>
      </c>
      <c r="C66" s="46"/>
      <c r="D66" s="46"/>
      <c r="E66" s="46"/>
      <c r="F66" s="46"/>
      <c r="G66" s="46"/>
      <c r="H66" s="46"/>
      <c r="I66" s="46"/>
      <c r="J66" s="46"/>
      <c r="K66" s="47"/>
      <c r="L66" s="44"/>
      <c r="M66" s="817">
        <v>105.0</v>
      </c>
      <c r="N66" s="46"/>
      <c r="O66" s="46"/>
      <c r="P66" s="46"/>
      <c r="Q66" s="47"/>
      <c r="R66" s="688"/>
      <c r="S66" s="669"/>
      <c r="T66" s="817">
        <v>105.0</v>
      </c>
      <c r="U66" s="47"/>
      <c r="V66" s="890">
        <v>103.0</v>
      </c>
      <c r="W66" s="891" t="s">
        <v>137</v>
      </c>
      <c r="X66" s="44"/>
      <c r="Y66" s="892" t="s">
        <v>250</v>
      </c>
      <c r="Z66" s="46"/>
      <c r="AA66" s="47"/>
      <c r="AB66" s="893" t="s">
        <v>250</v>
      </c>
      <c r="AC66" s="669"/>
      <c r="AD66" s="669"/>
      <c r="AE66" s="669"/>
      <c r="AF66" s="894">
        <v>104.0</v>
      </c>
      <c r="AG66" s="44"/>
      <c r="AH66" s="787" t="s">
        <v>673</v>
      </c>
      <c r="AI66" s="787" t="s">
        <v>673</v>
      </c>
      <c r="AJ66" s="787" t="s">
        <v>673</v>
      </c>
      <c r="AK66" s="787" t="s">
        <v>673</v>
      </c>
      <c r="AL66" s="787" t="s">
        <v>673</v>
      </c>
      <c r="AM66" s="787" t="s">
        <v>673</v>
      </c>
      <c r="AN66" s="44"/>
      <c r="AO66" s="869">
        <v>321.0</v>
      </c>
      <c r="AP66" s="47"/>
      <c r="AQ66" s="895" t="s">
        <v>137</v>
      </c>
      <c r="AR66" s="871" t="s">
        <v>137</v>
      </c>
      <c r="AS66" s="663"/>
      <c r="AT66" s="873">
        <v>318.0</v>
      </c>
      <c r="AU66" s="47"/>
      <c r="AV66" s="178" t="str">
        <f>IFERROR(__xludf.DUMMYFUNCTION("TEXTJOIN("" / "", 1, SORT(UNIQUE(TRANSPOSE(SPLIT(TRIM(REGEXREPLACE(AV65,""([0-9]{3}[a-zA-Z]?)|."",""$1 "")), "" "")))))"),"103 / 104 / 105 / 108 / 301 / 304 / 314 / 321 / 421")</f>
        <v>103 / 104 / 105 / 108 / 301 / 304 / 314 / 321 / 421</v>
      </c>
      <c r="AW66" s="163"/>
      <c r="AX66" s="163"/>
      <c r="AY66" s="163"/>
    </row>
    <row r="67">
      <c r="A67" s="623" t="s">
        <v>51</v>
      </c>
      <c r="B67" s="896" t="s">
        <v>323</v>
      </c>
      <c r="K67" s="23"/>
      <c r="L67" s="498" t="s">
        <v>162</v>
      </c>
      <c r="M67" s="640"/>
      <c r="N67" s="329" t="s">
        <v>649</v>
      </c>
      <c r="O67" s="640"/>
      <c r="P67" s="897"/>
      <c r="Q67" s="329" t="s">
        <v>649</v>
      </c>
      <c r="R67" s="305"/>
      <c r="S67" s="640"/>
      <c r="T67" s="897"/>
      <c r="U67" s="329" t="s">
        <v>649</v>
      </c>
      <c r="V67" s="642"/>
      <c r="W67" s="876" t="s">
        <v>358</v>
      </c>
      <c r="X67" s="623" t="s">
        <v>158</v>
      </c>
      <c r="Y67" s="156"/>
      <c r="Z67" s="247" t="s">
        <v>186</v>
      </c>
      <c r="AA67" s="247" t="s">
        <v>186</v>
      </c>
      <c r="AB67" s="855" t="s">
        <v>668</v>
      </c>
      <c r="AC67" s="641"/>
      <c r="AD67" s="898" t="s">
        <v>317</v>
      </c>
      <c r="AE67" s="8"/>
      <c r="AF67" s="878" t="s">
        <v>319</v>
      </c>
      <c r="AG67" s="623" t="s">
        <v>608</v>
      </c>
      <c r="AH67" s="879" t="s">
        <v>669</v>
      </c>
      <c r="AI67" s="879" t="s">
        <v>669</v>
      </c>
      <c r="AJ67" s="879" t="s">
        <v>669</v>
      </c>
      <c r="AK67" s="879" t="s">
        <v>669</v>
      </c>
      <c r="AL67" s="879" t="s">
        <v>669</v>
      </c>
      <c r="AM67" s="879" t="s">
        <v>669</v>
      </c>
      <c r="AN67" s="623" t="s">
        <v>51</v>
      </c>
      <c r="AO67" s="227"/>
      <c r="AP67" s="227"/>
      <c r="AQ67" s="899" t="s">
        <v>281</v>
      </c>
      <c r="AR67" s="640"/>
      <c r="AS67" s="838"/>
      <c r="AT67" s="651"/>
      <c r="AU67" s="651"/>
      <c r="AV67" s="163"/>
      <c r="AW67" s="163"/>
      <c r="AX67" s="163"/>
      <c r="AY67" s="163"/>
    </row>
    <row r="68">
      <c r="A68" s="38"/>
      <c r="B68" s="882" t="s">
        <v>674</v>
      </c>
      <c r="K68" s="23"/>
      <c r="L68" s="38"/>
      <c r="M68" s="655"/>
      <c r="N68" s="351" t="s">
        <v>654</v>
      </c>
      <c r="O68" s="655"/>
      <c r="P68" s="161"/>
      <c r="Q68" s="351" t="s">
        <v>659</v>
      </c>
      <c r="R68" s="359"/>
      <c r="S68" s="847"/>
      <c r="T68" s="161"/>
      <c r="U68" s="351" t="s">
        <v>661</v>
      </c>
      <c r="V68" s="658"/>
      <c r="W68" s="884" t="s">
        <v>361</v>
      </c>
      <c r="X68" s="38"/>
      <c r="Y68" s="156"/>
      <c r="Z68" s="337" t="s">
        <v>604</v>
      </c>
      <c r="AA68" s="337" t="s">
        <v>675</v>
      </c>
      <c r="AB68" s="886" t="s">
        <v>349</v>
      </c>
      <c r="AC68" s="658"/>
      <c r="AD68" s="900" t="s">
        <v>320</v>
      </c>
      <c r="AE68" s="23"/>
      <c r="AF68" s="887" t="s">
        <v>330</v>
      </c>
      <c r="AG68" s="38"/>
      <c r="AH68" s="888" t="s">
        <v>671</v>
      </c>
      <c r="AI68" s="888" t="s">
        <v>671</v>
      </c>
      <c r="AJ68" s="888" t="s">
        <v>671</v>
      </c>
      <c r="AK68" s="888" t="s">
        <v>671</v>
      </c>
      <c r="AL68" s="888" t="s">
        <v>671</v>
      </c>
      <c r="AM68" s="888" t="s">
        <v>671</v>
      </c>
      <c r="AN68" s="38"/>
      <c r="AO68" s="234"/>
      <c r="AP68" s="234"/>
      <c r="AQ68" s="67" t="s">
        <v>617</v>
      </c>
      <c r="AR68" s="658"/>
      <c r="AS68" s="663"/>
      <c r="AT68" s="655"/>
      <c r="AU68" s="655"/>
      <c r="AV68" s="163" t="str">
        <f t="array" ref="AV68">TEXTJOIN(" | ", 1, A69:AS69)</f>
        <v>108 | 308 (312 ON 28/03,25/04) | 103 | 317 | 102 | 320 | 316 | Online | Online | 104 | 304/314/421/301 | 304/314/421/301 | 304/314/421/301 | 304/314/421/301 | 304/314/421/301 | 304/314/421/301 | 318</v>
      </c>
      <c r="AW68" s="163"/>
      <c r="AX68" s="163"/>
      <c r="AY68" s="163"/>
    </row>
    <row r="69">
      <c r="A69" s="44"/>
      <c r="B69" s="717">
        <v>108.0</v>
      </c>
      <c r="C69" s="46"/>
      <c r="D69" s="46"/>
      <c r="E69" s="46"/>
      <c r="F69" s="46"/>
      <c r="G69" s="46"/>
      <c r="H69" s="46"/>
      <c r="I69" s="46"/>
      <c r="J69" s="46"/>
      <c r="K69" s="47"/>
      <c r="L69" s="44"/>
      <c r="M69" s="667"/>
      <c r="N69" s="342" t="s">
        <v>676</v>
      </c>
      <c r="O69" s="667"/>
      <c r="P69" s="177"/>
      <c r="Q69" s="901">
        <v>103.0</v>
      </c>
      <c r="R69" s="177"/>
      <c r="S69" s="688"/>
      <c r="T69" s="177"/>
      <c r="U69" s="342">
        <v>317.0</v>
      </c>
      <c r="V69" s="675"/>
      <c r="W69" s="891">
        <v>102.0</v>
      </c>
      <c r="X69" s="44"/>
      <c r="Y69" s="172"/>
      <c r="Z69" s="902">
        <v>320.0</v>
      </c>
      <c r="AA69" s="902">
        <v>316.0</v>
      </c>
      <c r="AB69" s="893" t="s">
        <v>250</v>
      </c>
      <c r="AC69" s="669"/>
      <c r="AD69" s="903" t="s">
        <v>250</v>
      </c>
      <c r="AE69" s="47"/>
      <c r="AF69" s="894">
        <v>104.0</v>
      </c>
      <c r="AG69" s="44"/>
      <c r="AH69" s="787" t="s">
        <v>673</v>
      </c>
      <c r="AI69" s="787" t="s">
        <v>673</v>
      </c>
      <c r="AJ69" s="787" t="s">
        <v>673</v>
      </c>
      <c r="AK69" s="787" t="s">
        <v>673</v>
      </c>
      <c r="AL69" s="787" t="s">
        <v>673</v>
      </c>
      <c r="AM69" s="787" t="s">
        <v>673</v>
      </c>
      <c r="AN69" s="44"/>
      <c r="AO69" s="240"/>
      <c r="AP69" s="240"/>
      <c r="AQ69" s="73">
        <v>318.0</v>
      </c>
      <c r="AR69" s="675"/>
      <c r="AS69" s="674"/>
      <c r="AT69" s="675"/>
      <c r="AU69" s="675"/>
      <c r="AV69" s="178" t="str">
        <f>IFERROR(__xludf.DUMMYFUNCTION("TEXTJOIN("" / "", 1, SORT(UNIQUE(TRANSPOSE(SPLIT(TRIM(REGEXREPLACE(AV68,""([0-9]{3}[a-zA-Z]?)|."",""$1 "")), "" "")))))"),"102 / 103 / 104 / 108 / 301 / 304 / 308 / 312 / 314 / 316 / 317 / 318 / 320 / 421")</f>
        <v>102 / 103 / 104 / 108 / 301 / 304 / 308 / 312 / 314 / 316 / 317 / 318 / 320 / 421</v>
      </c>
      <c r="AW69" s="163"/>
      <c r="AX69" s="163"/>
      <c r="AY69" s="163"/>
    </row>
    <row r="70">
      <c r="A70" s="623" t="s">
        <v>59</v>
      </c>
      <c r="B70" s="640"/>
      <c r="C70" s="720" t="s">
        <v>331</v>
      </c>
      <c r="D70" s="640"/>
      <c r="E70" s="720" t="s">
        <v>331</v>
      </c>
      <c r="F70" s="720" t="s">
        <v>331</v>
      </c>
      <c r="G70" s="720" t="s">
        <v>331</v>
      </c>
      <c r="H70" s="642"/>
      <c r="I70" s="642"/>
      <c r="J70" s="720" t="s">
        <v>331</v>
      </c>
      <c r="K70" s="640"/>
      <c r="L70" s="498" t="s">
        <v>174</v>
      </c>
      <c r="M70" s="329" t="s">
        <v>649</v>
      </c>
      <c r="N70" s="678"/>
      <c r="O70" s="499" t="s">
        <v>379</v>
      </c>
      <c r="P70" s="329" t="s">
        <v>649</v>
      </c>
      <c r="Q70" s="640"/>
      <c r="R70" s="640"/>
      <c r="S70" s="640"/>
      <c r="T70" s="329" t="s">
        <v>649</v>
      </c>
      <c r="U70" s="904"/>
      <c r="V70" s="905" t="s">
        <v>225</v>
      </c>
      <c r="W70" s="143"/>
      <c r="X70" s="623" t="s">
        <v>172</v>
      </c>
      <c r="Y70" s="247" t="s">
        <v>186</v>
      </c>
      <c r="Z70" s="156"/>
      <c r="AA70" s="156"/>
      <c r="AB70" s="724" t="s">
        <v>303</v>
      </c>
      <c r="AC70" s="906" t="s">
        <v>316</v>
      </c>
      <c r="AD70" s="907" t="s">
        <v>326</v>
      </c>
      <c r="AE70" s="641"/>
      <c r="AF70" s="641"/>
      <c r="AG70" s="623" t="s">
        <v>611</v>
      </c>
      <c r="AH70" s="698"/>
      <c r="AI70" s="698"/>
      <c r="AJ70" s="698"/>
      <c r="AK70" s="698"/>
      <c r="AL70" s="698"/>
      <c r="AM70" s="698"/>
      <c r="AN70" s="623" t="s">
        <v>59</v>
      </c>
      <c r="AO70" s="698"/>
      <c r="AP70" s="698"/>
      <c r="AQ70" s="908" t="s">
        <v>336</v>
      </c>
      <c r="AR70" s="733"/>
      <c r="AS70" s="909"/>
      <c r="AT70" s="642"/>
      <c r="AU70" s="722"/>
      <c r="AV70" s="163"/>
      <c r="AW70" s="163"/>
      <c r="AX70" s="163"/>
      <c r="AY70" s="163"/>
    </row>
    <row r="71">
      <c r="A71" s="38"/>
      <c r="B71" s="697"/>
      <c r="C71" s="910" t="s">
        <v>283</v>
      </c>
      <c r="D71" s="655"/>
      <c r="E71" s="911" t="s">
        <v>674</v>
      </c>
      <c r="F71" s="912" t="s">
        <v>179</v>
      </c>
      <c r="G71" s="910" t="s">
        <v>338</v>
      </c>
      <c r="H71" s="658"/>
      <c r="I71" s="658"/>
      <c r="J71" s="912" t="s">
        <v>650</v>
      </c>
      <c r="K71" s="658"/>
      <c r="L71" s="38"/>
      <c r="M71" s="351" t="s">
        <v>658</v>
      </c>
      <c r="N71" s="774"/>
      <c r="O71" s="501" t="s">
        <v>660</v>
      </c>
      <c r="P71" s="351" t="s">
        <v>231</v>
      </c>
      <c r="Q71" s="655"/>
      <c r="R71" s="655"/>
      <c r="S71" s="655"/>
      <c r="T71" s="351" t="s">
        <v>661</v>
      </c>
      <c r="U71" s="359"/>
      <c r="V71" s="913" t="s">
        <v>234</v>
      </c>
      <c r="W71" s="143"/>
      <c r="X71" s="38"/>
      <c r="Y71" s="249" t="s">
        <v>677</v>
      </c>
      <c r="Z71" s="156"/>
      <c r="AA71" s="156"/>
      <c r="AB71" s="728" t="s">
        <v>613</v>
      </c>
      <c r="AC71" s="914" t="s">
        <v>45</v>
      </c>
      <c r="AD71" s="915" t="s">
        <v>166</v>
      </c>
      <c r="AE71" s="658"/>
      <c r="AF71" s="658"/>
      <c r="AG71" s="38"/>
      <c r="AH71" s="711"/>
      <c r="AI71" s="711"/>
      <c r="AJ71" s="711"/>
      <c r="AK71" s="711"/>
      <c r="AL71" s="711"/>
      <c r="AM71" s="711"/>
      <c r="AN71" s="38"/>
      <c r="AO71" s="655"/>
      <c r="AP71" s="655"/>
      <c r="AQ71" s="916" t="s">
        <v>219</v>
      </c>
      <c r="AR71" s="660"/>
      <c r="AS71" s="917"/>
      <c r="AT71" s="655"/>
      <c r="AU71" s="746"/>
      <c r="AV71" s="163" t="str">
        <f t="array" ref="AV71">TEXTJOIN(" | ", 1, A72:AS72)</f>
        <v>300 | 318 | 321 | 303 | 101 | 301 | 304 (ONLY ON 25/04) | 421 | 314 | 103 | 316 | 308 (320 ON 25/04) | 317 | 312 | 104 (106 TILL 10/04)</v>
      </c>
      <c r="AW71" s="163"/>
      <c r="AX71" s="163"/>
      <c r="AY71" s="163"/>
    </row>
    <row r="72">
      <c r="A72" s="44"/>
      <c r="B72" s="669"/>
      <c r="C72" s="244">
        <v>300.0</v>
      </c>
      <c r="D72" s="675"/>
      <c r="E72" s="458">
        <v>318.0</v>
      </c>
      <c r="F72" s="458">
        <v>321.0</v>
      </c>
      <c r="G72" s="244">
        <v>303.0</v>
      </c>
      <c r="H72" s="668"/>
      <c r="I72" s="668"/>
      <c r="J72" s="458">
        <v>101.0</v>
      </c>
      <c r="K72" s="675"/>
      <c r="L72" s="44"/>
      <c r="M72" s="342">
        <v>301.0</v>
      </c>
      <c r="N72" s="691"/>
      <c r="O72" s="918" t="s">
        <v>678</v>
      </c>
      <c r="P72" s="342">
        <v>421.0</v>
      </c>
      <c r="Q72" s="675"/>
      <c r="R72" s="667"/>
      <c r="S72" s="667"/>
      <c r="T72" s="342">
        <v>314.0</v>
      </c>
      <c r="U72" s="177"/>
      <c r="V72" s="890">
        <v>103.0</v>
      </c>
      <c r="W72" s="143"/>
      <c r="X72" s="44"/>
      <c r="Y72" s="902">
        <v>316.0</v>
      </c>
      <c r="Z72" s="172"/>
      <c r="AA72" s="172"/>
      <c r="AB72" s="731" t="s">
        <v>679</v>
      </c>
      <c r="AC72" s="919">
        <v>317.0</v>
      </c>
      <c r="AD72" s="920">
        <v>312.0</v>
      </c>
      <c r="AE72" s="669"/>
      <c r="AF72" s="669"/>
      <c r="AG72" s="44"/>
      <c r="AH72" s="718"/>
      <c r="AI72" s="718"/>
      <c r="AJ72" s="718"/>
      <c r="AK72" s="718"/>
      <c r="AL72" s="718"/>
      <c r="AM72" s="718"/>
      <c r="AN72" s="44"/>
      <c r="AO72" s="655"/>
      <c r="AP72" s="655"/>
      <c r="AQ72" s="921" t="s">
        <v>680</v>
      </c>
      <c r="AR72" s="730"/>
      <c r="AS72" s="922"/>
      <c r="AT72" s="675"/>
      <c r="AU72" s="691"/>
      <c r="AV72" s="178" t="str">
        <f>IFERROR(__xludf.DUMMYFUNCTION("TEXTJOIN("" / "", 1, SORT(UNIQUE(TRANSPOSE(SPLIT(TRIM(REGEXREPLACE(AV71,""([0-9]{3}[a-zA-Z]?)|."",""$1 "")), "" "")))))"),"101 / 103 / 104 / 106 / 300 / 301 / 303 / 304 / 308 / 312 / 314 / 316 / 317 / 318 / 320 / 321 / 421")</f>
        <v>101 / 103 / 104 / 106 / 300 / 301 / 303 / 304 / 308 / 312 / 314 / 316 / 317 / 318 / 320 / 321 / 421</v>
      </c>
      <c r="AW72" s="163"/>
      <c r="AX72" s="164">
        <v>320.0</v>
      </c>
      <c r="AY72" s="163"/>
    </row>
    <row r="73">
      <c r="A73" s="623" t="s">
        <v>64</v>
      </c>
      <c r="B73" s="720" t="s">
        <v>331</v>
      </c>
      <c r="C73" s="640"/>
      <c r="D73" s="720" t="s">
        <v>331</v>
      </c>
      <c r="E73" s="640"/>
      <c r="F73" s="640"/>
      <c r="G73" s="640"/>
      <c r="H73" s="720" t="s">
        <v>331</v>
      </c>
      <c r="I73" s="640"/>
      <c r="J73" s="640"/>
      <c r="K73" s="720" t="s">
        <v>331</v>
      </c>
      <c r="L73" s="498" t="s">
        <v>185</v>
      </c>
      <c r="M73" s="923"/>
      <c r="N73" s="904"/>
      <c r="O73" s="329" t="s">
        <v>649</v>
      </c>
      <c r="P73" s="499" t="s">
        <v>379</v>
      </c>
      <c r="Q73" s="897"/>
      <c r="R73" s="904"/>
      <c r="S73" s="641"/>
      <c r="T73" s="904"/>
      <c r="U73" s="641"/>
      <c r="V73" s="641"/>
      <c r="W73" s="642"/>
      <c r="X73" s="623" t="s">
        <v>184</v>
      </c>
      <c r="Y73" s="640"/>
      <c r="Z73" s="641"/>
      <c r="AA73" s="641"/>
      <c r="AB73" s="641"/>
      <c r="AC73" s="906" t="s">
        <v>325</v>
      </c>
      <c r="AD73" s="641"/>
      <c r="AE73" s="907" t="s">
        <v>326</v>
      </c>
      <c r="AF73" s="641"/>
      <c r="AG73" s="623" t="s">
        <v>615</v>
      </c>
      <c r="AH73" s="698"/>
      <c r="AI73" s="698"/>
      <c r="AJ73" s="698"/>
      <c r="AK73" s="698"/>
      <c r="AL73" s="698"/>
      <c r="AM73" s="698"/>
      <c r="AN73" s="623" t="s">
        <v>64</v>
      </c>
      <c r="AO73" s="698"/>
      <c r="AP73" s="698"/>
      <c r="AQ73" s="227"/>
      <c r="AR73" s="143"/>
      <c r="AS73" s="650"/>
      <c r="AT73" s="924"/>
      <c r="AU73" s="234"/>
      <c r="AV73" s="258"/>
      <c r="AW73" s="258"/>
      <c r="AX73" s="258"/>
      <c r="AY73" s="258"/>
    </row>
    <row r="74">
      <c r="A74" s="38"/>
      <c r="B74" s="910" t="s">
        <v>283</v>
      </c>
      <c r="C74" s="697"/>
      <c r="D74" s="910" t="s">
        <v>338</v>
      </c>
      <c r="E74" s="655"/>
      <c r="F74" s="658"/>
      <c r="G74" s="655"/>
      <c r="H74" s="912" t="s">
        <v>179</v>
      </c>
      <c r="I74" s="697"/>
      <c r="J74" s="658"/>
      <c r="K74" s="911" t="s">
        <v>650</v>
      </c>
      <c r="L74" s="38"/>
      <c r="M74" s="658"/>
      <c r="N74" s="359"/>
      <c r="O74" s="351" t="s">
        <v>659</v>
      </c>
      <c r="P74" s="501" t="s">
        <v>660</v>
      </c>
      <c r="Q74" s="161"/>
      <c r="R74" s="359"/>
      <c r="S74" s="658"/>
      <c r="T74" s="359"/>
      <c r="U74" s="658"/>
      <c r="V74" s="856"/>
      <c r="W74" s="655"/>
      <c r="X74" s="38"/>
      <c r="Y74" s="658"/>
      <c r="Z74" s="658"/>
      <c r="AA74" s="658"/>
      <c r="AB74" s="658"/>
      <c r="AC74" s="925" t="s">
        <v>200</v>
      </c>
      <c r="AD74" s="658"/>
      <c r="AE74" s="926" t="s">
        <v>166</v>
      </c>
      <c r="AF74" s="658"/>
      <c r="AG74" s="38"/>
      <c r="AH74" s="711"/>
      <c r="AI74" s="711"/>
      <c r="AJ74" s="711"/>
      <c r="AK74" s="711"/>
      <c r="AL74" s="711"/>
      <c r="AM74" s="711"/>
      <c r="AN74" s="38"/>
      <c r="AO74" s="655"/>
      <c r="AP74" s="655"/>
      <c r="AQ74" s="234"/>
      <c r="AR74" s="143"/>
      <c r="AS74" s="663"/>
      <c r="AT74" s="924"/>
      <c r="AU74" s="234"/>
      <c r="AV74" s="163" t="str">
        <f t="array" ref="AV74">TEXTJOIN(" | ", 1, A75:AS75)</f>
        <v>300 | 303 | 321 | 101 | 314 | 304 (ONLY ON 25/04) | 317 | 312</v>
      </c>
      <c r="AW74" s="258"/>
      <c r="AX74" s="258"/>
      <c r="AY74" s="258"/>
    </row>
    <row r="75">
      <c r="A75" s="44"/>
      <c r="B75" s="244">
        <v>300.0</v>
      </c>
      <c r="C75" s="669"/>
      <c r="D75" s="244">
        <v>303.0</v>
      </c>
      <c r="E75" s="675"/>
      <c r="F75" s="675"/>
      <c r="G75" s="675"/>
      <c r="H75" s="458">
        <v>321.0</v>
      </c>
      <c r="I75" s="669"/>
      <c r="J75" s="675"/>
      <c r="K75" s="458">
        <v>101.0</v>
      </c>
      <c r="L75" s="44"/>
      <c r="M75" s="675"/>
      <c r="N75" s="177"/>
      <c r="O75" s="342">
        <v>314.0</v>
      </c>
      <c r="P75" s="918" t="s">
        <v>678</v>
      </c>
      <c r="Q75" s="177"/>
      <c r="R75" s="177"/>
      <c r="S75" s="669"/>
      <c r="T75" s="177"/>
      <c r="U75" s="669"/>
      <c r="V75" s="669"/>
      <c r="W75" s="668"/>
      <c r="X75" s="44"/>
      <c r="Y75" s="669"/>
      <c r="Z75" s="669"/>
      <c r="AA75" s="669"/>
      <c r="AB75" s="669"/>
      <c r="AC75" s="919">
        <v>317.0</v>
      </c>
      <c r="AD75" s="669"/>
      <c r="AE75" s="920">
        <v>312.0</v>
      </c>
      <c r="AF75" s="669"/>
      <c r="AG75" s="44"/>
      <c r="AH75" s="718"/>
      <c r="AI75" s="718"/>
      <c r="AJ75" s="718"/>
      <c r="AK75" s="718"/>
      <c r="AL75" s="718"/>
      <c r="AM75" s="718"/>
      <c r="AN75" s="44"/>
      <c r="AO75" s="655"/>
      <c r="AP75" s="655"/>
      <c r="AQ75" s="240"/>
      <c r="AR75" s="143"/>
      <c r="AS75" s="674"/>
      <c r="AT75" s="927"/>
      <c r="AU75" s="240"/>
      <c r="AV75" s="178" t="str">
        <f>IFERROR(__xludf.DUMMYFUNCTION("TEXTJOIN("" / "", 1, SORT(UNIQUE(TRANSPOSE(SPLIT(TRIM(REGEXREPLACE(AV74,""([0-9]{3}[a-zA-Z]?)|."",""$1 "")), "" "")))))"),"101 / 300 / 303 / 304 / 312 / 314 / 317 / 321")</f>
        <v>101 / 300 / 303 / 304 / 312 / 314 / 317 / 321</v>
      </c>
      <c r="AW75" s="163"/>
      <c r="AX75" s="164">
        <v>320.0</v>
      </c>
      <c r="AY75" s="163"/>
    </row>
    <row r="76">
      <c r="A76" s="623" t="s">
        <v>66</v>
      </c>
      <c r="B76" s="640"/>
      <c r="C76" s="640"/>
      <c r="D76" s="640"/>
      <c r="E76" s="733"/>
      <c r="F76" s="640"/>
      <c r="G76" s="642"/>
      <c r="H76" s="640"/>
      <c r="I76" s="720" t="s">
        <v>331</v>
      </c>
      <c r="J76" s="640"/>
      <c r="K76" s="640"/>
      <c r="L76" s="498" t="s">
        <v>192</v>
      </c>
      <c r="M76" s="928"/>
      <c r="N76" s="928"/>
      <c r="O76" s="928"/>
      <c r="P76" s="928"/>
      <c r="Q76" s="928"/>
      <c r="R76" s="928"/>
      <c r="S76" s="928"/>
      <c r="T76" s="928"/>
      <c r="U76" s="928"/>
      <c r="V76" s="928"/>
      <c r="W76" s="928"/>
      <c r="X76" s="623" t="s">
        <v>191</v>
      </c>
      <c r="Y76" s="640"/>
      <c r="Z76" s="641"/>
      <c r="AA76" s="641"/>
      <c r="AB76" s="641"/>
      <c r="AC76" s="641"/>
      <c r="AD76" s="641"/>
      <c r="AE76" s="641"/>
      <c r="AF76" s="641"/>
      <c r="AG76" s="623" t="s">
        <v>616</v>
      </c>
      <c r="AH76" s="698"/>
      <c r="AI76" s="698"/>
      <c r="AJ76" s="698"/>
      <c r="AK76" s="698"/>
      <c r="AL76" s="698"/>
      <c r="AM76" s="698"/>
      <c r="AN76" s="623" t="s">
        <v>66</v>
      </c>
      <c r="AO76" s="651"/>
      <c r="AP76" s="651"/>
      <c r="AQ76" s="227"/>
      <c r="AR76" s="640"/>
      <c r="AS76" s="650"/>
      <c r="AT76" s="924"/>
      <c r="AU76" s="234"/>
      <c r="AV76" s="258"/>
      <c r="AW76" s="258"/>
      <c r="AX76" s="258"/>
      <c r="AY76" s="258"/>
    </row>
    <row r="77">
      <c r="A77" s="38"/>
      <c r="B77" s="697"/>
      <c r="C77" s="697"/>
      <c r="D77" s="655"/>
      <c r="E77" s="701"/>
      <c r="F77" s="697"/>
      <c r="G77" s="658"/>
      <c r="H77" s="658"/>
      <c r="I77" s="910" t="s">
        <v>338</v>
      </c>
      <c r="J77" s="678"/>
      <c r="K77" s="697"/>
      <c r="L77" s="38"/>
      <c r="M77" s="929"/>
      <c r="N77" s="929"/>
      <c r="O77" s="929"/>
      <c r="P77" s="929"/>
      <c r="Q77" s="929"/>
      <c r="R77" s="929"/>
      <c r="S77" s="929"/>
      <c r="T77" s="929"/>
      <c r="U77" s="929"/>
      <c r="V77" s="929"/>
      <c r="W77" s="929"/>
      <c r="X77" s="38"/>
      <c r="Y77" s="658"/>
      <c r="Z77" s="658"/>
      <c r="AA77" s="658"/>
      <c r="AB77" s="658"/>
      <c r="AC77" s="658"/>
      <c r="AD77" s="658"/>
      <c r="AE77" s="658"/>
      <c r="AF77" s="658"/>
      <c r="AG77" s="38"/>
      <c r="AH77" s="711"/>
      <c r="AI77" s="711"/>
      <c r="AJ77" s="711"/>
      <c r="AK77" s="711"/>
      <c r="AL77" s="711"/>
      <c r="AM77" s="711"/>
      <c r="AN77" s="38"/>
      <c r="AO77" s="655"/>
      <c r="AP77" s="655"/>
      <c r="AQ77" s="234"/>
      <c r="AR77" s="658"/>
      <c r="AS77" s="663"/>
      <c r="AT77" s="924"/>
      <c r="AU77" s="234"/>
      <c r="AV77" s="163" t="str">
        <f t="array" ref="AV77">TEXTJOIN(" | ", 1, A78:AS78)</f>
        <v>303</v>
      </c>
      <c r="AW77" s="258"/>
      <c r="AX77" s="258"/>
      <c r="AY77" s="258"/>
    </row>
    <row r="78">
      <c r="A78" s="44"/>
      <c r="B78" s="669"/>
      <c r="C78" s="669"/>
      <c r="D78" s="675"/>
      <c r="E78" s="675"/>
      <c r="F78" s="669"/>
      <c r="G78" s="668"/>
      <c r="H78" s="675"/>
      <c r="I78" s="930">
        <v>303.0</v>
      </c>
      <c r="J78" s="669"/>
      <c r="K78" s="669"/>
      <c r="L78" s="44"/>
      <c r="M78" s="931"/>
      <c r="N78" s="931"/>
      <c r="O78" s="931"/>
      <c r="P78" s="931"/>
      <c r="Q78" s="931"/>
      <c r="R78" s="931"/>
      <c r="S78" s="931"/>
      <c r="T78" s="931"/>
      <c r="U78" s="931"/>
      <c r="V78" s="931"/>
      <c r="W78" s="931"/>
      <c r="X78" s="44"/>
      <c r="Y78" s="669"/>
      <c r="Z78" s="669"/>
      <c r="AA78" s="669"/>
      <c r="AB78" s="669"/>
      <c r="AC78" s="669"/>
      <c r="AD78" s="669"/>
      <c r="AE78" s="669"/>
      <c r="AF78" s="669"/>
      <c r="AG78" s="44"/>
      <c r="AH78" s="718"/>
      <c r="AI78" s="718"/>
      <c r="AJ78" s="718"/>
      <c r="AK78" s="718"/>
      <c r="AL78" s="718"/>
      <c r="AM78" s="718"/>
      <c r="AN78" s="44"/>
      <c r="AO78" s="675"/>
      <c r="AP78" s="675"/>
      <c r="AQ78" s="240"/>
      <c r="AR78" s="675"/>
      <c r="AS78" s="674"/>
      <c r="AT78" s="924"/>
      <c r="AU78" s="234"/>
      <c r="AV78" s="178" t="str">
        <f>IFERROR(__xludf.DUMMYFUNCTION("TEXTJOIN("" / "", 1, SORT(UNIQUE(TRANSPOSE(SPLIT(TRIM(REGEXREPLACE(AV77,""([0-9]{3}[a-zA-Z]?)|."",""$1 "")), "" "")))))"),"303")</f>
        <v>303</v>
      </c>
      <c r="AW78" s="164" t="s">
        <v>681</v>
      </c>
      <c r="AX78" s="164"/>
      <c r="AY78" s="163"/>
    </row>
    <row r="79">
      <c r="A79" s="633" t="s">
        <v>92</v>
      </c>
      <c r="B79" s="749"/>
      <c r="C79" s="3"/>
      <c r="D79" s="3"/>
      <c r="E79" s="3"/>
      <c r="F79" s="3"/>
      <c r="G79" s="3"/>
      <c r="H79" s="3"/>
      <c r="I79" s="4"/>
      <c r="J79" s="636"/>
      <c r="K79" s="932"/>
      <c r="L79" s="633" t="s">
        <v>92</v>
      </c>
      <c r="M79" s="748"/>
      <c r="N79" s="7"/>
      <c r="O79" s="7"/>
      <c r="P79" s="7"/>
      <c r="Q79" s="7"/>
      <c r="R79" s="7"/>
      <c r="S79" s="7"/>
      <c r="T79" s="7"/>
      <c r="U79" s="7"/>
      <c r="V79" s="7"/>
      <c r="W79" s="8"/>
      <c r="X79" s="633" t="s">
        <v>92</v>
      </c>
      <c r="Y79" s="636"/>
      <c r="Z79" s="3"/>
      <c r="AA79" s="3"/>
      <c r="AB79" s="3"/>
      <c r="AC79" s="3"/>
      <c r="AD79" s="3"/>
      <c r="AE79" s="3"/>
      <c r="AF79" s="4"/>
      <c r="AG79" s="633" t="s">
        <v>92</v>
      </c>
      <c r="AH79" s="748"/>
      <c r="AI79" s="7"/>
      <c r="AJ79" s="7"/>
      <c r="AK79" s="7"/>
      <c r="AL79" s="7"/>
      <c r="AM79" s="8"/>
      <c r="AN79" s="633" t="s">
        <v>92</v>
      </c>
      <c r="AO79" s="636"/>
      <c r="AP79" s="3"/>
      <c r="AQ79" s="3"/>
      <c r="AR79" s="3"/>
      <c r="AS79" s="4"/>
      <c r="AT79" s="749"/>
      <c r="AU79" s="4"/>
      <c r="AV79" s="151"/>
      <c r="AW79" s="151"/>
      <c r="AX79" s="151"/>
      <c r="AY79" s="151"/>
    </row>
    <row r="80">
      <c r="A80" s="623" t="s">
        <v>39</v>
      </c>
      <c r="B80" s="933" t="s">
        <v>352</v>
      </c>
      <c r="K80" s="23"/>
      <c r="L80" s="498" t="s">
        <v>130</v>
      </c>
      <c r="M80" s="640"/>
      <c r="N80" s="640"/>
      <c r="O80" s="640"/>
      <c r="P80" s="640"/>
      <c r="Q80" s="640"/>
      <c r="R80" s="793" t="s">
        <v>353</v>
      </c>
      <c r="S80" s="8"/>
      <c r="T80" s="640"/>
      <c r="U80" s="640"/>
      <c r="V80" s="934" t="s">
        <v>353</v>
      </c>
      <c r="W80" s="324"/>
      <c r="X80" s="623" t="s">
        <v>128</v>
      </c>
      <c r="Y80" s="324"/>
      <c r="Z80" s="324"/>
      <c r="AA80" s="324"/>
      <c r="AB80" s="935" t="s">
        <v>682</v>
      </c>
      <c r="AC80" s="936" t="s">
        <v>241</v>
      </c>
      <c r="AE80" s="23"/>
      <c r="AF80" s="324"/>
      <c r="AG80" s="623" t="s">
        <v>594</v>
      </c>
      <c r="AH80" s="698"/>
      <c r="AI80" s="698"/>
      <c r="AJ80" s="698"/>
      <c r="AK80" s="698"/>
      <c r="AL80" s="698"/>
      <c r="AM80" s="698"/>
      <c r="AN80" s="623" t="s">
        <v>39</v>
      </c>
      <c r="AO80" s="651"/>
      <c r="AP80" s="651"/>
      <c r="AQ80" s="937"/>
      <c r="AR80" s="733"/>
      <c r="AS80" s="938" t="s">
        <v>683</v>
      </c>
      <c r="AT80" s="651"/>
      <c r="AU80" s="939"/>
      <c r="AV80" s="258"/>
      <c r="AW80" s="258"/>
      <c r="AX80" s="258"/>
      <c r="AY80" s="258"/>
    </row>
    <row r="81">
      <c r="A81" s="38"/>
      <c r="B81" s="463" t="s">
        <v>204</v>
      </c>
      <c r="K81" s="23"/>
      <c r="L81" s="38"/>
      <c r="M81" s="658"/>
      <c r="N81" s="658"/>
      <c r="O81" s="658"/>
      <c r="P81" s="658"/>
      <c r="Q81" s="658"/>
      <c r="R81" s="940" t="s">
        <v>136</v>
      </c>
      <c r="S81" s="23"/>
      <c r="T81" s="658"/>
      <c r="U81" s="658"/>
      <c r="V81" s="941" t="s">
        <v>136</v>
      </c>
      <c r="W81" s="324"/>
      <c r="X81" s="38"/>
      <c r="Y81" s="324"/>
      <c r="Z81" s="324"/>
      <c r="AA81" s="324"/>
      <c r="AB81" s="255" t="s">
        <v>169</v>
      </c>
      <c r="AC81" s="942" t="s">
        <v>684</v>
      </c>
      <c r="AE81" s="23"/>
      <c r="AF81" s="324"/>
      <c r="AG81" s="38"/>
      <c r="AH81" s="711"/>
      <c r="AI81" s="711"/>
      <c r="AJ81" s="711"/>
      <c r="AK81" s="711"/>
      <c r="AL81" s="711"/>
      <c r="AM81" s="711"/>
      <c r="AN81" s="38"/>
      <c r="AO81" s="655"/>
      <c r="AP81" s="655"/>
      <c r="AQ81" s="701"/>
      <c r="AR81" s="660"/>
      <c r="AS81" s="943" t="s">
        <v>685</v>
      </c>
      <c r="AT81" s="655"/>
      <c r="AU81" s="746"/>
      <c r="AV81" s="163" t="str">
        <f t="array" ref="AV81">TEXTJOIN(" | ", 1, A82:AS82)</f>
        <v>108 | ONLINE | ONLINE | Online | 106 | 102</v>
      </c>
      <c r="AW81" s="258"/>
      <c r="AX81" s="258"/>
      <c r="AY81" s="258"/>
    </row>
    <row r="82">
      <c r="A82" s="44"/>
      <c r="B82" s="944">
        <v>108.0</v>
      </c>
      <c r="C82" s="46"/>
      <c r="D82" s="46"/>
      <c r="E82" s="46"/>
      <c r="F82" s="46"/>
      <c r="G82" s="46"/>
      <c r="H82" s="46"/>
      <c r="I82" s="46"/>
      <c r="J82" s="46"/>
      <c r="K82" s="47"/>
      <c r="L82" s="44"/>
      <c r="M82" s="675"/>
      <c r="N82" s="675"/>
      <c r="O82" s="675"/>
      <c r="P82" s="675"/>
      <c r="Q82" s="675"/>
      <c r="R82" s="945" t="s">
        <v>137</v>
      </c>
      <c r="S82" s="47"/>
      <c r="T82" s="675"/>
      <c r="U82" s="675"/>
      <c r="V82" s="946" t="s">
        <v>137</v>
      </c>
      <c r="W82" s="821"/>
      <c r="X82" s="44"/>
      <c r="Y82" s="821"/>
      <c r="Z82" s="821"/>
      <c r="AA82" s="821"/>
      <c r="AB82" s="947" t="s">
        <v>250</v>
      </c>
      <c r="AC82" s="948">
        <v>106.0</v>
      </c>
      <c r="AD82" s="46"/>
      <c r="AE82" s="47"/>
      <c r="AF82" s="821"/>
      <c r="AG82" s="44"/>
      <c r="AH82" s="718"/>
      <c r="AI82" s="718"/>
      <c r="AJ82" s="718"/>
      <c r="AK82" s="718"/>
      <c r="AL82" s="718"/>
      <c r="AM82" s="718"/>
      <c r="AN82" s="44"/>
      <c r="AO82" s="675"/>
      <c r="AP82" s="675"/>
      <c r="AQ82" s="730"/>
      <c r="AR82" s="675"/>
      <c r="AS82" s="949">
        <v>102.0</v>
      </c>
      <c r="AT82" s="675"/>
      <c r="AU82" s="691"/>
      <c r="AV82" s="178" t="str">
        <f>IFERROR(__xludf.DUMMYFUNCTION("TEXTJOIN("" / "", 1, SORT(UNIQUE(TRANSPOSE(SPLIT(TRIM(REGEXREPLACE(AV81,""([0-9]{3}[a-zA-Z]?)|."",""$1 "")), "" "")))))"),"102 / 106 / 108")</f>
        <v>102 / 106 / 108</v>
      </c>
      <c r="AW82" s="163"/>
      <c r="AX82" s="163"/>
      <c r="AY82" s="163"/>
    </row>
    <row r="83">
      <c r="A83" s="623" t="s">
        <v>49</v>
      </c>
      <c r="B83" s="933" t="s">
        <v>352</v>
      </c>
      <c r="K83" s="23"/>
      <c r="L83" s="498" t="s">
        <v>145</v>
      </c>
      <c r="M83" s="950" t="s">
        <v>367</v>
      </c>
      <c r="N83" s="7"/>
      <c r="O83" s="7"/>
      <c r="P83" s="7"/>
      <c r="Q83" s="7"/>
      <c r="R83" s="7"/>
      <c r="S83" s="7"/>
      <c r="T83" s="7"/>
      <c r="U83" s="8"/>
      <c r="V83" s="934" t="s">
        <v>357</v>
      </c>
      <c r="W83" s="324"/>
      <c r="X83" s="623" t="s">
        <v>139</v>
      </c>
      <c r="Y83" s="156"/>
      <c r="Z83" s="156"/>
      <c r="AA83" s="156"/>
      <c r="AB83" s="935" t="s">
        <v>682</v>
      </c>
      <c r="AC83" s="697"/>
      <c r="AD83" s="738"/>
      <c r="AE83" s="738"/>
      <c r="AF83" s="951" t="s">
        <v>335</v>
      </c>
      <c r="AG83" s="623" t="s">
        <v>601</v>
      </c>
      <c r="AH83" s="698"/>
      <c r="AI83" s="698"/>
      <c r="AJ83" s="698"/>
      <c r="AK83" s="698"/>
      <c r="AL83" s="698"/>
      <c r="AM83" s="698"/>
      <c r="AN83" s="623" t="s">
        <v>49</v>
      </c>
      <c r="AO83" s="651"/>
      <c r="AP83" s="651"/>
      <c r="AQ83" s="651"/>
      <c r="AR83" s="733"/>
      <c r="AS83" s="695" t="s">
        <v>686</v>
      </c>
      <c r="AT83" s="651"/>
      <c r="AU83" s="651"/>
      <c r="AV83" s="258"/>
      <c r="AW83" s="258"/>
      <c r="AX83" s="258"/>
      <c r="AY83" s="258"/>
    </row>
    <row r="84">
      <c r="A84" s="38"/>
      <c r="B84" s="463" t="s">
        <v>687</v>
      </c>
      <c r="K84" s="23"/>
      <c r="L84" s="38"/>
      <c r="M84" s="952" t="s">
        <v>371</v>
      </c>
      <c r="U84" s="23"/>
      <c r="V84" s="953" t="s">
        <v>78</v>
      </c>
      <c r="W84" s="324"/>
      <c r="X84" s="38"/>
      <c r="Y84" s="156"/>
      <c r="Z84" s="156"/>
      <c r="AA84" s="156"/>
      <c r="AB84" s="255" t="s">
        <v>169</v>
      </c>
      <c r="AC84" s="655"/>
      <c r="AD84" s="738"/>
      <c r="AE84" s="738"/>
      <c r="AF84" s="954" t="s">
        <v>341</v>
      </c>
      <c r="AG84" s="38"/>
      <c r="AH84" s="711"/>
      <c r="AI84" s="711"/>
      <c r="AJ84" s="711"/>
      <c r="AK84" s="711"/>
      <c r="AL84" s="711"/>
      <c r="AM84" s="711"/>
      <c r="AN84" s="38"/>
      <c r="AO84" s="655"/>
      <c r="AP84" s="655"/>
      <c r="AQ84" s="655"/>
      <c r="AR84" s="660"/>
      <c r="AS84" s="708" t="s">
        <v>688</v>
      </c>
      <c r="AT84" s="655"/>
      <c r="AU84" s="655"/>
      <c r="AV84" s="163" t="str">
        <f t="array" ref="AV84">TEXTJOIN(" | ", 1, A85:AS85)</f>
        <v>108 | 105 | 316 | Online | 104 | ONLINE (STARTS AT 11:00)</v>
      </c>
      <c r="AW84" s="258"/>
      <c r="AX84" s="258"/>
      <c r="AY84" s="258"/>
    </row>
    <row r="85">
      <c r="A85" s="44"/>
      <c r="B85" s="944">
        <v>108.0</v>
      </c>
      <c r="C85" s="46"/>
      <c r="D85" s="46"/>
      <c r="E85" s="46"/>
      <c r="F85" s="46"/>
      <c r="G85" s="46"/>
      <c r="H85" s="46"/>
      <c r="I85" s="46"/>
      <c r="J85" s="46"/>
      <c r="K85" s="47"/>
      <c r="L85" s="44"/>
      <c r="M85" s="955">
        <v>105.0</v>
      </c>
      <c r="N85" s="46"/>
      <c r="O85" s="46"/>
      <c r="P85" s="46"/>
      <c r="Q85" s="46"/>
      <c r="R85" s="46"/>
      <c r="S85" s="46"/>
      <c r="T85" s="46"/>
      <c r="U85" s="47"/>
      <c r="V85" s="946">
        <v>316.0</v>
      </c>
      <c r="W85" s="821"/>
      <c r="X85" s="44"/>
      <c r="Y85" s="172"/>
      <c r="Z85" s="172"/>
      <c r="AA85" s="172"/>
      <c r="AB85" s="947" t="s">
        <v>250</v>
      </c>
      <c r="AC85" s="675"/>
      <c r="AD85" s="742"/>
      <c r="AE85" s="742"/>
      <c r="AF85" s="956">
        <v>104.0</v>
      </c>
      <c r="AG85" s="44"/>
      <c r="AH85" s="718"/>
      <c r="AI85" s="718"/>
      <c r="AJ85" s="718"/>
      <c r="AK85" s="718"/>
      <c r="AL85" s="718"/>
      <c r="AM85" s="718"/>
      <c r="AN85" s="44"/>
      <c r="AO85" s="675"/>
      <c r="AP85" s="675"/>
      <c r="AQ85" s="675"/>
      <c r="AR85" s="675"/>
      <c r="AS85" s="670" t="s">
        <v>689</v>
      </c>
      <c r="AT85" s="675"/>
      <c r="AU85" s="675"/>
      <c r="AV85" s="178" t="str">
        <f>IFERROR(__xludf.DUMMYFUNCTION("TEXTJOIN("" / "", 1, SORT(UNIQUE(TRANSPOSE(SPLIT(TRIM(REGEXREPLACE(AV84,""([0-9]{3}[a-zA-Z]?)|."",""$1 "")), "" "")))))"),"104 / 105 / 108 / 316")</f>
        <v>104 / 105 / 108 / 316</v>
      </c>
      <c r="AW85" s="164">
        <v>305.0</v>
      </c>
      <c r="AX85" s="164"/>
      <c r="AY85" s="163"/>
    </row>
    <row r="86">
      <c r="A86" s="623" t="s">
        <v>51</v>
      </c>
      <c r="B86" s="584" t="s">
        <v>690</v>
      </c>
      <c r="C86" s="227"/>
      <c r="D86" s="584" t="s">
        <v>690</v>
      </c>
      <c r="E86" s="957" t="s">
        <v>366</v>
      </c>
      <c r="F86" s="584" t="s">
        <v>157</v>
      </c>
      <c r="G86" s="957" t="s">
        <v>366</v>
      </c>
      <c r="H86" s="584" t="s">
        <v>157</v>
      </c>
      <c r="I86" s="957" t="s">
        <v>366</v>
      </c>
      <c r="J86" s="957" t="s">
        <v>366</v>
      </c>
      <c r="K86" s="584" t="s">
        <v>157</v>
      </c>
      <c r="L86" s="498" t="s">
        <v>162</v>
      </c>
      <c r="M86" s="950" t="s">
        <v>375</v>
      </c>
      <c r="N86" s="7"/>
      <c r="O86" s="7"/>
      <c r="P86" s="7"/>
      <c r="Q86" s="7"/>
      <c r="R86" s="7"/>
      <c r="S86" s="7"/>
      <c r="T86" s="7"/>
      <c r="U86" s="8"/>
      <c r="V86" s="324"/>
      <c r="W86" s="324"/>
      <c r="X86" s="623" t="s">
        <v>158</v>
      </c>
      <c r="Y86" s="324"/>
      <c r="Z86" s="324"/>
      <c r="AA86" s="324"/>
      <c r="AB86" s="324"/>
      <c r="AC86" s="738"/>
      <c r="AD86" s="143"/>
      <c r="AE86" s="738"/>
      <c r="AF86" s="951" t="s">
        <v>347</v>
      </c>
      <c r="AG86" s="623" t="s">
        <v>608</v>
      </c>
      <c r="AH86" s="641"/>
      <c r="AI86" s="641"/>
      <c r="AJ86" s="641"/>
      <c r="AK86" s="641"/>
      <c r="AL86" s="641"/>
      <c r="AM86" s="641"/>
      <c r="AN86" s="623" t="s">
        <v>51</v>
      </c>
      <c r="AO86" s="958"/>
      <c r="AP86" s="959"/>
      <c r="AQ86" s="640"/>
      <c r="AR86" s="960" t="s">
        <v>264</v>
      </c>
      <c r="AS86" s="159"/>
      <c r="AT86" s="651"/>
      <c r="AU86" s="651"/>
      <c r="AV86" s="258"/>
      <c r="AW86" s="258"/>
      <c r="AX86" s="258"/>
      <c r="AY86" s="258"/>
    </row>
    <row r="87">
      <c r="A87" s="38"/>
      <c r="B87" s="961" t="s">
        <v>625</v>
      </c>
      <c r="C87" s="234"/>
      <c r="D87" s="796" t="s">
        <v>625</v>
      </c>
      <c r="E87" s="962" t="s">
        <v>245</v>
      </c>
      <c r="F87" s="796" t="s">
        <v>625</v>
      </c>
      <c r="G87" s="962" t="s">
        <v>687</v>
      </c>
      <c r="H87" s="796" t="s">
        <v>625</v>
      </c>
      <c r="I87" s="962" t="s">
        <v>396</v>
      </c>
      <c r="J87" s="962" t="s">
        <v>370</v>
      </c>
      <c r="K87" s="796" t="s">
        <v>625</v>
      </c>
      <c r="L87" s="38"/>
      <c r="M87" s="952" t="s">
        <v>371</v>
      </c>
      <c r="U87" s="23"/>
      <c r="V87" s="324"/>
      <c r="W87" s="324"/>
      <c r="X87" s="38"/>
      <c r="Y87" s="324"/>
      <c r="Z87" s="324"/>
      <c r="AA87" s="324"/>
      <c r="AB87" s="324"/>
      <c r="AC87" s="738"/>
      <c r="AD87" s="143"/>
      <c r="AE87" s="738"/>
      <c r="AF87" s="954" t="s">
        <v>341</v>
      </c>
      <c r="AG87" s="38"/>
      <c r="AH87" s="658"/>
      <c r="AI87" s="658"/>
      <c r="AJ87" s="658"/>
      <c r="AK87" s="658"/>
      <c r="AL87" s="658"/>
      <c r="AM87" s="658"/>
      <c r="AN87" s="38"/>
      <c r="AO87" s="555"/>
      <c r="AP87" s="555"/>
      <c r="AQ87" s="658"/>
      <c r="AR87" s="963" t="s">
        <v>271</v>
      </c>
      <c r="AS87" s="159"/>
      <c r="AT87" s="655"/>
      <c r="AU87" s="655"/>
      <c r="AV87" s="163" t="str">
        <f t="array" ref="AV87">TEXTJOIN(" | ", 1, A88:AS88)</f>
        <v>106/301/316/320/321/421 | 106/301/316/320/321/421 | 300 | 106/301/316/320/321/421 | 303 | 106/301/316/320/321/421 | 101 | 318 | 106/301/316/320/321/421 | 105 | 104 | ONLINE</v>
      </c>
      <c r="AW87" s="258"/>
      <c r="AX87" s="258"/>
      <c r="AY87" s="258"/>
    </row>
    <row r="88">
      <c r="A88" s="44"/>
      <c r="B88" s="221" t="s">
        <v>691</v>
      </c>
      <c r="C88" s="240"/>
      <c r="D88" s="221" t="s">
        <v>691</v>
      </c>
      <c r="E88" s="446">
        <v>300.0</v>
      </c>
      <c r="F88" s="221" t="s">
        <v>691</v>
      </c>
      <c r="G88" s="446">
        <v>303.0</v>
      </c>
      <c r="H88" s="221" t="s">
        <v>691</v>
      </c>
      <c r="I88" s="964">
        <v>101.0</v>
      </c>
      <c r="J88" s="483">
        <v>318.0</v>
      </c>
      <c r="K88" s="221" t="s">
        <v>691</v>
      </c>
      <c r="L88" s="44"/>
      <c r="M88" s="955">
        <v>105.0</v>
      </c>
      <c r="N88" s="46"/>
      <c r="O88" s="46"/>
      <c r="P88" s="46"/>
      <c r="Q88" s="46"/>
      <c r="R88" s="46"/>
      <c r="S88" s="46"/>
      <c r="T88" s="46"/>
      <c r="U88" s="47"/>
      <c r="V88" s="821"/>
      <c r="W88" s="821"/>
      <c r="X88" s="44"/>
      <c r="Y88" s="821"/>
      <c r="Z88" s="821"/>
      <c r="AA88" s="821"/>
      <c r="AB88" s="821"/>
      <c r="AC88" s="742"/>
      <c r="AD88" s="965"/>
      <c r="AE88" s="742"/>
      <c r="AF88" s="956">
        <v>104.0</v>
      </c>
      <c r="AG88" s="44"/>
      <c r="AH88" s="669"/>
      <c r="AI88" s="669"/>
      <c r="AJ88" s="669"/>
      <c r="AK88" s="669"/>
      <c r="AL88" s="669"/>
      <c r="AM88" s="669"/>
      <c r="AN88" s="44"/>
      <c r="AO88" s="323"/>
      <c r="AP88" s="323"/>
      <c r="AQ88" s="658"/>
      <c r="AR88" s="966" t="s">
        <v>137</v>
      </c>
      <c r="AS88" s="175"/>
      <c r="AT88" s="675"/>
      <c r="AU88" s="675"/>
      <c r="AV88" s="178" t="str">
        <f>IFERROR(__xludf.DUMMYFUNCTION("TEXTJOIN("" / "", 1, SORT(UNIQUE(TRANSPOSE(SPLIT(TRIM(REGEXREPLACE(AV87,""([0-9]{3}[a-zA-Z]?)|."",""$1 "")), "" "")))))"),"101 / 104 / 105 / 106 / 300 / 301 / 303 / 316 / 318 / 320 / 321 / 421")</f>
        <v>101 / 104 / 105 / 106 / 300 / 301 / 303 / 316 / 318 / 320 / 321 / 421</v>
      </c>
      <c r="AW88" s="164">
        <v>305.0</v>
      </c>
      <c r="AX88" s="164"/>
      <c r="AY88" s="163"/>
    </row>
    <row r="89">
      <c r="A89" s="623" t="s">
        <v>59</v>
      </c>
      <c r="B89" s="227"/>
      <c r="C89" s="584" t="s">
        <v>690</v>
      </c>
      <c r="D89" s="957" t="s">
        <v>366</v>
      </c>
      <c r="E89" s="584" t="s">
        <v>157</v>
      </c>
      <c r="F89" s="957" t="s">
        <v>366</v>
      </c>
      <c r="G89" s="584" t="s">
        <v>157</v>
      </c>
      <c r="H89" s="161"/>
      <c r="I89" s="584" t="s">
        <v>157</v>
      </c>
      <c r="J89" s="584" t="s">
        <v>157</v>
      </c>
      <c r="K89" s="143"/>
      <c r="L89" s="498" t="s">
        <v>174</v>
      </c>
      <c r="M89" s="492" t="s">
        <v>379</v>
      </c>
      <c r="N89" s="156"/>
      <c r="O89" s="492" t="s">
        <v>379</v>
      </c>
      <c r="P89" s="156"/>
      <c r="Q89" s="967" t="s">
        <v>379</v>
      </c>
      <c r="R89" s="968" t="s">
        <v>357</v>
      </c>
      <c r="S89" s="969" t="s">
        <v>379</v>
      </c>
      <c r="T89" s="698"/>
      <c r="U89" s="928"/>
      <c r="V89" s="970" t="s">
        <v>692</v>
      </c>
      <c r="W89" s="324"/>
      <c r="X89" s="623" t="s">
        <v>172</v>
      </c>
      <c r="Y89" s="324"/>
      <c r="Z89" s="324"/>
      <c r="AA89" s="324"/>
      <c r="AB89" s="324"/>
      <c r="AC89" s="971" t="s">
        <v>209</v>
      </c>
      <c r="AD89" s="324"/>
      <c r="AE89" s="227"/>
      <c r="AF89" s="641"/>
      <c r="AG89" s="623" t="s">
        <v>611</v>
      </c>
      <c r="AH89" s="641"/>
      <c r="AI89" s="641"/>
      <c r="AJ89" s="641"/>
      <c r="AK89" s="641"/>
      <c r="AL89" s="641"/>
      <c r="AM89" s="641"/>
      <c r="AN89" s="623" t="s">
        <v>59</v>
      </c>
      <c r="AO89" s="958"/>
      <c r="AP89" s="959"/>
      <c r="AQ89" s="640"/>
      <c r="AR89" s="972" t="s">
        <v>281</v>
      </c>
      <c r="AS89" s="650"/>
      <c r="AT89" s="651"/>
      <c r="AU89" s="651"/>
      <c r="AV89" s="258"/>
      <c r="AW89" s="258"/>
      <c r="AX89" s="258"/>
      <c r="AY89" s="258"/>
    </row>
    <row r="90">
      <c r="A90" s="38"/>
      <c r="B90" s="234"/>
      <c r="C90" s="796" t="s">
        <v>625</v>
      </c>
      <c r="D90" s="962" t="s">
        <v>245</v>
      </c>
      <c r="E90" s="796" t="s">
        <v>625</v>
      </c>
      <c r="F90" s="962" t="s">
        <v>687</v>
      </c>
      <c r="G90" s="796" t="s">
        <v>625</v>
      </c>
      <c r="H90" s="973"/>
      <c r="I90" s="796" t="s">
        <v>625</v>
      </c>
      <c r="J90" s="796" t="s">
        <v>625</v>
      </c>
      <c r="K90" s="143"/>
      <c r="L90" s="38"/>
      <c r="M90" s="502" t="s">
        <v>56</v>
      </c>
      <c r="N90" s="156"/>
      <c r="O90" s="502" t="s">
        <v>660</v>
      </c>
      <c r="P90" s="156"/>
      <c r="Q90" s="974" t="s">
        <v>381</v>
      </c>
      <c r="R90" s="953" t="s">
        <v>78</v>
      </c>
      <c r="S90" s="589" t="s">
        <v>693</v>
      </c>
      <c r="T90" s="656"/>
      <c r="U90" s="929"/>
      <c r="V90" s="975" t="s">
        <v>339</v>
      </c>
      <c r="W90" s="324"/>
      <c r="X90" s="38"/>
      <c r="Y90" s="324"/>
      <c r="Z90" s="324"/>
      <c r="AA90" s="324"/>
      <c r="AB90" s="324"/>
      <c r="AC90" s="798" t="s">
        <v>219</v>
      </c>
      <c r="AD90" s="324"/>
      <c r="AE90" s="234"/>
      <c r="AF90" s="834"/>
      <c r="AG90" s="38"/>
      <c r="AH90" s="658"/>
      <c r="AI90" s="658"/>
      <c r="AJ90" s="658"/>
      <c r="AK90" s="658"/>
      <c r="AL90" s="658"/>
      <c r="AM90" s="658"/>
      <c r="AN90" s="38"/>
      <c r="AO90" s="555"/>
      <c r="AP90" s="555"/>
      <c r="AQ90" s="658"/>
      <c r="AR90" s="976" t="s">
        <v>271</v>
      </c>
      <c r="AS90" s="663"/>
      <c r="AT90" s="655"/>
      <c r="AU90" s="655"/>
      <c r="AV90" s="163" t="str">
        <f t="array" ref="AV90">TEXTJOIN(" | ", 1, A91:AS91)</f>
        <v>102/106/301/320/321/421 | 300 | 102/106/301/320/321/421 | 303 | 102/106/301/320/321/421 | 102/106/301/320/321/421 | 102/106/301/320/321/421 | 101 | 317 | 308 | 316 | 312 | 104 (ONLY ON 19/04) | 318 | ONLINE</v>
      </c>
      <c r="AW90" s="258"/>
      <c r="AX90" s="258"/>
      <c r="AY90" s="258"/>
    </row>
    <row r="91">
      <c r="A91" s="44"/>
      <c r="B91" s="240"/>
      <c r="C91" s="221" t="s">
        <v>694</v>
      </c>
      <c r="D91" s="446">
        <v>300.0</v>
      </c>
      <c r="E91" s="221" t="s">
        <v>694</v>
      </c>
      <c r="F91" s="446">
        <v>303.0</v>
      </c>
      <c r="G91" s="221" t="s">
        <v>694</v>
      </c>
      <c r="H91" s="177"/>
      <c r="I91" s="221" t="s">
        <v>694</v>
      </c>
      <c r="J91" s="221" t="s">
        <v>694</v>
      </c>
      <c r="K91" s="143"/>
      <c r="L91" s="44"/>
      <c r="M91" s="378">
        <v>101.0</v>
      </c>
      <c r="N91" s="172"/>
      <c r="O91" s="378">
        <v>317.0</v>
      </c>
      <c r="P91" s="172"/>
      <c r="Q91" s="590">
        <v>308.0</v>
      </c>
      <c r="R91" s="977">
        <v>316.0</v>
      </c>
      <c r="S91" s="590">
        <v>312.0</v>
      </c>
      <c r="T91" s="668"/>
      <c r="U91" s="931"/>
      <c r="V91" s="978" t="s">
        <v>695</v>
      </c>
      <c r="W91" s="821"/>
      <c r="X91" s="44"/>
      <c r="Y91" s="821"/>
      <c r="Z91" s="821"/>
      <c r="AA91" s="821"/>
      <c r="AB91" s="821"/>
      <c r="AC91" s="782">
        <v>318.0</v>
      </c>
      <c r="AD91" s="821"/>
      <c r="AE91" s="240"/>
      <c r="AF91" s="669"/>
      <c r="AG91" s="44"/>
      <c r="AH91" s="669"/>
      <c r="AI91" s="669"/>
      <c r="AJ91" s="669"/>
      <c r="AK91" s="669"/>
      <c r="AL91" s="669"/>
      <c r="AM91" s="669"/>
      <c r="AN91" s="44"/>
      <c r="AO91" s="323"/>
      <c r="AP91" s="323"/>
      <c r="AQ91" s="655"/>
      <c r="AR91" s="966" t="s">
        <v>137</v>
      </c>
      <c r="AS91" s="674"/>
      <c r="AT91" s="675"/>
      <c r="AU91" s="675"/>
      <c r="AV91" s="178" t="str">
        <f>IFERROR(__xludf.DUMMYFUNCTION("TEXTJOIN("" / "", 1, SORT(UNIQUE(TRANSPOSE(SPLIT(TRIM(REGEXREPLACE(AV90,""([0-9]{3}[a-zA-Z]?)|."",""$1 "")), "" "")))))"),"101 / 102 / 104 / 106 / 300 / 301 / 303 / 308 / 312 / 316 / 317 / 318 / 320 / 321 / 421")</f>
        <v>101 / 102 / 104 / 106 / 300 / 301 / 303 / 308 / 312 / 316 / 317 / 318 / 320 / 321 / 421</v>
      </c>
      <c r="AW91" s="164">
        <v>103.0</v>
      </c>
      <c r="AX91" s="164"/>
      <c r="AY91" s="163"/>
    </row>
    <row r="92">
      <c r="A92" s="623" t="s">
        <v>64</v>
      </c>
      <c r="B92" s="584" t="s">
        <v>157</v>
      </c>
      <c r="C92" s="584" t="s">
        <v>157</v>
      </c>
      <c r="D92" s="584" t="s">
        <v>157</v>
      </c>
      <c r="E92" s="584" t="s">
        <v>157</v>
      </c>
      <c r="F92" s="584" t="s">
        <v>157</v>
      </c>
      <c r="G92" s="584" t="s">
        <v>157</v>
      </c>
      <c r="H92" s="584" t="s">
        <v>157</v>
      </c>
      <c r="I92" s="584" t="s">
        <v>157</v>
      </c>
      <c r="J92" s="584" t="s">
        <v>157</v>
      </c>
      <c r="K92" s="584" t="s">
        <v>157</v>
      </c>
      <c r="L92" s="498" t="s">
        <v>185</v>
      </c>
      <c r="M92" s="156"/>
      <c r="N92" s="492" t="s">
        <v>379</v>
      </c>
      <c r="O92" s="156"/>
      <c r="P92" s="492" t="s">
        <v>379</v>
      </c>
      <c r="Q92" s="698"/>
      <c r="R92" s="969" t="s">
        <v>379</v>
      </c>
      <c r="S92" s="968" t="s">
        <v>357</v>
      </c>
      <c r="T92" s="969" t="s">
        <v>379</v>
      </c>
      <c r="U92" s="967" t="s">
        <v>379</v>
      </c>
      <c r="V92" s="970" t="s">
        <v>692</v>
      </c>
      <c r="W92" s="324"/>
      <c r="X92" s="623" t="s">
        <v>184</v>
      </c>
      <c r="Y92" s="324"/>
      <c r="Z92" s="324"/>
      <c r="AA92" s="324"/>
      <c r="AB92" s="324"/>
      <c r="AC92" s="324"/>
      <c r="AD92" s="324"/>
      <c r="AE92" s="971" t="s">
        <v>209</v>
      </c>
      <c r="AF92" s="641"/>
      <c r="AG92" s="623" t="s">
        <v>615</v>
      </c>
      <c r="AH92" s="641"/>
      <c r="AI92" s="641"/>
      <c r="AJ92" s="641"/>
      <c r="AK92" s="641"/>
      <c r="AL92" s="641"/>
      <c r="AM92" s="641"/>
      <c r="AN92" s="623" t="s">
        <v>64</v>
      </c>
      <c r="AO92" s="959"/>
      <c r="AP92" s="958"/>
      <c r="AQ92" s="651"/>
      <c r="AR92" s="651"/>
      <c r="AS92" s="650"/>
      <c r="AT92" s="651"/>
      <c r="AU92" s="651"/>
      <c r="AV92" s="258"/>
      <c r="AW92" s="258"/>
      <c r="AX92" s="258"/>
      <c r="AY92" s="258"/>
    </row>
    <row r="93">
      <c r="A93" s="38"/>
      <c r="B93" s="961" t="s">
        <v>625</v>
      </c>
      <c r="C93" s="796" t="s">
        <v>625</v>
      </c>
      <c r="D93" s="796" t="s">
        <v>625</v>
      </c>
      <c r="E93" s="796" t="s">
        <v>625</v>
      </c>
      <c r="F93" s="796" t="s">
        <v>625</v>
      </c>
      <c r="G93" s="796" t="s">
        <v>625</v>
      </c>
      <c r="H93" s="796" t="s">
        <v>625</v>
      </c>
      <c r="I93" s="796" t="s">
        <v>625</v>
      </c>
      <c r="J93" s="796" t="s">
        <v>625</v>
      </c>
      <c r="K93" s="796" t="s">
        <v>625</v>
      </c>
      <c r="L93" s="38"/>
      <c r="M93" s="156"/>
      <c r="N93" s="502" t="s">
        <v>56</v>
      </c>
      <c r="O93" s="156"/>
      <c r="P93" s="502" t="s">
        <v>660</v>
      </c>
      <c r="Q93" s="655"/>
      <c r="R93" s="979" t="s">
        <v>381</v>
      </c>
      <c r="S93" s="941" t="s">
        <v>152</v>
      </c>
      <c r="T93" s="589" t="s">
        <v>693</v>
      </c>
      <c r="U93" s="587" t="s">
        <v>383</v>
      </c>
      <c r="V93" s="975" t="s">
        <v>339</v>
      </c>
      <c r="W93" s="324"/>
      <c r="X93" s="38"/>
      <c r="Y93" s="324"/>
      <c r="Z93" s="324"/>
      <c r="AA93" s="324"/>
      <c r="AB93" s="324"/>
      <c r="AC93" s="324"/>
      <c r="AD93" s="324"/>
      <c r="AE93" s="798" t="s">
        <v>219</v>
      </c>
      <c r="AF93" s="834"/>
      <c r="AG93" s="38"/>
      <c r="AH93" s="658"/>
      <c r="AI93" s="658"/>
      <c r="AJ93" s="658"/>
      <c r="AK93" s="658"/>
      <c r="AL93" s="658"/>
      <c r="AM93" s="658"/>
      <c r="AN93" s="38"/>
      <c r="AO93" s="555"/>
      <c r="AP93" s="555"/>
      <c r="AQ93" s="655"/>
      <c r="AR93" s="655"/>
      <c r="AS93" s="663"/>
      <c r="AT93" s="655"/>
      <c r="AU93" s="655"/>
      <c r="AV93" s="300" t="str">
        <f t="array" ref="AV93">TEXTJOIN(" | ", 1, A94:AS94)</f>
        <v>102/106/301/321/421 | 102/106/301/321/421 | 102/106/301/321/421 | 102/106/301/321/421 | 102/106/301/321/421 | 102/106/301/321/421 | 102/106/301/321/421 | 102/106/301/321/421 | 102/106/301/321/421 | 102/106/301/321/421 | 101 | 317 | 308 | 316 | 312 | 303 | 104 (ONLY ON 19/04) | 318</v>
      </c>
      <c r="AW93" s="258"/>
      <c r="AX93" s="258"/>
      <c r="AY93" s="258"/>
    </row>
    <row r="94">
      <c r="A94" s="44"/>
      <c r="B94" s="221" t="s">
        <v>696</v>
      </c>
      <c r="C94" s="221" t="s">
        <v>696</v>
      </c>
      <c r="D94" s="221" t="s">
        <v>696</v>
      </c>
      <c r="E94" s="221" t="s">
        <v>696</v>
      </c>
      <c r="F94" s="221" t="s">
        <v>696</v>
      </c>
      <c r="G94" s="221" t="s">
        <v>696</v>
      </c>
      <c r="H94" s="221" t="s">
        <v>696</v>
      </c>
      <c r="I94" s="221" t="s">
        <v>696</v>
      </c>
      <c r="J94" s="221" t="s">
        <v>696</v>
      </c>
      <c r="K94" s="221" t="s">
        <v>696</v>
      </c>
      <c r="L94" s="44"/>
      <c r="M94" s="172"/>
      <c r="N94" s="378">
        <v>101.0</v>
      </c>
      <c r="O94" s="172"/>
      <c r="P94" s="378">
        <v>317.0</v>
      </c>
      <c r="Q94" s="655"/>
      <c r="R94" s="590">
        <v>308.0</v>
      </c>
      <c r="S94" s="977">
        <v>316.0</v>
      </c>
      <c r="T94" s="590">
        <v>312.0</v>
      </c>
      <c r="U94" s="590">
        <v>303.0</v>
      </c>
      <c r="V94" s="978" t="s">
        <v>697</v>
      </c>
      <c r="W94" s="821"/>
      <c r="X94" s="44"/>
      <c r="Y94" s="821"/>
      <c r="Z94" s="821"/>
      <c r="AA94" s="821"/>
      <c r="AB94" s="821"/>
      <c r="AC94" s="821"/>
      <c r="AD94" s="821"/>
      <c r="AE94" s="782">
        <v>318.0</v>
      </c>
      <c r="AF94" s="669"/>
      <c r="AG94" s="44"/>
      <c r="AH94" s="669"/>
      <c r="AI94" s="669"/>
      <c r="AJ94" s="669"/>
      <c r="AK94" s="669"/>
      <c r="AL94" s="669"/>
      <c r="AM94" s="669"/>
      <c r="AN94" s="44"/>
      <c r="AO94" s="323"/>
      <c r="AP94" s="323"/>
      <c r="AQ94" s="675"/>
      <c r="AR94" s="675"/>
      <c r="AS94" s="674"/>
      <c r="AT94" s="675"/>
      <c r="AU94" s="675"/>
      <c r="AV94" s="178" t="str">
        <f>IFERROR(__xludf.DUMMYFUNCTION("TEXTJOIN("" / "", 1, SORT(UNIQUE(TRANSPOSE(SPLIT(TRIM(REGEXREPLACE(AV93,""([0-9]{3}[a-zA-Z]?)|."",""$1 "")), "" "")))))"),"101 / 102 / 104 / 106 / 301 / 303 / 308 / 312 / 316 / 317 / 318 / 321 / 421")</f>
        <v>101 / 102 / 104 / 106 / 301 / 303 / 308 / 312 / 316 / 317 / 318 / 321 / 421</v>
      </c>
      <c r="AW94" s="164">
        <v>320.0</v>
      </c>
      <c r="AX94" s="164">
        <v>103.0</v>
      </c>
      <c r="AY94" s="163"/>
    </row>
    <row r="95">
      <c r="A95" s="623" t="s">
        <v>66</v>
      </c>
      <c r="B95" s="324"/>
      <c r="C95" s="324"/>
      <c r="D95" s="324"/>
      <c r="E95" s="324"/>
      <c r="F95" s="324"/>
      <c r="G95" s="324"/>
      <c r="H95" s="957" t="s">
        <v>366</v>
      </c>
      <c r="I95" s="324"/>
      <c r="J95" s="697"/>
      <c r="K95" s="324"/>
      <c r="L95" s="498" t="s">
        <v>192</v>
      </c>
      <c r="M95" s="928"/>
      <c r="N95" s="928"/>
      <c r="O95" s="928"/>
      <c r="P95" s="928"/>
      <c r="Q95" s="928"/>
      <c r="R95" s="928"/>
      <c r="S95" s="928"/>
      <c r="T95" s="928"/>
      <c r="U95" s="928"/>
      <c r="V95" s="970" t="s">
        <v>692</v>
      </c>
      <c r="W95" s="324"/>
      <c r="X95" s="623" t="s">
        <v>191</v>
      </c>
      <c r="Y95" s="324"/>
      <c r="Z95" s="324"/>
      <c r="AA95" s="324"/>
      <c r="AB95" s="324"/>
      <c r="AC95" s="324"/>
      <c r="AD95" s="971" t="s">
        <v>209</v>
      </c>
      <c r="AE95" s="324"/>
      <c r="AF95" s="324"/>
      <c r="AG95" s="623" t="s">
        <v>616</v>
      </c>
      <c r="AH95" s="641"/>
      <c r="AI95" s="641"/>
      <c r="AJ95" s="641"/>
      <c r="AK95" s="641"/>
      <c r="AL95" s="641"/>
      <c r="AM95" s="641"/>
      <c r="AN95" s="623" t="s">
        <v>66</v>
      </c>
      <c r="AO95" s="651"/>
      <c r="AP95" s="651"/>
      <c r="AQ95" s="651"/>
      <c r="AR95" s="651"/>
      <c r="AS95" s="650"/>
      <c r="AT95" s="651"/>
      <c r="AU95" s="651"/>
      <c r="AV95" s="258"/>
      <c r="AW95" s="258"/>
      <c r="AX95" s="258"/>
      <c r="AY95" s="258"/>
    </row>
    <row r="96">
      <c r="A96" s="38"/>
      <c r="B96" s="324"/>
      <c r="C96" s="324"/>
      <c r="D96" s="324"/>
      <c r="E96" s="324"/>
      <c r="F96" s="324"/>
      <c r="G96" s="324"/>
      <c r="H96" s="962" t="s">
        <v>245</v>
      </c>
      <c r="I96" s="324"/>
      <c r="J96" s="697"/>
      <c r="K96" s="324"/>
      <c r="L96" s="38"/>
      <c r="M96" s="929"/>
      <c r="N96" s="929"/>
      <c r="O96" s="929"/>
      <c r="P96" s="929"/>
      <c r="Q96" s="929"/>
      <c r="R96" s="929"/>
      <c r="S96" s="929"/>
      <c r="T96" s="929"/>
      <c r="U96" s="929"/>
      <c r="V96" s="975" t="s">
        <v>339</v>
      </c>
      <c r="W96" s="324"/>
      <c r="X96" s="38"/>
      <c r="Y96" s="324"/>
      <c r="Z96" s="324"/>
      <c r="AA96" s="324"/>
      <c r="AB96" s="324"/>
      <c r="AC96" s="324"/>
      <c r="AD96" s="798" t="s">
        <v>219</v>
      </c>
      <c r="AE96" s="324"/>
      <c r="AF96" s="324"/>
      <c r="AG96" s="38"/>
      <c r="AH96" s="658"/>
      <c r="AI96" s="658"/>
      <c r="AJ96" s="658"/>
      <c r="AK96" s="658"/>
      <c r="AL96" s="658"/>
      <c r="AM96" s="658"/>
      <c r="AN96" s="38"/>
      <c r="AO96" s="655"/>
      <c r="AP96" s="655"/>
      <c r="AQ96" s="655"/>
      <c r="AR96" s="655"/>
      <c r="AS96" s="663"/>
      <c r="AT96" s="655"/>
      <c r="AU96" s="655"/>
      <c r="AV96" s="163" t="str">
        <f t="array" ref="AV96">TEXTJOIN(" | ", 1, A97:AS97)</f>
        <v>300 | 104 (ONLY ON 19/04) | 318</v>
      </c>
      <c r="AW96" s="258"/>
      <c r="AX96" s="258"/>
      <c r="AY96" s="258"/>
    </row>
    <row r="97">
      <c r="A97" s="44"/>
      <c r="B97" s="821"/>
      <c r="C97" s="821"/>
      <c r="D97" s="821"/>
      <c r="E97" s="821"/>
      <c r="F97" s="821"/>
      <c r="G97" s="821"/>
      <c r="H97" s="446">
        <v>300.0</v>
      </c>
      <c r="I97" s="821"/>
      <c r="J97" s="783"/>
      <c r="K97" s="821"/>
      <c r="L97" s="44"/>
      <c r="M97" s="931"/>
      <c r="N97" s="931"/>
      <c r="O97" s="931"/>
      <c r="P97" s="931"/>
      <c r="Q97" s="931"/>
      <c r="R97" s="931"/>
      <c r="S97" s="931"/>
      <c r="T97" s="931"/>
      <c r="U97" s="931"/>
      <c r="V97" s="978" t="s">
        <v>698</v>
      </c>
      <c r="W97" s="821"/>
      <c r="X97" s="44"/>
      <c r="Y97" s="821"/>
      <c r="Z97" s="821"/>
      <c r="AA97" s="821"/>
      <c r="AB97" s="821"/>
      <c r="AC97" s="821"/>
      <c r="AD97" s="782">
        <v>318.0</v>
      </c>
      <c r="AE97" s="821"/>
      <c r="AF97" s="821"/>
      <c r="AG97" s="44"/>
      <c r="AH97" s="669"/>
      <c r="AI97" s="669"/>
      <c r="AJ97" s="669"/>
      <c r="AK97" s="669"/>
      <c r="AL97" s="669"/>
      <c r="AM97" s="669"/>
      <c r="AN97" s="44"/>
      <c r="AO97" s="675"/>
      <c r="AP97" s="675"/>
      <c r="AQ97" s="675"/>
      <c r="AR97" s="675"/>
      <c r="AS97" s="674"/>
      <c r="AT97" s="675"/>
      <c r="AU97" s="675"/>
      <c r="AV97" s="178" t="str">
        <f>IFERROR(__xludf.DUMMYFUNCTION("TEXTJOIN("" / "", 1, SORT(UNIQUE(TRANSPOSE(SPLIT(TRIM(REGEXREPLACE(AV96,""([0-9]{3}[a-zA-Z]?)|."",""$1 "")), "" "")))))"),"104 / 300 / 318")</f>
        <v>104 / 300 / 318</v>
      </c>
      <c r="AW97" s="163"/>
      <c r="AX97" s="163"/>
      <c r="AY97" s="163"/>
    </row>
    <row r="98">
      <c r="A98" s="633" t="s">
        <v>103</v>
      </c>
      <c r="B98" s="980"/>
      <c r="C98" s="46"/>
      <c r="D98" s="46"/>
      <c r="E98" s="46"/>
      <c r="F98" s="46"/>
      <c r="G98" s="46"/>
      <c r="H98" s="46"/>
      <c r="I98" s="46"/>
      <c r="J98" s="46"/>
      <c r="K98" s="47"/>
      <c r="L98" s="633" t="s">
        <v>103</v>
      </c>
      <c r="M98" s="636"/>
      <c r="N98" s="3"/>
      <c r="O98" s="3"/>
      <c r="P98" s="3"/>
      <c r="Q98" s="3"/>
      <c r="R98" s="3"/>
      <c r="S98" s="3"/>
      <c r="T98" s="3"/>
      <c r="U98" s="3"/>
      <c r="V98" s="3"/>
      <c r="W98" s="4"/>
      <c r="X98" s="633" t="s">
        <v>103</v>
      </c>
      <c r="Y98" s="636"/>
      <c r="Z98" s="3"/>
      <c r="AA98" s="3"/>
      <c r="AB98" s="3"/>
      <c r="AC98" s="3"/>
      <c r="AD98" s="3"/>
      <c r="AE98" s="3"/>
      <c r="AF98" s="4"/>
      <c r="AG98" s="633" t="s">
        <v>103</v>
      </c>
      <c r="AH98" s="636"/>
      <c r="AI98" s="3"/>
      <c r="AJ98" s="3"/>
      <c r="AK98" s="3"/>
      <c r="AL98" s="3"/>
      <c r="AM98" s="4"/>
      <c r="AN98" s="633" t="s">
        <v>103</v>
      </c>
      <c r="AO98" s="636"/>
      <c r="AP98" s="3"/>
      <c r="AQ98" s="3"/>
      <c r="AR98" s="3"/>
      <c r="AS98" s="4"/>
      <c r="AT98" s="862"/>
      <c r="AU98" s="23"/>
      <c r="AV98" s="151"/>
      <c r="AW98" s="151"/>
      <c r="AX98" s="151"/>
      <c r="AY98" s="151"/>
    </row>
    <row r="99">
      <c r="A99" s="623" t="s">
        <v>39</v>
      </c>
      <c r="B99" s="640"/>
      <c r="C99" s="640"/>
      <c r="D99" s="640"/>
      <c r="E99" s="640"/>
      <c r="F99" s="640"/>
      <c r="G99" s="640"/>
      <c r="H99" s="640"/>
      <c r="I99" s="640"/>
      <c r="J99" s="640"/>
      <c r="K99" s="640"/>
      <c r="L99" s="498" t="s">
        <v>130</v>
      </c>
      <c r="M99" s="640"/>
      <c r="N99" s="640"/>
      <c r="O99" s="640"/>
      <c r="P99" s="640"/>
      <c r="Q99" s="640"/>
      <c r="R99" s="640"/>
      <c r="S99" s="640"/>
      <c r="T99" s="640"/>
      <c r="U99" s="640"/>
      <c r="V99" s="970" t="s">
        <v>332</v>
      </c>
      <c r="W99" s="640"/>
      <c r="X99" s="623" t="s">
        <v>128</v>
      </c>
      <c r="Y99" s="640"/>
      <c r="Z99" s="640"/>
      <c r="AA99" s="640"/>
      <c r="AB99" s="981" t="s">
        <v>240</v>
      </c>
      <c r="AC99" s="640"/>
      <c r="AD99" s="640"/>
      <c r="AE99" s="640"/>
      <c r="AF99" s="640"/>
      <c r="AG99" s="623" t="s">
        <v>594</v>
      </c>
      <c r="AH99" s="640"/>
      <c r="AI99" s="640"/>
      <c r="AJ99" s="640"/>
      <c r="AK99" s="640"/>
      <c r="AL99" s="640"/>
      <c r="AM99" s="640"/>
      <c r="AN99" s="623" t="s">
        <v>39</v>
      </c>
      <c r="AO99" s="651"/>
      <c r="AP99" s="651"/>
      <c r="AQ99" s="651"/>
      <c r="AR99" s="699" t="s">
        <v>436</v>
      </c>
      <c r="AS99" s="650"/>
      <c r="AT99" s="651"/>
      <c r="AU99" s="651"/>
      <c r="AV99" s="258"/>
      <c r="AW99" s="258"/>
      <c r="AX99" s="258"/>
      <c r="AY99" s="258"/>
    </row>
    <row r="100">
      <c r="A100" s="38"/>
      <c r="B100" s="697"/>
      <c r="C100" s="697"/>
      <c r="D100" s="697"/>
      <c r="E100" s="697"/>
      <c r="F100" s="697"/>
      <c r="G100" s="697"/>
      <c r="H100" s="697"/>
      <c r="I100" s="697"/>
      <c r="J100" s="697"/>
      <c r="K100" s="697"/>
      <c r="L100" s="38"/>
      <c r="M100" s="658"/>
      <c r="N100" s="658"/>
      <c r="O100" s="658"/>
      <c r="P100" s="658"/>
      <c r="Q100" s="658"/>
      <c r="R100" s="658"/>
      <c r="S100" s="658"/>
      <c r="T100" s="658"/>
      <c r="U100" s="658"/>
      <c r="V100" s="975" t="s">
        <v>339</v>
      </c>
      <c r="W100" s="658"/>
      <c r="X100" s="38"/>
      <c r="Y100" s="658"/>
      <c r="Z100" s="658"/>
      <c r="AA100" s="658"/>
      <c r="AB100" s="587" t="s">
        <v>342</v>
      </c>
      <c r="AC100" s="658"/>
      <c r="AD100" s="658"/>
      <c r="AE100" s="658"/>
      <c r="AF100" s="658"/>
      <c r="AG100" s="38"/>
      <c r="AH100" s="658"/>
      <c r="AI100" s="658"/>
      <c r="AJ100" s="658"/>
      <c r="AK100" s="658"/>
      <c r="AL100" s="658"/>
      <c r="AM100" s="658"/>
      <c r="AN100" s="38"/>
      <c r="AO100" s="655"/>
      <c r="AP100" s="655"/>
      <c r="AQ100" s="655"/>
      <c r="AR100" s="845" t="s">
        <v>699</v>
      </c>
      <c r="AS100" s="663"/>
      <c r="AT100" s="655"/>
      <c r="AU100" s="655"/>
      <c r="AV100" s="163" t="str">
        <f t="array" ref="AV100">TEXTJOIN(" | ", 1, A101:AS101)</f>
        <v>104 (ONLY ON 20/04) | Online (EXCEPT 04/05) | 102 (320 ON 20/04)</v>
      </c>
      <c r="AW100" s="164"/>
      <c r="AX100" s="258"/>
      <c r="AY100" s="258"/>
    </row>
    <row r="101">
      <c r="A101" s="44"/>
      <c r="B101" s="669"/>
      <c r="C101" s="669"/>
      <c r="D101" s="669"/>
      <c r="E101" s="669"/>
      <c r="F101" s="669"/>
      <c r="G101" s="669"/>
      <c r="H101" s="669"/>
      <c r="I101" s="669"/>
      <c r="J101" s="669"/>
      <c r="K101" s="669"/>
      <c r="L101" s="44"/>
      <c r="M101" s="675"/>
      <c r="N101" s="675"/>
      <c r="O101" s="675"/>
      <c r="P101" s="675"/>
      <c r="Q101" s="675"/>
      <c r="R101" s="675"/>
      <c r="S101" s="675"/>
      <c r="T101" s="675"/>
      <c r="U101" s="675"/>
      <c r="V101" s="978" t="s">
        <v>700</v>
      </c>
      <c r="W101" s="675"/>
      <c r="X101" s="44"/>
      <c r="Y101" s="675"/>
      <c r="Z101" s="675"/>
      <c r="AA101" s="675"/>
      <c r="AB101" s="982" t="s">
        <v>701</v>
      </c>
      <c r="AC101" s="675"/>
      <c r="AD101" s="675"/>
      <c r="AE101" s="675"/>
      <c r="AF101" s="675"/>
      <c r="AG101" s="44"/>
      <c r="AH101" s="675"/>
      <c r="AI101" s="675"/>
      <c r="AJ101" s="675"/>
      <c r="AK101" s="675"/>
      <c r="AL101" s="675"/>
      <c r="AM101" s="675"/>
      <c r="AN101" s="44"/>
      <c r="AO101" s="675"/>
      <c r="AP101" s="675"/>
      <c r="AQ101" s="675"/>
      <c r="AR101" s="692" t="s">
        <v>702</v>
      </c>
      <c r="AS101" s="674"/>
      <c r="AT101" s="675"/>
      <c r="AU101" s="675"/>
      <c r="AV101" s="178" t="str">
        <f>IFERROR(__xludf.DUMMYFUNCTION("TEXTJOIN("" / "", 1, SORT(UNIQUE(TRANSPOSE(SPLIT(TRIM(REGEXREPLACE(AV100,""([0-9]{3}[a-zA-Z]?)|."",""$1 "")), "" "")))))"),"102 / 104 / 320")</f>
        <v>102 / 104 / 320</v>
      </c>
      <c r="AW101" s="164"/>
      <c r="AX101" s="163">
        <v>301.0</v>
      </c>
      <c r="AY101" s="163"/>
    </row>
    <row r="102">
      <c r="A102" s="623" t="s">
        <v>49</v>
      </c>
      <c r="B102" s="640"/>
      <c r="C102" s="640"/>
      <c r="D102" s="640"/>
      <c r="E102" s="640"/>
      <c r="F102" s="640"/>
      <c r="G102" s="640"/>
      <c r="H102" s="640"/>
      <c r="I102" s="640"/>
      <c r="J102" s="640"/>
      <c r="K102" s="640"/>
      <c r="L102" s="498" t="s">
        <v>145</v>
      </c>
      <c r="M102" s="640"/>
      <c r="N102" s="640"/>
      <c r="O102" s="640"/>
      <c r="P102" s="640"/>
      <c r="Q102" s="640"/>
      <c r="R102" s="640"/>
      <c r="S102" s="640"/>
      <c r="T102" s="640"/>
      <c r="U102" s="640"/>
      <c r="V102" s="970" t="s">
        <v>332</v>
      </c>
      <c r="W102" s="640"/>
      <c r="X102" s="623" t="s">
        <v>139</v>
      </c>
      <c r="Y102" s="640"/>
      <c r="Z102" s="640"/>
      <c r="AA102" s="640"/>
      <c r="AB102" s="981" t="s">
        <v>240</v>
      </c>
      <c r="AC102" s="640"/>
      <c r="AD102" s="640"/>
      <c r="AE102" s="640"/>
      <c r="AF102" s="640"/>
      <c r="AG102" s="623" t="s">
        <v>601</v>
      </c>
      <c r="AH102" s="641"/>
      <c r="AI102" s="641"/>
      <c r="AJ102" s="641"/>
      <c r="AK102" s="641"/>
      <c r="AL102" s="641"/>
      <c r="AM102" s="641"/>
      <c r="AN102" s="623" t="s">
        <v>49</v>
      </c>
      <c r="AO102" s="651"/>
      <c r="AP102" s="651"/>
      <c r="AQ102" s="651"/>
      <c r="AR102" s="699" t="s">
        <v>436</v>
      </c>
      <c r="AS102" s="650"/>
      <c r="AT102" s="651"/>
      <c r="AU102" s="651"/>
      <c r="AV102" s="258"/>
      <c r="AW102" s="258"/>
      <c r="AX102" s="508"/>
      <c r="AY102" s="258"/>
    </row>
    <row r="103">
      <c r="A103" s="38"/>
      <c r="B103" s="697"/>
      <c r="C103" s="697"/>
      <c r="D103" s="697"/>
      <c r="E103" s="697"/>
      <c r="F103" s="697"/>
      <c r="G103" s="697"/>
      <c r="H103" s="697"/>
      <c r="I103" s="697"/>
      <c r="J103" s="697"/>
      <c r="K103" s="697"/>
      <c r="L103" s="38"/>
      <c r="M103" s="658"/>
      <c r="N103" s="658"/>
      <c r="O103" s="658"/>
      <c r="P103" s="658"/>
      <c r="Q103" s="658"/>
      <c r="R103" s="658"/>
      <c r="S103" s="658"/>
      <c r="T103" s="658"/>
      <c r="U103" s="658"/>
      <c r="V103" s="975" t="s">
        <v>339</v>
      </c>
      <c r="W103" s="658"/>
      <c r="X103" s="38"/>
      <c r="Y103" s="658"/>
      <c r="Z103" s="658"/>
      <c r="AA103" s="658"/>
      <c r="AB103" s="587" t="s">
        <v>342</v>
      </c>
      <c r="AC103" s="658"/>
      <c r="AD103" s="658"/>
      <c r="AE103" s="658"/>
      <c r="AF103" s="658"/>
      <c r="AG103" s="38"/>
      <c r="AH103" s="658"/>
      <c r="AI103" s="658"/>
      <c r="AJ103" s="658"/>
      <c r="AK103" s="658"/>
      <c r="AL103" s="658"/>
      <c r="AM103" s="658"/>
      <c r="AN103" s="38"/>
      <c r="AO103" s="655"/>
      <c r="AP103" s="655"/>
      <c r="AQ103" s="655"/>
      <c r="AR103" s="845" t="s">
        <v>699</v>
      </c>
      <c r="AS103" s="663"/>
      <c r="AT103" s="655"/>
      <c r="AU103" s="655"/>
      <c r="AV103" s="163" t="str">
        <f t="array" ref="AV103">TEXTJOIN(" | ", 1, A104:AS104)</f>
        <v>104 (ONLY ON 20/04) | Online (EXCEPT 04/05) | 102 (320 ON 20/04)</v>
      </c>
      <c r="AW103" s="258"/>
      <c r="AX103" s="508"/>
      <c r="AY103" s="258"/>
    </row>
    <row r="104">
      <c r="A104" s="44"/>
      <c r="B104" s="669"/>
      <c r="C104" s="669"/>
      <c r="D104" s="669"/>
      <c r="E104" s="669"/>
      <c r="F104" s="669"/>
      <c r="G104" s="669"/>
      <c r="H104" s="669"/>
      <c r="I104" s="669"/>
      <c r="J104" s="669"/>
      <c r="K104" s="669"/>
      <c r="L104" s="44"/>
      <c r="M104" s="675"/>
      <c r="N104" s="675"/>
      <c r="O104" s="675"/>
      <c r="P104" s="675"/>
      <c r="Q104" s="675"/>
      <c r="R104" s="675"/>
      <c r="S104" s="675"/>
      <c r="T104" s="675"/>
      <c r="U104" s="675"/>
      <c r="V104" s="978" t="s">
        <v>703</v>
      </c>
      <c r="W104" s="675"/>
      <c r="X104" s="44"/>
      <c r="Y104" s="675"/>
      <c r="Z104" s="675"/>
      <c r="AA104" s="675"/>
      <c r="AB104" s="982" t="s">
        <v>701</v>
      </c>
      <c r="AC104" s="675"/>
      <c r="AD104" s="675"/>
      <c r="AE104" s="675"/>
      <c r="AF104" s="675"/>
      <c r="AG104" s="44"/>
      <c r="AH104" s="669"/>
      <c r="AI104" s="669"/>
      <c r="AJ104" s="669"/>
      <c r="AK104" s="669"/>
      <c r="AL104" s="669"/>
      <c r="AM104" s="669"/>
      <c r="AN104" s="44"/>
      <c r="AO104" s="675"/>
      <c r="AP104" s="675"/>
      <c r="AQ104" s="675"/>
      <c r="AR104" s="692" t="s">
        <v>704</v>
      </c>
      <c r="AS104" s="674"/>
      <c r="AT104" s="675"/>
      <c r="AU104" s="675"/>
      <c r="AV104" s="178" t="str">
        <f>IFERROR(__xludf.DUMMYFUNCTION("TEXTJOIN("" / "", 1, SORT(UNIQUE(TRANSPOSE(SPLIT(TRIM(REGEXREPLACE(AV103,""([0-9]{3}[a-zA-Z]?)|."",""$1 "")), "" "")))))"),"102 / 104 / 320")</f>
        <v>102 / 104 / 320</v>
      </c>
      <c r="AW104" s="164" t="s">
        <v>705</v>
      </c>
      <c r="AX104" s="164" t="s">
        <v>706</v>
      </c>
      <c r="AY104" s="163"/>
    </row>
    <row r="105">
      <c r="A105" s="623" t="s">
        <v>51</v>
      </c>
      <c r="B105" s="640"/>
      <c r="C105" s="640"/>
      <c r="D105" s="640"/>
      <c r="E105" s="640"/>
      <c r="F105" s="640"/>
      <c r="G105" s="640"/>
      <c r="H105" s="640"/>
      <c r="I105" s="640"/>
      <c r="J105" s="640"/>
      <c r="K105" s="640"/>
      <c r="L105" s="498" t="s">
        <v>162</v>
      </c>
      <c r="M105" s="640"/>
      <c r="N105" s="640"/>
      <c r="O105" s="640"/>
      <c r="P105" s="640"/>
      <c r="Q105" s="640"/>
      <c r="R105" s="640"/>
      <c r="S105" s="640"/>
      <c r="T105" s="640"/>
      <c r="U105" s="640"/>
      <c r="V105" s="640"/>
      <c r="W105" s="640"/>
      <c r="X105" s="623" t="s">
        <v>158</v>
      </c>
      <c r="Y105" s="640"/>
      <c r="Z105" s="640"/>
      <c r="AA105" s="640"/>
      <c r="AB105" s="324"/>
      <c r="AC105" s="640"/>
      <c r="AD105" s="640"/>
      <c r="AE105" s="640"/>
      <c r="AF105" s="640"/>
      <c r="AG105" s="623" t="s">
        <v>608</v>
      </c>
      <c r="AH105" s="641"/>
      <c r="AI105" s="641"/>
      <c r="AJ105" s="641"/>
      <c r="AK105" s="641"/>
      <c r="AL105" s="641"/>
      <c r="AM105" s="641"/>
      <c r="AN105" s="623" t="s">
        <v>51</v>
      </c>
      <c r="AO105" s="651"/>
      <c r="AP105" s="651"/>
      <c r="AQ105" s="651"/>
      <c r="AR105" s="699" t="s">
        <v>395</v>
      </c>
      <c r="AS105" s="650"/>
      <c r="AT105" s="651"/>
      <c r="AU105" s="651"/>
      <c r="AV105" s="258"/>
      <c r="AW105" s="258"/>
      <c r="AX105" s="258"/>
      <c r="AY105" s="258"/>
    </row>
    <row r="106">
      <c r="A106" s="38"/>
      <c r="B106" s="697"/>
      <c r="C106" s="697"/>
      <c r="D106" s="697"/>
      <c r="E106" s="697"/>
      <c r="F106" s="697"/>
      <c r="G106" s="697"/>
      <c r="H106" s="697"/>
      <c r="I106" s="697"/>
      <c r="J106" s="697"/>
      <c r="K106" s="697"/>
      <c r="L106" s="38"/>
      <c r="M106" s="658"/>
      <c r="N106" s="658"/>
      <c r="O106" s="658"/>
      <c r="P106" s="658"/>
      <c r="Q106" s="658"/>
      <c r="R106" s="658"/>
      <c r="S106" s="658"/>
      <c r="T106" s="658"/>
      <c r="U106" s="658"/>
      <c r="V106" s="658"/>
      <c r="W106" s="658"/>
      <c r="X106" s="38"/>
      <c r="Y106" s="658"/>
      <c r="Z106" s="658"/>
      <c r="AA106" s="658"/>
      <c r="AB106" s="324"/>
      <c r="AC106" s="658"/>
      <c r="AD106" s="658"/>
      <c r="AE106" s="658"/>
      <c r="AF106" s="658"/>
      <c r="AG106" s="38"/>
      <c r="AH106" s="658"/>
      <c r="AI106" s="658"/>
      <c r="AJ106" s="658"/>
      <c r="AK106" s="658"/>
      <c r="AL106" s="658"/>
      <c r="AM106" s="658"/>
      <c r="AN106" s="38"/>
      <c r="AO106" s="655"/>
      <c r="AP106" s="655"/>
      <c r="AQ106" s="655"/>
      <c r="AR106" s="845" t="s">
        <v>707</v>
      </c>
      <c r="AS106" s="663"/>
      <c r="AT106" s="655"/>
      <c r="AU106" s="655"/>
      <c r="AV106" s="163" t="str">
        <f t="array" ref="AV106">TEXTJOIN(" | ", 1, A107:AS107)</f>
        <v>102 (320 ON 20/04)</v>
      </c>
      <c r="AW106" s="258"/>
      <c r="AX106" s="258"/>
      <c r="AY106" s="258"/>
    </row>
    <row r="107">
      <c r="A107" s="44"/>
      <c r="B107" s="669"/>
      <c r="C107" s="669"/>
      <c r="D107" s="669"/>
      <c r="E107" s="669"/>
      <c r="F107" s="669"/>
      <c r="G107" s="669"/>
      <c r="H107" s="669"/>
      <c r="I107" s="669"/>
      <c r="J107" s="669"/>
      <c r="K107" s="669"/>
      <c r="L107" s="44"/>
      <c r="M107" s="675"/>
      <c r="N107" s="675"/>
      <c r="O107" s="675"/>
      <c r="P107" s="675"/>
      <c r="Q107" s="675"/>
      <c r="R107" s="675"/>
      <c r="S107" s="675"/>
      <c r="T107" s="675"/>
      <c r="U107" s="675"/>
      <c r="V107" s="675"/>
      <c r="W107" s="675"/>
      <c r="X107" s="44"/>
      <c r="Y107" s="675"/>
      <c r="Z107" s="675"/>
      <c r="AA107" s="675"/>
      <c r="AB107" s="821"/>
      <c r="AC107" s="675"/>
      <c r="AD107" s="675"/>
      <c r="AE107" s="675"/>
      <c r="AF107" s="675"/>
      <c r="AG107" s="44"/>
      <c r="AH107" s="669"/>
      <c r="AI107" s="669"/>
      <c r="AJ107" s="669"/>
      <c r="AK107" s="669"/>
      <c r="AL107" s="669"/>
      <c r="AM107" s="669"/>
      <c r="AN107" s="44"/>
      <c r="AO107" s="675"/>
      <c r="AP107" s="675"/>
      <c r="AQ107" s="675"/>
      <c r="AR107" s="692" t="s">
        <v>708</v>
      </c>
      <c r="AS107" s="674"/>
      <c r="AT107" s="675"/>
      <c r="AU107" s="675"/>
      <c r="AV107" s="178" t="str">
        <f>IFERROR(__xludf.DUMMYFUNCTION("TEXTJOIN("" / "", 1, SORT(UNIQUE(TRANSPOSE(SPLIT(TRIM(REGEXREPLACE(AV106,""([0-9]{3}[a-zA-Z]?)|."",""$1 "")), "" "")))))"),"102 / 320")</f>
        <v>102 / 320</v>
      </c>
      <c r="AW107" s="164" t="s">
        <v>709</v>
      </c>
      <c r="AX107" s="164">
        <v>314.0</v>
      </c>
      <c r="AY107" s="163"/>
    </row>
    <row r="108">
      <c r="A108" s="623" t="s">
        <v>59</v>
      </c>
      <c r="B108" s="640"/>
      <c r="C108" s="640"/>
      <c r="D108" s="640"/>
      <c r="E108" s="640"/>
      <c r="F108" s="640"/>
      <c r="G108" s="640"/>
      <c r="H108" s="640"/>
      <c r="I108" s="640"/>
      <c r="J108" s="640"/>
      <c r="K108" s="640"/>
      <c r="L108" s="498" t="s">
        <v>174</v>
      </c>
      <c r="M108" s="640"/>
      <c r="N108" s="640"/>
      <c r="O108" s="640"/>
      <c r="P108" s="640"/>
      <c r="Q108" s="640"/>
      <c r="R108" s="640"/>
      <c r="S108" s="640"/>
      <c r="T108" s="640"/>
      <c r="U108" s="640"/>
      <c r="V108" s="640"/>
      <c r="W108" s="640"/>
      <c r="X108" s="623" t="s">
        <v>172</v>
      </c>
      <c r="Y108" s="640"/>
      <c r="Z108" s="640"/>
      <c r="AA108" s="640"/>
      <c r="AB108" s="640"/>
      <c r="AC108" s="640"/>
      <c r="AD108" s="640"/>
      <c r="AE108" s="640"/>
      <c r="AF108" s="640"/>
      <c r="AG108" s="623" t="s">
        <v>611</v>
      </c>
      <c r="AH108" s="641"/>
      <c r="AI108" s="641"/>
      <c r="AJ108" s="641"/>
      <c r="AK108" s="641"/>
      <c r="AL108" s="641"/>
      <c r="AM108" s="641"/>
      <c r="AN108" s="623" t="s">
        <v>59</v>
      </c>
      <c r="AO108" s="651"/>
      <c r="AP108" s="651"/>
      <c r="AQ108" s="880" t="s">
        <v>328</v>
      </c>
      <c r="AR108" s="699" t="s">
        <v>395</v>
      </c>
      <c r="AS108" s="650"/>
      <c r="AT108" s="651"/>
      <c r="AU108" s="651"/>
      <c r="AV108" s="258"/>
      <c r="AW108" s="258"/>
      <c r="AX108" s="258"/>
      <c r="AY108" s="258"/>
    </row>
    <row r="109">
      <c r="A109" s="38"/>
      <c r="B109" s="697"/>
      <c r="C109" s="697"/>
      <c r="D109" s="697"/>
      <c r="E109" s="697"/>
      <c r="F109" s="697"/>
      <c r="G109" s="697"/>
      <c r="H109" s="697"/>
      <c r="I109" s="697"/>
      <c r="J109" s="697"/>
      <c r="K109" s="697"/>
      <c r="L109" s="38"/>
      <c r="M109" s="658"/>
      <c r="N109" s="658"/>
      <c r="O109" s="658"/>
      <c r="P109" s="658"/>
      <c r="Q109" s="658"/>
      <c r="R109" s="658"/>
      <c r="S109" s="658"/>
      <c r="T109" s="658"/>
      <c r="U109" s="658"/>
      <c r="V109" s="658"/>
      <c r="W109" s="658"/>
      <c r="X109" s="38"/>
      <c r="Y109" s="658"/>
      <c r="Z109" s="658"/>
      <c r="AA109" s="658"/>
      <c r="AB109" s="658"/>
      <c r="AC109" s="658"/>
      <c r="AD109" s="658"/>
      <c r="AE109" s="658"/>
      <c r="AF109" s="658"/>
      <c r="AG109" s="38"/>
      <c r="AH109" s="658"/>
      <c r="AI109" s="658"/>
      <c r="AJ109" s="658"/>
      <c r="AK109" s="658"/>
      <c r="AL109" s="658"/>
      <c r="AM109" s="658"/>
      <c r="AN109" s="38"/>
      <c r="AO109" s="655"/>
      <c r="AP109" s="655"/>
      <c r="AQ109" s="889" t="s">
        <v>320</v>
      </c>
      <c r="AR109" s="845" t="s">
        <v>707</v>
      </c>
      <c r="AS109" s="663"/>
      <c r="AT109" s="655"/>
      <c r="AU109" s="655"/>
      <c r="AV109" s="163" t="str">
        <f t="array" ref="AV109">TEXTJOIN(" | ", 1, A110:AS110)</f>
        <v>107 (ONLY ON 06/04) | 102 (320 ON 20/04)</v>
      </c>
      <c r="AW109" s="258"/>
      <c r="AX109" s="258"/>
      <c r="AY109" s="258"/>
    </row>
    <row r="110">
      <c r="A110" s="44"/>
      <c r="B110" s="669"/>
      <c r="C110" s="669"/>
      <c r="D110" s="669"/>
      <c r="E110" s="669"/>
      <c r="F110" s="669"/>
      <c r="G110" s="669"/>
      <c r="H110" s="669"/>
      <c r="I110" s="669"/>
      <c r="J110" s="669"/>
      <c r="K110" s="669"/>
      <c r="L110" s="44"/>
      <c r="M110" s="675"/>
      <c r="N110" s="675"/>
      <c r="O110" s="675"/>
      <c r="P110" s="675"/>
      <c r="Q110" s="675"/>
      <c r="R110" s="675"/>
      <c r="S110" s="675"/>
      <c r="T110" s="675"/>
      <c r="U110" s="675"/>
      <c r="V110" s="675"/>
      <c r="W110" s="675"/>
      <c r="X110" s="44"/>
      <c r="Y110" s="675"/>
      <c r="Z110" s="675"/>
      <c r="AA110" s="675"/>
      <c r="AB110" s="675"/>
      <c r="AC110" s="675"/>
      <c r="AD110" s="675"/>
      <c r="AE110" s="675"/>
      <c r="AF110" s="675"/>
      <c r="AG110" s="44"/>
      <c r="AH110" s="669"/>
      <c r="AI110" s="669"/>
      <c r="AJ110" s="669"/>
      <c r="AK110" s="669"/>
      <c r="AL110" s="669"/>
      <c r="AM110" s="669"/>
      <c r="AN110" s="44"/>
      <c r="AO110" s="675"/>
      <c r="AP110" s="675"/>
      <c r="AQ110" s="895" t="s">
        <v>710</v>
      </c>
      <c r="AR110" s="692" t="s">
        <v>711</v>
      </c>
      <c r="AS110" s="674"/>
      <c r="AT110" s="675"/>
      <c r="AU110" s="675"/>
      <c r="AV110" s="178" t="str">
        <f>IFERROR(__xludf.DUMMYFUNCTION("TEXTJOIN("" / "", 1, SORT(UNIQUE(TRANSPOSE(SPLIT(TRIM(REGEXREPLACE(AV109,""([0-9]{3}[a-zA-Z]?)|."",""$1 "")), "" "")))))"),"102 / 107 / 320")</f>
        <v>102 / 107 / 320</v>
      </c>
      <c r="AW110" s="164">
        <v>103.0</v>
      </c>
      <c r="AX110" s="163"/>
      <c r="AY110" s="163"/>
    </row>
    <row r="111">
      <c r="A111" s="623" t="s">
        <v>64</v>
      </c>
      <c r="B111" s="640"/>
      <c r="C111" s="640"/>
      <c r="D111" s="640"/>
      <c r="E111" s="640"/>
      <c r="F111" s="640"/>
      <c r="G111" s="640"/>
      <c r="H111" s="640"/>
      <c r="I111" s="640"/>
      <c r="J111" s="640"/>
      <c r="K111" s="640"/>
      <c r="L111" s="498" t="s">
        <v>185</v>
      </c>
      <c r="M111" s="640"/>
      <c r="N111" s="640"/>
      <c r="O111" s="640"/>
      <c r="P111" s="640"/>
      <c r="Q111" s="640"/>
      <c r="R111" s="640"/>
      <c r="S111" s="640"/>
      <c r="T111" s="640"/>
      <c r="U111" s="640"/>
      <c r="V111" s="640"/>
      <c r="W111" s="640"/>
      <c r="X111" s="623" t="s">
        <v>184</v>
      </c>
      <c r="Y111" s="640"/>
      <c r="Z111" s="640"/>
      <c r="AA111" s="640"/>
      <c r="AB111" s="640"/>
      <c r="AC111" s="640"/>
      <c r="AD111" s="641"/>
      <c r="AE111" s="641"/>
      <c r="AF111" s="640"/>
      <c r="AG111" s="623" t="s">
        <v>615</v>
      </c>
      <c r="AH111" s="641"/>
      <c r="AI111" s="641"/>
      <c r="AJ111" s="641"/>
      <c r="AK111" s="641"/>
      <c r="AL111" s="641"/>
      <c r="AM111" s="641"/>
      <c r="AN111" s="623" t="s">
        <v>64</v>
      </c>
      <c r="AO111" s="651"/>
      <c r="AP111" s="651"/>
      <c r="AQ111" s="880" t="s">
        <v>328</v>
      </c>
      <c r="AR111" s="651"/>
      <c r="AS111" s="650"/>
      <c r="AT111" s="651"/>
      <c r="AU111" s="651"/>
      <c r="AV111" s="258"/>
      <c r="AW111" s="258"/>
      <c r="AX111" s="258"/>
      <c r="AY111" s="258"/>
    </row>
    <row r="112">
      <c r="A112" s="38"/>
      <c r="B112" s="697"/>
      <c r="C112" s="697"/>
      <c r="D112" s="697"/>
      <c r="E112" s="697"/>
      <c r="F112" s="697"/>
      <c r="G112" s="697"/>
      <c r="H112" s="697"/>
      <c r="I112" s="697"/>
      <c r="J112" s="697"/>
      <c r="K112" s="697"/>
      <c r="L112" s="38"/>
      <c r="M112" s="658"/>
      <c r="N112" s="658"/>
      <c r="O112" s="658"/>
      <c r="P112" s="658"/>
      <c r="Q112" s="658"/>
      <c r="R112" s="658"/>
      <c r="S112" s="658"/>
      <c r="T112" s="658"/>
      <c r="U112" s="658"/>
      <c r="V112" s="658"/>
      <c r="W112" s="658"/>
      <c r="X112" s="38"/>
      <c r="Y112" s="658"/>
      <c r="Z112" s="658"/>
      <c r="AA112" s="658"/>
      <c r="AB112" s="658"/>
      <c r="AC112" s="658"/>
      <c r="AD112" s="658"/>
      <c r="AE112" s="658"/>
      <c r="AF112" s="658"/>
      <c r="AG112" s="38"/>
      <c r="AH112" s="658"/>
      <c r="AI112" s="658"/>
      <c r="AJ112" s="658"/>
      <c r="AK112" s="658"/>
      <c r="AL112" s="658"/>
      <c r="AM112" s="658"/>
      <c r="AN112" s="38"/>
      <c r="AO112" s="655"/>
      <c r="AP112" s="655"/>
      <c r="AQ112" s="889" t="s">
        <v>320</v>
      </c>
      <c r="AR112" s="655"/>
      <c r="AS112" s="663"/>
      <c r="AT112" s="655"/>
      <c r="AU112" s="655"/>
      <c r="AV112" s="163"/>
      <c r="AW112" s="258"/>
      <c r="AX112" s="258"/>
      <c r="AY112" s="258"/>
    </row>
    <row r="113">
      <c r="A113" s="44"/>
      <c r="B113" s="669"/>
      <c r="C113" s="669"/>
      <c r="D113" s="669"/>
      <c r="E113" s="669"/>
      <c r="F113" s="669"/>
      <c r="G113" s="669"/>
      <c r="H113" s="669"/>
      <c r="I113" s="669"/>
      <c r="J113" s="669"/>
      <c r="K113" s="669"/>
      <c r="L113" s="44"/>
      <c r="M113" s="675"/>
      <c r="N113" s="675"/>
      <c r="O113" s="675"/>
      <c r="P113" s="675"/>
      <c r="Q113" s="675"/>
      <c r="R113" s="675"/>
      <c r="S113" s="675"/>
      <c r="T113" s="675"/>
      <c r="U113" s="675"/>
      <c r="V113" s="675"/>
      <c r="W113" s="675"/>
      <c r="X113" s="44"/>
      <c r="Y113" s="675"/>
      <c r="Z113" s="675"/>
      <c r="AA113" s="675"/>
      <c r="AB113" s="675"/>
      <c r="AC113" s="675"/>
      <c r="AD113" s="669"/>
      <c r="AE113" s="669"/>
      <c r="AF113" s="675"/>
      <c r="AG113" s="44"/>
      <c r="AH113" s="669"/>
      <c r="AI113" s="669"/>
      <c r="AJ113" s="669"/>
      <c r="AK113" s="669"/>
      <c r="AL113" s="669"/>
      <c r="AM113" s="669"/>
      <c r="AN113" s="44"/>
      <c r="AO113" s="675"/>
      <c r="AP113" s="675"/>
      <c r="AQ113" s="895" t="s">
        <v>710</v>
      </c>
      <c r="AR113" s="675"/>
      <c r="AS113" s="674"/>
      <c r="AT113" s="675"/>
      <c r="AU113" s="675"/>
      <c r="AV113" s="178"/>
      <c r="AW113" s="163"/>
      <c r="AX113" s="163"/>
      <c r="AY113" s="163"/>
    </row>
    <row r="114">
      <c r="A114" s="623" t="s">
        <v>66</v>
      </c>
      <c r="B114" s="640"/>
      <c r="C114" s="640"/>
      <c r="D114" s="640"/>
      <c r="E114" s="640"/>
      <c r="F114" s="640"/>
      <c r="G114" s="640"/>
      <c r="H114" s="640"/>
      <c r="I114" s="640"/>
      <c r="J114" s="640"/>
      <c r="K114" s="640"/>
      <c r="L114" s="498" t="s">
        <v>192</v>
      </c>
      <c r="M114" s="640"/>
      <c r="N114" s="640"/>
      <c r="O114" s="640"/>
      <c r="P114" s="640"/>
      <c r="Q114" s="640"/>
      <c r="R114" s="640"/>
      <c r="S114" s="640"/>
      <c r="T114" s="640"/>
      <c r="U114" s="640"/>
      <c r="V114" s="640"/>
      <c r="W114" s="640"/>
      <c r="X114" s="623" t="s">
        <v>191</v>
      </c>
      <c r="Y114" s="640"/>
      <c r="Z114" s="640"/>
      <c r="AA114" s="640"/>
      <c r="AB114" s="640"/>
      <c r="AC114" s="640"/>
      <c r="AD114" s="641"/>
      <c r="AE114" s="641"/>
      <c r="AF114" s="640"/>
      <c r="AG114" s="623" t="s">
        <v>616</v>
      </c>
      <c r="AH114" s="640"/>
      <c r="AI114" s="640"/>
      <c r="AJ114" s="640"/>
      <c r="AK114" s="640"/>
      <c r="AL114" s="640"/>
      <c r="AM114" s="640"/>
      <c r="AN114" s="623" t="s">
        <v>66</v>
      </c>
      <c r="AO114" s="651"/>
      <c r="AP114" s="651"/>
      <c r="AQ114" s="228"/>
      <c r="AR114" s="651"/>
      <c r="AS114" s="650"/>
      <c r="AT114" s="651"/>
      <c r="AU114" s="651"/>
      <c r="AV114" s="258"/>
      <c r="AW114" s="258"/>
      <c r="AX114" s="258"/>
      <c r="AY114" s="258"/>
    </row>
    <row r="115">
      <c r="A115" s="38"/>
      <c r="B115" s="697"/>
      <c r="C115" s="697"/>
      <c r="D115" s="697"/>
      <c r="E115" s="697"/>
      <c r="F115" s="697"/>
      <c r="G115" s="697"/>
      <c r="H115" s="697"/>
      <c r="I115" s="697"/>
      <c r="J115" s="697"/>
      <c r="K115" s="697"/>
      <c r="L115" s="38"/>
      <c r="M115" s="658"/>
      <c r="N115" s="658"/>
      <c r="O115" s="658"/>
      <c r="P115" s="658"/>
      <c r="Q115" s="658"/>
      <c r="R115" s="658"/>
      <c r="S115" s="658"/>
      <c r="T115" s="658"/>
      <c r="U115" s="658"/>
      <c r="V115" s="658"/>
      <c r="W115" s="658"/>
      <c r="X115" s="38"/>
      <c r="Y115" s="658"/>
      <c r="Z115" s="658"/>
      <c r="AA115" s="658"/>
      <c r="AB115" s="658"/>
      <c r="AC115" s="658"/>
      <c r="AD115" s="658"/>
      <c r="AE115" s="847"/>
      <c r="AF115" s="658"/>
      <c r="AG115" s="38"/>
      <c r="AH115" s="658"/>
      <c r="AI115" s="658"/>
      <c r="AJ115" s="658"/>
      <c r="AK115" s="658"/>
      <c r="AL115" s="658"/>
      <c r="AM115" s="658"/>
      <c r="AN115" s="38"/>
      <c r="AO115" s="655"/>
      <c r="AP115" s="655"/>
      <c r="AQ115" s="161"/>
      <c r="AR115" s="655"/>
      <c r="AS115" s="663"/>
      <c r="AT115" s="655"/>
      <c r="AU115" s="655"/>
      <c r="AV115" s="163"/>
      <c r="AW115" s="258"/>
      <c r="AX115" s="258"/>
      <c r="AY115" s="258"/>
    </row>
    <row r="116">
      <c r="A116" s="44"/>
      <c r="B116" s="669"/>
      <c r="C116" s="669"/>
      <c r="D116" s="669"/>
      <c r="E116" s="669"/>
      <c r="F116" s="669"/>
      <c r="G116" s="669"/>
      <c r="H116" s="669"/>
      <c r="I116" s="669"/>
      <c r="J116" s="669"/>
      <c r="K116" s="669"/>
      <c r="L116" s="44"/>
      <c r="M116" s="675"/>
      <c r="N116" s="675"/>
      <c r="O116" s="675"/>
      <c r="P116" s="675"/>
      <c r="Q116" s="675"/>
      <c r="R116" s="675"/>
      <c r="S116" s="675"/>
      <c r="T116" s="675"/>
      <c r="U116" s="675"/>
      <c r="V116" s="675"/>
      <c r="W116" s="675"/>
      <c r="X116" s="44"/>
      <c r="Y116" s="675"/>
      <c r="Z116" s="675"/>
      <c r="AA116" s="675"/>
      <c r="AB116" s="675"/>
      <c r="AC116" s="675"/>
      <c r="AD116" s="669"/>
      <c r="AE116" s="669"/>
      <c r="AF116" s="675"/>
      <c r="AG116" s="44"/>
      <c r="AH116" s="675"/>
      <c r="AI116" s="675"/>
      <c r="AJ116" s="675"/>
      <c r="AK116" s="675"/>
      <c r="AL116" s="675"/>
      <c r="AM116" s="675"/>
      <c r="AN116" s="44"/>
      <c r="AO116" s="675"/>
      <c r="AP116" s="675"/>
      <c r="AQ116" s="177"/>
      <c r="AR116" s="675"/>
      <c r="AS116" s="674"/>
      <c r="AT116" s="675"/>
      <c r="AU116" s="675"/>
      <c r="AV116" s="178"/>
      <c r="AW116" s="163"/>
      <c r="AX116" s="163"/>
      <c r="AY116" s="163"/>
    </row>
  </sheetData>
  <mergeCells count="382">
    <mergeCell ref="X23:X25"/>
    <mergeCell ref="X26:X28"/>
    <mergeCell ref="X16:X18"/>
    <mergeCell ref="X19:X21"/>
    <mergeCell ref="M22:W22"/>
    <mergeCell ref="M23:W23"/>
    <mergeCell ref="M24:W24"/>
    <mergeCell ref="M25:W25"/>
    <mergeCell ref="V26:W26"/>
    <mergeCell ref="A23:A25"/>
    <mergeCell ref="A26:A28"/>
    <mergeCell ref="A29:A31"/>
    <mergeCell ref="A32:A34"/>
    <mergeCell ref="A35:A37"/>
    <mergeCell ref="A38:A40"/>
    <mergeCell ref="A42:A44"/>
    <mergeCell ref="A51:A53"/>
    <mergeCell ref="A54:A56"/>
    <mergeCell ref="A57:A59"/>
    <mergeCell ref="A61:A63"/>
    <mergeCell ref="A64:A66"/>
    <mergeCell ref="A67:A69"/>
    <mergeCell ref="A70:A72"/>
    <mergeCell ref="A95:A97"/>
    <mergeCell ref="A99:A101"/>
    <mergeCell ref="A102:A104"/>
    <mergeCell ref="A105:A107"/>
    <mergeCell ref="A108:A110"/>
    <mergeCell ref="A111:A113"/>
    <mergeCell ref="A114:A116"/>
    <mergeCell ref="A73:A75"/>
    <mergeCell ref="A76:A78"/>
    <mergeCell ref="A80:A82"/>
    <mergeCell ref="A83:A85"/>
    <mergeCell ref="A86:A88"/>
    <mergeCell ref="A89:A91"/>
    <mergeCell ref="A92:A94"/>
    <mergeCell ref="A45:A47"/>
    <mergeCell ref="A48:A50"/>
    <mergeCell ref="B48:K48"/>
    <mergeCell ref="L48:L50"/>
    <mergeCell ref="B49:K49"/>
    <mergeCell ref="B50:K50"/>
    <mergeCell ref="L51:L53"/>
    <mergeCell ref="M45:V45"/>
    <mergeCell ref="M46:V46"/>
    <mergeCell ref="M48:V48"/>
    <mergeCell ref="X48:X50"/>
    <mergeCell ref="M49:V49"/>
    <mergeCell ref="M50:V50"/>
    <mergeCell ref="X51:X53"/>
    <mergeCell ref="M64:Q64"/>
    <mergeCell ref="T64:U64"/>
    <mergeCell ref="L54:L56"/>
    <mergeCell ref="L57:L59"/>
    <mergeCell ref="B60:K60"/>
    <mergeCell ref="M60:W60"/>
    <mergeCell ref="B61:K63"/>
    <mergeCell ref="M61:W63"/>
    <mergeCell ref="B64:K64"/>
    <mergeCell ref="B66:K66"/>
    <mergeCell ref="B67:K67"/>
    <mergeCell ref="L67:L69"/>
    <mergeCell ref="B68:K68"/>
    <mergeCell ref="B69:K69"/>
    <mergeCell ref="L70:L72"/>
    <mergeCell ref="L73:L75"/>
    <mergeCell ref="B83:K83"/>
    <mergeCell ref="B84:K84"/>
    <mergeCell ref="B98:K98"/>
    <mergeCell ref="L76:L78"/>
    <mergeCell ref="B79:I79"/>
    <mergeCell ref="B80:K80"/>
    <mergeCell ref="L80:L82"/>
    <mergeCell ref="B81:K81"/>
    <mergeCell ref="B82:K82"/>
    <mergeCell ref="B85:K85"/>
    <mergeCell ref="L105:L107"/>
    <mergeCell ref="L108:L110"/>
    <mergeCell ref="L111:L113"/>
    <mergeCell ref="L114:L116"/>
    <mergeCell ref="L83:L85"/>
    <mergeCell ref="L86:L88"/>
    <mergeCell ref="L89:L91"/>
    <mergeCell ref="L92:L94"/>
    <mergeCell ref="L95:L97"/>
    <mergeCell ref="L99:L101"/>
    <mergeCell ref="L102:L104"/>
    <mergeCell ref="X54:X56"/>
    <mergeCell ref="X57:X59"/>
    <mergeCell ref="X61:X63"/>
    <mergeCell ref="X64:X66"/>
    <mergeCell ref="X67:X69"/>
    <mergeCell ref="X70:X72"/>
    <mergeCell ref="X73:X75"/>
    <mergeCell ref="X102:X104"/>
    <mergeCell ref="X105:X107"/>
    <mergeCell ref="X108:X110"/>
    <mergeCell ref="X111:X113"/>
    <mergeCell ref="X114:X116"/>
    <mergeCell ref="X80:X82"/>
    <mergeCell ref="X83:X85"/>
    <mergeCell ref="X86:X88"/>
    <mergeCell ref="X89:X91"/>
    <mergeCell ref="X92:X94"/>
    <mergeCell ref="X95:X97"/>
    <mergeCell ref="X99:X101"/>
    <mergeCell ref="A4:A6"/>
    <mergeCell ref="B4:K4"/>
    <mergeCell ref="L4:L6"/>
    <mergeCell ref="R4:S4"/>
    <mergeCell ref="X4:X6"/>
    <mergeCell ref="B5:K5"/>
    <mergeCell ref="R5:S5"/>
    <mergeCell ref="R6:S6"/>
    <mergeCell ref="B6:K6"/>
    <mergeCell ref="M6:Q6"/>
    <mergeCell ref="B7:K7"/>
    <mergeCell ref="B8:K8"/>
    <mergeCell ref="B9:K9"/>
    <mergeCell ref="T10:U10"/>
    <mergeCell ref="X13:X15"/>
    <mergeCell ref="B26:K26"/>
    <mergeCell ref="B27:K27"/>
    <mergeCell ref="B28:K28"/>
    <mergeCell ref="A13:A15"/>
    <mergeCell ref="A16:A18"/>
    <mergeCell ref="A19:A21"/>
    <mergeCell ref="B22:K22"/>
    <mergeCell ref="B23:K23"/>
    <mergeCell ref="B24:K24"/>
    <mergeCell ref="B25:K25"/>
    <mergeCell ref="L32:L34"/>
    <mergeCell ref="L35:L37"/>
    <mergeCell ref="M35:Q35"/>
    <mergeCell ref="M36:Q36"/>
    <mergeCell ref="M37:Q37"/>
    <mergeCell ref="B41:K41"/>
    <mergeCell ref="M41:W41"/>
    <mergeCell ref="L61:L63"/>
    <mergeCell ref="L64:L66"/>
    <mergeCell ref="B65:K65"/>
    <mergeCell ref="M65:Q65"/>
    <mergeCell ref="T65:U65"/>
    <mergeCell ref="M66:Q66"/>
    <mergeCell ref="T66:U66"/>
    <mergeCell ref="M85:U85"/>
    <mergeCell ref="M86:U86"/>
    <mergeCell ref="M87:U87"/>
    <mergeCell ref="M88:U88"/>
    <mergeCell ref="M98:W98"/>
    <mergeCell ref="X76:X78"/>
    <mergeCell ref="M79:W79"/>
    <mergeCell ref="R80:S80"/>
    <mergeCell ref="R81:S81"/>
    <mergeCell ref="R82:S82"/>
    <mergeCell ref="M83:U83"/>
    <mergeCell ref="M84:U84"/>
    <mergeCell ref="AG26:AG28"/>
    <mergeCell ref="AG35:AG37"/>
    <mergeCell ref="AG38:AG40"/>
    <mergeCell ref="AG42:AG44"/>
    <mergeCell ref="AG45:AG47"/>
    <mergeCell ref="AG48:AG50"/>
    <mergeCell ref="AG51:AG53"/>
    <mergeCell ref="AG105:AG107"/>
    <mergeCell ref="AG108:AG110"/>
    <mergeCell ref="AG111:AG113"/>
    <mergeCell ref="AG114:AG116"/>
    <mergeCell ref="AG64:AG66"/>
    <mergeCell ref="AG67:AG69"/>
    <mergeCell ref="AG70:AG72"/>
    <mergeCell ref="AG73:AG75"/>
    <mergeCell ref="AG76:AG78"/>
    <mergeCell ref="AG80:AG82"/>
    <mergeCell ref="AG83:AG85"/>
    <mergeCell ref="Y22:AF22"/>
    <mergeCell ref="AC23:AE23"/>
    <mergeCell ref="Y36:AB36"/>
    <mergeCell ref="Y37:AB37"/>
    <mergeCell ref="Y41:AF41"/>
    <mergeCell ref="Y42:AF44"/>
    <mergeCell ref="AG23:AG25"/>
    <mergeCell ref="AC24:AE24"/>
    <mergeCell ref="AC25:AE25"/>
    <mergeCell ref="Y29:AB29"/>
    <mergeCell ref="Y30:AB30"/>
    <mergeCell ref="Y31:AB31"/>
    <mergeCell ref="Y35:AB35"/>
    <mergeCell ref="Y66:AA66"/>
    <mergeCell ref="AD67:AE67"/>
    <mergeCell ref="AD68:AE68"/>
    <mergeCell ref="AD69:AE69"/>
    <mergeCell ref="Y79:AF79"/>
    <mergeCell ref="AC80:AE80"/>
    <mergeCell ref="AC81:AE81"/>
    <mergeCell ref="AC82:AE82"/>
    <mergeCell ref="AG54:AG56"/>
    <mergeCell ref="AG57:AG59"/>
    <mergeCell ref="Y60:AF60"/>
    <mergeCell ref="Y61:AF63"/>
    <mergeCell ref="AG61:AG63"/>
    <mergeCell ref="Y64:AA64"/>
    <mergeCell ref="Y65:AA65"/>
    <mergeCell ref="AG86:AG88"/>
    <mergeCell ref="AG89:AG91"/>
    <mergeCell ref="AG92:AG94"/>
    <mergeCell ref="AG95:AG97"/>
    <mergeCell ref="Y98:AF98"/>
    <mergeCell ref="AG99:AG101"/>
    <mergeCell ref="AG102:AG104"/>
    <mergeCell ref="AH1:AM1"/>
    <mergeCell ref="AN1:AN2"/>
    <mergeCell ref="AO1:AS1"/>
    <mergeCell ref="AT1:AU1"/>
    <mergeCell ref="B3:K3"/>
    <mergeCell ref="M3:W3"/>
    <mergeCell ref="Y3:AF3"/>
    <mergeCell ref="AH3:AM3"/>
    <mergeCell ref="AO3:AS3"/>
    <mergeCell ref="AT3:AU3"/>
    <mergeCell ref="A1:A2"/>
    <mergeCell ref="B1:K1"/>
    <mergeCell ref="L1:L2"/>
    <mergeCell ref="M1:W1"/>
    <mergeCell ref="X1:X2"/>
    <mergeCell ref="Y1:AF1"/>
    <mergeCell ref="AG1:AG2"/>
    <mergeCell ref="M4:Q4"/>
    <mergeCell ref="M5:Q5"/>
    <mergeCell ref="L10:L12"/>
    <mergeCell ref="AO8:AP8"/>
    <mergeCell ref="AO9:AP9"/>
    <mergeCell ref="AN10:AN12"/>
    <mergeCell ref="AO10:AP10"/>
    <mergeCell ref="AO11:AP11"/>
    <mergeCell ref="AO12:AP12"/>
    <mergeCell ref="A7:A9"/>
    <mergeCell ref="A10:A12"/>
    <mergeCell ref="X7:X9"/>
    <mergeCell ref="X10:X12"/>
    <mergeCell ref="Y10:AA10"/>
    <mergeCell ref="AG10:AG12"/>
    <mergeCell ref="T11:U11"/>
    <mergeCell ref="Y11:AA11"/>
    <mergeCell ref="T12:U12"/>
    <mergeCell ref="Y12:AA12"/>
    <mergeCell ref="AO25:AP25"/>
    <mergeCell ref="AH26:AJ26"/>
    <mergeCell ref="AH27:AJ27"/>
    <mergeCell ref="AH28:AJ28"/>
    <mergeCell ref="AH29:AJ29"/>
    <mergeCell ref="AH30:AJ30"/>
    <mergeCell ref="AO31:AP31"/>
    <mergeCell ref="AO23:AP23"/>
    <mergeCell ref="AO24:AP24"/>
    <mergeCell ref="AN26:AN28"/>
    <mergeCell ref="AO26:AP26"/>
    <mergeCell ref="AO27:AP27"/>
    <mergeCell ref="AO28:AP28"/>
    <mergeCell ref="AN29:AN31"/>
    <mergeCell ref="X35:X37"/>
    <mergeCell ref="X38:X40"/>
    <mergeCell ref="V27:W27"/>
    <mergeCell ref="V28:W28"/>
    <mergeCell ref="X29:X31"/>
    <mergeCell ref="X32:X34"/>
    <mergeCell ref="T35:U35"/>
    <mergeCell ref="T36:U36"/>
    <mergeCell ref="T37:U37"/>
    <mergeCell ref="L38:L40"/>
    <mergeCell ref="L45:L47"/>
    <mergeCell ref="L7:L9"/>
    <mergeCell ref="L13:L15"/>
    <mergeCell ref="L16:L18"/>
    <mergeCell ref="L19:L21"/>
    <mergeCell ref="L23:L25"/>
    <mergeCell ref="L26:L28"/>
    <mergeCell ref="L29:L31"/>
    <mergeCell ref="B47:K47"/>
    <mergeCell ref="M47:V47"/>
    <mergeCell ref="B42:K44"/>
    <mergeCell ref="L42:L44"/>
    <mergeCell ref="M42:W44"/>
    <mergeCell ref="X42:X44"/>
    <mergeCell ref="B45:K45"/>
    <mergeCell ref="X45:X47"/>
    <mergeCell ref="B46:K46"/>
    <mergeCell ref="AG4:AG6"/>
    <mergeCell ref="AN4:AN6"/>
    <mergeCell ref="AO4:AP4"/>
    <mergeCell ref="AO5:AP5"/>
    <mergeCell ref="AO6:AP6"/>
    <mergeCell ref="AN7:AN9"/>
    <mergeCell ref="AO7:AP7"/>
    <mergeCell ref="AC4:AE4"/>
    <mergeCell ref="AC5:AE5"/>
    <mergeCell ref="AC6:AE6"/>
    <mergeCell ref="AG7:AG9"/>
    <mergeCell ref="AG13:AG15"/>
    <mergeCell ref="AG16:AG18"/>
    <mergeCell ref="AG19:AG21"/>
    <mergeCell ref="AN13:AN15"/>
    <mergeCell ref="AN16:AN18"/>
    <mergeCell ref="AN19:AN21"/>
    <mergeCell ref="AH22:AM22"/>
    <mergeCell ref="AO22:AS22"/>
    <mergeCell ref="AT22:AU22"/>
    <mergeCell ref="AN23:AN25"/>
    <mergeCell ref="AO29:AP29"/>
    <mergeCell ref="AO30:AP30"/>
    <mergeCell ref="AG29:AG31"/>
    <mergeCell ref="AG32:AG34"/>
    <mergeCell ref="AH31:AJ31"/>
    <mergeCell ref="AH32:AJ32"/>
    <mergeCell ref="AH33:AJ33"/>
    <mergeCell ref="AH34:AJ34"/>
    <mergeCell ref="AH41:AM41"/>
    <mergeCell ref="AH42:AM44"/>
    <mergeCell ref="AN42:AN44"/>
    <mergeCell ref="AN45:AN47"/>
    <mergeCell ref="AN32:AN34"/>
    <mergeCell ref="AN35:AN37"/>
    <mergeCell ref="AN38:AN40"/>
    <mergeCell ref="AO41:AS41"/>
    <mergeCell ref="AT41:AU41"/>
    <mergeCell ref="AO42:AP42"/>
    <mergeCell ref="AO43:AP43"/>
    <mergeCell ref="AN99:AN101"/>
    <mergeCell ref="AN102:AN104"/>
    <mergeCell ref="AN105:AN107"/>
    <mergeCell ref="AN108:AN110"/>
    <mergeCell ref="AN111:AN113"/>
    <mergeCell ref="AN114:AN116"/>
    <mergeCell ref="AN76:AN78"/>
    <mergeCell ref="AN80:AN82"/>
    <mergeCell ref="AN83:AN85"/>
    <mergeCell ref="AN86:AN88"/>
    <mergeCell ref="AN89:AN91"/>
    <mergeCell ref="AN92:AN94"/>
    <mergeCell ref="AN95:AN97"/>
    <mergeCell ref="AO44:AP44"/>
    <mergeCell ref="AO45:AP45"/>
    <mergeCell ref="AO46:AP46"/>
    <mergeCell ref="AO47:AP47"/>
    <mergeCell ref="AO48:AP48"/>
    <mergeCell ref="AO49:AP49"/>
    <mergeCell ref="AO50:AP50"/>
    <mergeCell ref="AT61:AU61"/>
    <mergeCell ref="AT62:AU62"/>
    <mergeCell ref="AO63:AP63"/>
    <mergeCell ref="AT63:AU63"/>
    <mergeCell ref="AO64:AP64"/>
    <mergeCell ref="AT64:AU64"/>
    <mergeCell ref="AO65:AP65"/>
    <mergeCell ref="AT65:AU65"/>
    <mergeCell ref="AO66:AP66"/>
    <mergeCell ref="AT66:AU66"/>
    <mergeCell ref="AO51:AP51"/>
    <mergeCell ref="AO52:AP52"/>
    <mergeCell ref="AO53:AP53"/>
    <mergeCell ref="AO60:AS60"/>
    <mergeCell ref="AT60:AU60"/>
    <mergeCell ref="AO61:AP61"/>
    <mergeCell ref="AO62:AP62"/>
    <mergeCell ref="AN48:AN50"/>
    <mergeCell ref="AN51:AN53"/>
    <mergeCell ref="AN54:AN56"/>
    <mergeCell ref="AN57:AN59"/>
    <mergeCell ref="AH60:AM60"/>
    <mergeCell ref="AH61:AM63"/>
    <mergeCell ref="AN61:AN63"/>
    <mergeCell ref="AN64:AN66"/>
    <mergeCell ref="AN67:AN69"/>
    <mergeCell ref="AN70:AN72"/>
    <mergeCell ref="AN73:AN75"/>
    <mergeCell ref="AH79:AM79"/>
    <mergeCell ref="AO79:AS79"/>
    <mergeCell ref="AT79:AU79"/>
    <mergeCell ref="AH98:AM98"/>
    <mergeCell ref="AO98:AS98"/>
    <mergeCell ref="AT98:AU98"/>
  </mergeCells>
  <conditionalFormatting sqref="A1:A21 B1:K1 L1:L21 M1:V3 W1:W21 X1:X18 Y1:Z21 AA1:AA12 AB1:AB21 AC1:AC18 AD1:AD21 AE1:AE15 AF1:AM21 AN1:AN12 AO1:AO15 AP1:AP18 AQ1:AS12 B3:K21 AA14:AA15 AR16:AS21 AA17:AA21 AE17:AE18 AO17:AO18 AQ17:AQ18 M19:V21 AC20:AC21 AE20:AE21 AP20:AQ21 A23:A40 B23:K37 L23:L40 X23:X34 Y23:AB37 AC23:AE34 AF23:AF40 AH23:AI34 AJ23:AJ37 AM23:AM40 AN23:AP31 AQ23:AQ37 AR23:AR40 AS23:AS37 AK26:AL37 W29:W40 AG29:AG37 AN35:AP37 AC36:AE37 M38:V40 B39:G40 I39:I40 Y39:Y40 AA39:AC40 AE39:AE40 AH39:AJ40 AL39:AL40 AP39:AQ40 A42:A59 B42:B53 C42:D50 E42:E53 F42:F50 G42:G53 H42:I50 J42:J56 K42:K53 L42:L59 M42:M53 N42:N50 O42:P53 Q42:Q56 R42:S59 T42:U50 V42:V53 W42:Y59 Z42:AA56 AB42:AB57 AC42:AE56 AF42:AF44 AG42:AJ56 AK42:AK53 AL42:AL56 AM42:AM59 AQ42:AQ56 AR42:AR53 AN48:AN53 AO48:AO49 AP48:AP53 AF51:AF59 AO51:AO53 C54:C56 F54:F56 H54:H56 N54:N59 U54:U57 AR55:AR59 AS55 D57:D59 I57:I59 K57:K59 M57:M59 O57:P59 T57:T59 V57:V59 AE58:AE59 AQ58:AQ59 U59 AB59 A61:A78 B61:B72 C61:C69 D61:D72 E61:E69 F61:G75 H61:H72 I61:I69 J61:J72 K61:K69 L61:L78 M61:Q63 R61:S66 T61:U63 V61:W78 X61:Z75 AA61:AA72 AB61:AC78 AD61:AE75 AF61:AF78 AG61:AH69 AI61:AI72 AJ61:AL69 AM61:AM78 AN61:AN75 AO61:AP78 AQ61:AQ75 AR61:AS78 O70:O72 C73:C75 E73:E75 I73:I75 K73:K75 P73:P78 AA74:AA75 H75 M76:O78 Q76:U78 H77 Y77:Y78 AA77:AA78 AE77:AE78 AQ77:AQ78 A80:A97 B80:C94 D80:D88 E80:J94 K80:W97 X80:AA88 AB80:AB85 AF80:AG88 AH80:AH82 AM80:AP82 AQ80:AQ88 AR80:AR94 AS80:AS85 AE84:AE85 AH86:AH91 AK86:AM91 AB87:AB88 AE87:AE88 AI87:AJ88 AS89:AS91 Y90:Y91 AA90:AB91 AE90:AE91 AI90:AJ91 AQ90:AQ91 D92:D97 Y93:Y94 AA93:AB94 AE93:AE94 AH93:AM94 AQ93:AQ94 AF95:AF97 Y96:Y97 AA96:AC97 AE96:AE97 AH96:AM97 AQ96:AR97 A99:A116 L99:U116 V99:V113 W99:W116 X99:AA107 AF99:AF116 AG99:AG107 AH99:AH113 AM99:AM116 AR99:AR110 B100:G101 I100:I101 AB100:AC101 AE100:AE107 AP100:AQ101 AD102:AD107 B103:G104 I103:I104 AB103:AC104 AI103:AL104 AP103:AQ104 B106:G107 I106:I107 AB106:AC107 AI106:AL107 AP106:AP107 AQ106:AQ113 B109:G110 I109:I110 Y109:Y110 AA109:AC110 AI109:AL110 AP109:AP110 AD111:AE116 B112:G113 I112:I113 Y112:Y113 AA112:AC113 AI112:AL113 AP112:AP113 AR112:AR113 B115:G116 I115:I116 Y115:Y116 AA115:AC116 AH115:AL116 AP115:AR116">
    <cfRule type="expression" dxfId="0" priority="1">
      <formula>REGEXMATCH(A1, "(^\s+)|(\s+$)")</formula>
    </cfRule>
  </conditionalFormatting>
  <conditionalFormatting sqref="A1:A21 B1:K1 L1:L21 M1:V3 W1:W21 X1:X18 Y1:Z21 AA1:AA12 AB1:AB21 AC1:AC18 AD1:AD21 AE1:AE15 AF1:AM21 AN1:AN12 AO1:AO15 AP1:AP18 AQ1:AS12 B3:K21 AA14:AA15 AR16:AS21 AA17:AA21 AE17:AE18 AO17:AO18 AQ17:AQ18 M19:V21 AC20:AC21 AE20:AE21 AP20:AQ21 A23:A40 B23:K37 L23:L40 X23:X34 Y23:AB37 AC23:AE34 AF23:AF40 AH23:AI34 AJ23:AJ37 AM23:AM40 AN23:AP31 AQ23:AQ37 AR23:AR40 AS23:AS37 AK26:AL37 W29:W40 AG29:AG37 AN35:AP37 AC36:AE37 M38:V40 B39:G40 I39:I40 Y39:Y40 AA39:AC40 AE39:AE40 AH39:AJ40 AL39:AL40 AP39:AQ40 A42:A59 B42:B53 C42:D50 E42:E53 F42:F50 G42:G53 H42:I50 J42:J56 K42:K53 L42:L59 M42:M53 N42:N50 O42:P53 Q42:Q56 R42:S59 T42:U50 V42:V53 W42:Y59 Z42:AA56 AB42:AB57 AC42:AE56 AF42:AF44 AG42:AJ56 AK42:AK53 AL42:AL56 AM42:AM59 AQ42:AQ56 AR42:AR53 AN48:AN53 AO48:AO49 AP48:AP53 AF51:AF59 AO51:AO53 C54:C56 F54:F56 H54:H56 N54:N59 U54:U57 AR55:AR59 AS55 D57:D59 I57:I59 K57:K59 M57:M59 O57:P59 T57:T59 V57:V59 AE58:AE59 AQ58:AQ59 U59 AB59 A61:A78 B61:B72 C61:C69 D61:D72 E61:E69 F61:G75 H61:H72 I61:I69 J61:J72 K61:K69 L61:L78 M61:Q63 R61:S66 T61:U63 V61:W78 X61:Z75 AA61:AA72 AB61:AC78 AD61:AE75 AF61:AF78 AG61:AH69 AI61:AI72 AJ61:AL69 AM61:AM78 AN61:AN75 AO61:AP78 AQ61:AQ75 AR61:AS78 O70:O72 C73:C75 E73:E75 I73:I75 K73:K75 P73:P78 AA74:AA75 H75 M76:O78 Q76:U78 H77 Y77:Y78 AA77:AA78 AE77:AE78 AQ77:AQ78 A80:A97 B80:C94 D80:D88 E80:J94 K80:W97 X80:AA88 AB80:AB85 AF80:AG88 AH80:AH82 AM80:AP82 AQ80:AQ88 AR80:AR94 AS80:AS85 AE84:AE85 AH86:AH91 AK86:AM91 AB87:AB88 AE87:AE88 AI87:AJ88 AS89:AS91 Y90:Y91 AA90:AB91 AE90:AE91 AI90:AJ91 AQ90:AQ91 D92:D97 Y93:Y94 AA93:AB94 AE93:AE94 AH93:AM94 AQ93:AQ94 AF95:AF97 Y96:Y97 AA96:AC97 AE96:AE97 AH96:AM97 AQ96:AR97 A99:A116 L99:U116 V99:V113 W99:W116 X99:AA107 AF99:AF116 AG99:AG107 AH99:AH113 AM99:AM116 AR99:AR110 B100:G101 I100:I101 AB100:AC101 AE100:AE107 AP100:AQ101 AD102:AD107 B103:G104 I103:I104 AB103:AC104 AI103:AL104 AP103:AQ104 B106:G107 I106:I107 AB106:AC107 AI106:AL107 AP106:AP107 AQ106:AQ113 B109:G110 I109:I110 Y109:Y110 AA109:AC110 AI109:AL110 AP109:AP110 AD111:AE116 B112:G113 I112:I113 Y112:Y113 AA112:AC113 AI112:AL113 AP112:AP113 AR112:AR113 B115:G116 I115:I116 Y115:Y116 AA115:AC116 AH115:AL116 AP115:AR116">
    <cfRule type="expression" dxfId="0" priority="2">
      <formula>REGEXMATCH(A1, "[а-яА-Я]")</formula>
    </cfRule>
  </conditionalFormatting>
  <conditionalFormatting sqref="A1:A21 B1:K1 L1:L21 M1:V3 W1:W21 X1:X18 Y1:Z21 AA1:AA12 AB1:AB21 AC1:AC18 AD1:AD21 AE1:AE15 AF1:AM21 AN1:AN12 AO1:AO15 AP1:AP18 AQ1:AS12 B3:K21 AA14:AA15 AR16:AS21 AA17:AA21 AE17:AE18 AO17:AO18 AQ17:AQ18 M19:V21 AC20:AC21 AE20:AE21 AP20:AQ21 A23:A40 B23:K37 L23:L40 X23:X34 Y23:AB37 AC23:AE34 AF23:AF40 AH23:AI34 AJ23:AJ37 AM23:AM40 AN23:AP31 AQ23:AQ37 AR23:AR40 AS23:AS37 AK26:AL37 W29:W40 AG29:AG37 AN35:AP37 AC36:AE37 M38:V40 B39:G40 I39:I40 Y39:Y40 AA39:AC40 AE39:AE40 AH39:AJ40 AL39:AL40 AP39:AQ40 A42:A59 B42:B53 C42:D50 E42:E53 F42:F50 G42:G53 H42:I50 J42:J56 K42:K53 L42:L59 M42:M53 N42:N50 O42:P53 Q42:Q56 R42:S59 T42:U50 V42:V53 W42:Y59 Z42:AA56 AB42:AB57 AC42:AE56 AF42:AF44 AG42:AJ56 AK42:AK53 AL42:AL56 AM42:AM59 AQ42:AQ56 AR42:AR53 AN48:AN53 AO48:AO49 AP48:AP53 AF51:AF59 AO51:AO53 C54:C56 F54:F56 H54:H56 N54:N59 U54:U57 AR55:AR59 AS55 D57:D59 I57:I59 K57:K59 M57:M59 O57:P59 T57:T59 V57:V59 AE58:AE59 AQ58:AQ59 U59 AB59 A61:A78 B61:B72 C61:C69 D61:D72 E61:E69 F61:G75 H61:H72 I61:I69 J61:J72 K61:K69 L61:L78 M61:Q63 R61:S66 T61:U63 V61:W78 X61:Z75 AA61:AA72 AB61:AC78 AD61:AE75 AF61:AF78 AG61:AH69 AI61:AI72 AJ61:AL69 AM61:AM78 AN61:AN75 AO61:AP78 AQ61:AQ75 AR61:AS78 O70:O72 C73:C75 E73:E75 I73:I75 K73:K75 P73:P78 AA74:AA75 H75 M76:O78 Q76:U78 H77 Y77:Y78 AA77:AA78 AE77:AE78 AQ77:AQ78 A80:A97 B80:C94 D80:D88 E80:J94 K80:W97 X80:AA88 AB80:AB85 AF80:AG88 AH80:AH82 AM80:AP82 AQ80:AQ88 AR80:AR94 AS80:AS85 AE84:AE85 AH86:AH91 AK86:AM91 AB87:AB88 AE87:AE88 AI87:AJ88 AS89:AS91 Y90:Y91 AA90:AB91 AE90:AE91 AI90:AJ91 AQ90:AQ91 D92:D97 Y93:Y94 AA93:AB94 AE93:AE94 AH93:AM94 AQ93:AQ94 AF95:AF97 Y96:Y97 AA96:AC97 AE96:AE97 AH96:AM97 AQ96:AR97 A99:A116 L99:U116 V99:V113 W99:W116 X99:AA107 AF99:AF116 AG99:AG107 AH99:AH113 AM99:AM116 AR99:AR110 B100:G101 I100:I101 AB100:AC101 AE100:AE107 AP100:AQ101 AD102:AD107 B103:G104 I103:I104 AB103:AC104 AI103:AL104 AP103:AQ104 B106:G107 I106:I107 AB106:AC107 AI106:AL107 AP106:AP107 AQ106:AQ113 B109:G110 I109:I110 Y109:Y110 AA109:AC110 AI109:AL110 AP109:AP110 AD111:AE116 B112:G113 I112:I113 Y112:Y113 AA112:AC113 AI112:AL113 AP112:AP113 AR112:AR113 B115:G116 I115:I116 Y115:Y116 AA115:AC116 AH115:AL116 AP115:AR116">
    <cfRule type="expression" dxfId="0" priority="3">
      <formula>REGEXMATCH(A1, "\s{2,}")</formula>
    </cfRule>
  </conditionalFormatting>
  <conditionalFormatting sqref="A1:A21 B1:K1 L1:L21 M1:V3 W1:W21 X1:X18 Y1:Z21 AA1:AA12 AB1:AB21 AC1:AC18 AD1:AD21 AE1:AE15 AF1:AM21 AN1:AN12 AO1:AO15 AP1:AP18 AQ1:AS12 B3:K21 AA14:AA15 AR16:AS21 AA17:AA21 AE17:AE18 AO17:AO18 AQ17:AQ18 M19:V21 AC20:AC21 AE20:AE21 AP20:AQ21 A23:A40 B23:K37 L23:L40 X23:X34 Y23:AB37 AC23:AE34 AF23:AF40 AH23:AI34 AJ23:AJ37 AM23:AM40 AN23:AP31 AQ23:AQ37 AR23:AR40 AS23:AS37 AK26:AL37 W29:W40 AG29:AG37 AN35:AP37 AC36:AE37 M38:V40 B39:G40 I39:I40 Y39:Y40 AA39:AC40 AE39:AE40 AH39:AJ40 AL39:AL40 AP39:AQ40 A42:A59 B42:B53 C42:D50 E42:E53 F42:F50 G42:G53 H42:I50 J42:J56 K42:K53 L42:L59 M42:M53 N42:N50 O42:P53 Q42:Q56 R42:S59 T42:U50 V42:V53 W42:Y59 Z42:AA56 AB42:AB57 AC42:AE56 AF42:AF44 AG42:AJ56 AK42:AK53 AL42:AL56 AM42:AM59 AQ42:AQ56 AR42:AR53 AN48:AN53 AO48:AO49 AP48:AP53 AF51:AF59 AO51:AO53 C54:C56 F54:F56 H54:H56 N54:N59 U54:U57 AR55:AR59 AS55 D57:D59 I57:I59 K57:K59 M57:M59 O57:P59 T57:T59 V57:V59 AE58:AE59 AQ58:AQ59 U59 AB59 A61:A78 B61:B72 C61:C69 D61:D72 E61:E69 F61:G75 H61:H72 I61:I69 J61:J72 K61:K69 L61:L78 M61:Q63 R61:S66 T61:U63 V61:W78 X61:Z75 AA61:AA72 AB61:AC78 AD61:AE75 AF61:AF78 AG61:AH69 AI61:AI72 AJ61:AL69 AM61:AM78 AN61:AN75 AO61:AP78 AQ61:AQ75 AR61:AS78 O70:O72 C73:C75 E73:E75 I73:I75 K73:K75 P73:P78 AA74:AA75 H75 M76:O78 Q76:U78 H77 Y77:Y78 AA77:AA78 AE77:AE78 AQ77:AQ78 A80:A97 B80:C94 D80:D88 E80:J94 K80:W97 X80:AA88 AB80:AB85 AF80:AG88 AH80:AH82 AM80:AP82 AQ80:AQ88 AR80:AR94 AS80:AS85 AE84:AE85 AH86:AH91 AK86:AM91 AB87:AB88 AE87:AE88 AI87:AJ88 AS89:AS91 Y90:Y91 AA90:AB91 AE90:AE91 AI90:AJ91 AQ90:AQ91 D92:D97 Y93:Y94 AA93:AB94 AE93:AE94 AH93:AM94 AQ93:AQ94 AF95:AF97 Y96:Y97 AA96:AC97 AE96:AE97 AH96:AM97 AQ96:AR97 A99:A116 L99:U116 V99:V113 W99:W116 X99:AA107 AF99:AF116 AG99:AG107 AH99:AH113 AM99:AM116 AR99:AR110 B100:G101 I100:I101 AB100:AC101 AE100:AE107 AP100:AQ101 AD102:AD107 B103:G104 I103:I104 AB103:AC104 AI103:AL104 AP103:AQ104 B106:G107 I106:I107 AB106:AC107 AI106:AL107 AP106:AP107 AQ106:AQ113 B109:G110 I109:I110 Y109:Y110 AA109:AC110 AI109:AL110 AP109:AP110 AD111:AE116 B112:G113 I112:I113 Y112:Y113 AA112:AC113 AI112:AL113 AP112:AP113 AR112:AR113 B115:G116 I115:I116 Y115:Y116 AA115:AC116 AH115:AL116 AP115:AR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2" width="23.75"/>
    <col customWidth="1" min="3" max="12" width="22.38"/>
  </cols>
  <sheetData>
    <row r="1">
      <c r="A1" s="625"/>
      <c r="B1" s="626" t="s">
        <v>1</v>
      </c>
      <c r="C1" s="3"/>
      <c r="D1" s="3"/>
      <c r="E1" s="3"/>
      <c r="F1" s="3"/>
      <c r="G1" s="3"/>
      <c r="H1" s="3"/>
      <c r="I1" s="3"/>
      <c r="J1" s="3"/>
      <c r="K1" s="3"/>
      <c r="L1" s="4"/>
    </row>
    <row r="2">
      <c r="A2" s="44"/>
      <c r="B2" s="630" t="s">
        <v>114</v>
      </c>
      <c r="C2" s="629" t="s">
        <v>562</v>
      </c>
      <c r="D2" s="629" t="s">
        <v>563</v>
      </c>
      <c r="E2" s="144" t="s">
        <v>564</v>
      </c>
      <c r="F2" s="144" t="s">
        <v>565</v>
      </c>
      <c r="G2" s="629" t="s">
        <v>121</v>
      </c>
      <c r="H2" s="629" t="s">
        <v>566</v>
      </c>
      <c r="I2" s="629" t="s">
        <v>567</v>
      </c>
      <c r="J2" s="629" t="s">
        <v>568</v>
      </c>
      <c r="K2" s="629" t="s">
        <v>569</v>
      </c>
      <c r="L2" s="629" t="s">
        <v>570</v>
      </c>
    </row>
    <row r="3">
      <c r="A3" s="633" t="s">
        <v>38</v>
      </c>
      <c r="B3" s="634"/>
      <c r="L3" s="23"/>
    </row>
    <row r="4">
      <c r="A4" s="498" t="s">
        <v>130</v>
      </c>
      <c r="B4" s="638" t="s">
        <v>140</v>
      </c>
      <c r="C4" s="7"/>
      <c r="D4" s="7"/>
      <c r="E4" s="7"/>
      <c r="F4" s="8"/>
      <c r="G4" s="639" t="s">
        <v>592</v>
      </c>
      <c r="H4" s="8"/>
      <c r="I4" s="640"/>
      <c r="J4" s="640"/>
      <c r="K4" s="641"/>
      <c r="L4" s="642"/>
    </row>
    <row r="5">
      <c r="A5" s="38"/>
      <c r="B5" s="653" t="s">
        <v>79</v>
      </c>
      <c r="F5" s="23"/>
      <c r="G5" s="654" t="s">
        <v>269</v>
      </c>
      <c r="H5" s="23"/>
      <c r="I5" s="655"/>
      <c r="J5" s="655"/>
      <c r="K5" s="656"/>
      <c r="L5" s="657"/>
    </row>
    <row r="6">
      <c r="A6" s="44"/>
      <c r="B6" s="665" t="s">
        <v>596</v>
      </c>
      <c r="C6" s="46"/>
      <c r="D6" s="46"/>
      <c r="E6" s="46"/>
      <c r="F6" s="47"/>
      <c r="G6" s="666">
        <v>106.0</v>
      </c>
      <c r="H6" s="47"/>
      <c r="I6" s="667"/>
      <c r="J6" s="667"/>
      <c r="K6" s="668"/>
      <c r="L6" s="668"/>
    </row>
    <row r="7">
      <c r="A7" s="498" t="s">
        <v>145</v>
      </c>
      <c r="B7" s="640"/>
      <c r="C7" s="676" t="s">
        <v>196</v>
      </c>
      <c r="D7" s="641"/>
      <c r="E7" s="676" t="s">
        <v>196</v>
      </c>
      <c r="F7" s="641"/>
      <c r="G7" s="573"/>
      <c r="H7" s="640"/>
      <c r="I7" s="640"/>
      <c r="J7" s="640"/>
      <c r="K7" s="641"/>
      <c r="L7" s="677" t="s">
        <v>144</v>
      </c>
    </row>
    <row r="8">
      <c r="A8" s="38"/>
      <c r="B8" s="655"/>
      <c r="C8" s="454" t="s">
        <v>201</v>
      </c>
      <c r="D8" s="655"/>
      <c r="E8" s="454" t="s">
        <v>603</v>
      </c>
      <c r="F8" s="655"/>
      <c r="G8" s="575"/>
      <c r="H8" s="655"/>
      <c r="I8" s="655"/>
      <c r="J8" s="655"/>
      <c r="K8" s="656"/>
      <c r="L8" s="683" t="s">
        <v>151</v>
      </c>
    </row>
    <row r="9">
      <c r="A9" s="44"/>
      <c r="B9" s="667"/>
      <c r="C9" s="458">
        <v>312.0</v>
      </c>
      <c r="D9" s="667"/>
      <c r="E9" s="458">
        <v>317.0</v>
      </c>
      <c r="F9" s="667"/>
      <c r="G9" s="323"/>
      <c r="H9" s="688"/>
      <c r="I9" s="669"/>
      <c r="J9" s="667"/>
      <c r="K9" s="689"/>
      <c r="L9" s="690">
        <v>102.0</v>
      </c>
    </row>
    <row r="10">
      <c r="A10" s="498" t="s">
        <v>162</v>
      </c>
      <c r="B10" s="453" t="s">
        <v>196</v>
      </c>
      <c r="C10" s="640"/>
      <c r="D10" s="641"/>
      <c r="E10" s="641"/>
      <c r="F10" s="676" t="s">
        <v>196</v>
      </c>
      <c r="G10" s="681" t="s">
        <v>602</v>
      </c>
      <c r="H10" s="143"/>
      <c r="I10" s="695" t="s">
        <v>142</v>
      </c>
      <c r="J10" s="8"/>
      <c r="K10" s="640"/>
      <c r="L10" s="677" t="s">
        <v>161</v>
      </c>
    </row>
    <row r="11">
      <c r="A11" s="38"/>
      <c r="B11" s="706" t="s">
        <v>201</v>
      </c>
      <c r="C11" s="655"/>
      <c r="D11" s="655"/>
      <c r="E11" s="655"/>
      <c r="F11" s="454" t="s">
        <v>603</v>
      </c>
      <c r="G11" s="707" t="s">
        <v>233</v>
      </c>
      <c r="H11" s="143"/>
      <c r="I11" s="708" t="s">
        <v>149</v>
      </c>
      <c r="J11" s="23"/>
      <c r="K11" s="656"/>
      <c r="L11" s="683" t="s">
        <v>151</v>
      </c>
    </row>
    <row r="12">
      <c r="A12" s="44"/>
      <c r="B12" s="458">
        <v>312.0</v>
      </c>
      <c r="C12" s="669"/>
      <c r="D12" s="667"/>
      <c r="E12" s="667"/>
      <c r="F12" s="458">
        <v>317.0</v>
      </c>
      <c r="G12" s="716">
        <v>314.0</v>
      </c>
      <c r="H12" s="143"/>
      <c r="I12" s="670" t="s">
        <v>137</v>
      </c>
      <c r="J12" s="47"/>
      <c r="K12" s="668"/>
      <c r="L12" s="690">
        <v>102.0</v>
      </c>
    </row>
    <row r="13">
      <c r="A13" s="498" t="s">
        <v>174</v>
      </c>
      <c r="B13" s="640"/>
      <c r="C13" s="641"/>
      <c r="D13" s="720" t="s">
        <v>196</v>
      </c>
      <c r="E13" s="640"/>
      <c r="F13" s="641"/>
      <c r="G13" s="640"/>
      <c r="H13" s="721"/>
      <c r="I13" s="143"/>
      <c r="J13" s="640"/>
      <c r="K13" s="722"/>
      <c r="L13" s="677" t="s">
        <v>173</v>
      </c>
    </row>
    <row r="14">
      <c r="A14" s="38"/>
      <c r="B14" s="655"/>
      <c r="C14" s="726"/>
      <c r="D14" s="706" t="s">
        <v>201</v>
      </c>
      <c r="E14" s="658"/>
      <c r="F14" s="655"/>
      <c r="G14" s="655"/>
      <c r="H14" s="660"/>
      <c r="I14" s="143"/>
      <c r="J14" s="655"/>
      <c r="K14" s="657"/>
      <c r="L14" s="683" t="s">
        <v>151</v>
      </c>
    </row>
    <row r="15">
      <c r="A15" s="44"/>
      <c r="B15" s="675"/>
      <c r="C15" s="669"/>
      <c r="D15" s="458">
        <v>312.0</v>
      </c>
      <c r="E15" s="669"/>
      <c r="F15" s="667"/>
      <c r="G15" s="688"/>
      <c r="H15" s="730"/>
      <c r="I15" s="143"/>
      <c r="J15" s="667"/>
      <c r="K15" s="668"/>
      <c r="L15" s="690">
        <v>102.0</v>
      </c>
    </row>
    <row r="16">
      <c r="A16" s="498" t="s">
        <v>185</v>
      </c>
      <c r="B16" s="640"/>
      <c r="C16" s="641"/>
      <c r="D16" s="641"/>
      <c r="E16" s="641"/>
      <c r="F16" s="640"/>
      <c r="G16" s="641"/>
      <c r="H16" s="641"/>
      <c r="I16" s="641"/>
      <c r="J16" s="735"/>
      <c r="K16" s="641"/>
      <c r="L16" s="641"/>
    </row>
    <row r="17" ht="21.75" customHeight="1">
      <c r="A17" s="38"/>
      <c r="B17" s="656"/>
      <c r="C17" s="656"/>
      <c r="D17" s="656"/>
      <c r="E17" s="656"/>
      <c r="F17" s="656"/>
      <c r="G17" s="656"/>
      <c r="H17" s="656"/>
      <c r="I17" s="658"/>
      <c r="J17" s="143"/>
      <c r="K17" s="656"/>
      <c r="L17" s="656"/>
    </row>
    <row r="18">
      <c r="A18" s="44"/>
      <c r="B18" s="668"/>
      <c r="C18" s="668"/>
      <c r="D18" s="668"/>
      <c r="E18" s="668"/>
      <c r="F18" s="668"/>
      <c r="G18" s="668"/>
      <c r="H18" s="668"/>
      <c r="I18" s="669"/>
      <c r="J18" s="143"/>
      <c r="K18" s="668"/>
      <c r="L18" s="668"/>
    </row>
    <row r="19">
      <c r="A19" s="498" t="s">
        <v>192</v>
      </c>
      <c r="B19" s="640"/>
      <c r="C19" s="642"/>
      <c r="D19" s="642"/>
      <c r="E19" s="642"/>
      <c r="F19" s="642"/>
      <c r="G19" s="642"/>
      <c r="H19" s="642"/>
      <c r="I19" s="642"/>
      <c r="J19" s="642"/>
      <c r="K19" s="642"/>
      <c r="L19" s="641"/>
    </row>
    <row r="20">
      <c r="A20" s="38"/>
      <c r="B20" s="655"/>
      <c r="C20" s="656"/>
      <c r="D20" s="656"/>
      <c r="E20" s="656"/>
      <c r="F20" s="656"/>
      <c r="G20" s="656"/>
      <c r="H20" s="656"/>
      <c r="I20" s="656"/>
      <c r="J20" s="656"/>
      <c r="K20" s="656"/>
      <c r="L20" s="656"/>
    </row>
    <row r="21">
      <c r="A21" s="44"/>
      <c r="B21" s="667"/>
      <c r="C21" s="668"/>
      <c r="D21" s="668"/>
      <c r="E21" s="668"/>
      <c r="F21" s="668"/>
      <c r="G21" s="668"/>
      <c r="H21" s="668"/>
      <c r="I21" s="668"/>
      <c r="J21" s="668"/>
      <c r="K21" s="668"/>
      <c r="L21" s="668"/>
    </row>
    <row r="22">
      <c r="A22" s="633" t="s">
        <v>74</v>
      </c>
      <c r="B22" s="636"/>
      <c r="C22" s="3"/>
      <c r="D22" s="3"/>
      <c r="E22" s="3"/>
      <c r="F22" s="3"/>
      <c r="G22" s="3"/>
      <c r="H22" s="3"/>
      <c r="I22" s="3"/>
      <c r="J22" s="3"/>
      <c r="K22" s="3"/>
      <c r="L22" s="4"/>
    </row>
    <row r="23">
      <c r="A23" s="498" t="s">
        <v>130</v>
      </c>
      <c r="B23" s="752" t="s">
        <v>129</v>
      </c>
      <c r="C23" s="7"/>
      <c r="D23" s="7"/>
      <c r="E23" s="7"/>
      <c r="F23" s="7"/>
      <c r="G23" s="7"/>
      <c r="H23" s="7"/>
      <c r="I23" s="7"/>
      <c r="J23" s="7"/>
      <c r="K23" s="7"/>
      <c r="L23" s="8"/>
    </row>
    <row r="24">
      <c r="A24" s="38"/>
      <c r="B24" s="757" t="s">
        <v>135</v>
      </c>
      <c r="L24" s="23"/>
    </row>
    <row r="25">
      <c r="A25" s="44"/>
      <c r="B25" s="762" t="s">
        <v>137</v>
      </c>
      <c r="C25" s="46"/>
      <c r="D25" s="46"/>
      <c r="E25" s="46"/>
      <c r="F25" s="46"/>
      <c r="G25" s="46"/>
      <c r="H25" s="46"/>
      <c r="I25" s="46"/>
      <c r="J25" s="46"/>
      <c r="K25" s="46"/>
      <c r="L25" s="47"/>
    </row>
    <row r="26">
      <c r="A26" s="498" t="s">
        <v>145</v>
      </c>
      <c r="B26" s="640"/>
      <c r="C26" s="766" t="s">
        <v>143</v>
      </c>
      <c r="D26" s="641"/>
      <c r="E26" s="767" t="s">
        <v>143</v>
      </c>
      <c r="F26" s="766" t="s">
        <v>143</v>
      </c>
      <c r="G26" s="143"/>
      <c r="H26" s="768"/>
      <c r="I26" s="769" t="s">
        <v>143</v>
      </c>
      <c r="J26" s="699" t="s">
        <v>206</v>
      </c>
      <c r="K26" s="770" t="s">
        <v>143</v>
      </c>
      <c r="L26" s="8"/>
    </row>
    <row r="27">
      <c r="A27" s="38"/>
      <c r="B27" s="655"/>
      <c r="C27" s="219" t="s">
        <v>200</v>
      </c>
      <c r="D27" s="774"/>
      <c r="E27" s="775" t="s">
        <v>233</v>
      </c>
      <c r="F27" s="775" t="s">
        <v>620</v>
      </c>
      <c r="G27" s="143"/>
      <c r="H27" s="776"/>
      <c r="I27" s="777" t="s">
        <v>621</v>
      </c>
      <c r="J27" s="747" t="s">
        <v>168</v>
      </c>
      <c r="K27" s="778" t="s">
        <v>150</v>
      </c>
      <c r="L27" s="23"/>
    </row>
    <row r="28">
      <c r="A28" s="44"/>
      <c r="B28" s="675"/>
      <c r="C28" s="782">
        <v>308.0</v>
      </c>
      <c r="D28" s="675"/>
      <c r="E28" s="782">
        <v>314.0</v>
      </c>
      <c r="F28" s="782">
        <v>318.0</v>
      </c>
      <c r="G28" s="143"/>
      <c r="H28" s="783"/>
      <c r="I28" s="784">
        <v>316.0</v>
      </c>
      <c r="J28" s="785" t="s">
        <v>712</v>
      </c>
      <c r="K28" s="786">
        <v>101.0</v>
      </c>
      <c r="L28" s="47"/>
    </row>
    <row r="29">
      <c r="A29" s="498" t="s">
        <v>162</v>
      </c>
      <c r="B29" s="143"/>
      <c r="C29" s="640"/>
      <c r="D29" s="767" t="s">
        <v>143</v>
      </c>
      <c r="E29" s="640"/>
      <c r="F29" s="640"/>
      <c r="G29" s="767" t="s">
        <v>143</v>
      </c>
      <c r="H29" s="791" t="s">
        <v>143</v>
      </c>
      <c r="I29" s="699" t="s">
        <v>206</v>
      </c>
      <c r="J29" s="769" t="s">
        <v>143</v>
      </c>
      <c r="K29" s="698"/>
      <c r="L29" s="792" t="s">
        <v>208</v>
      </c>
    </row>
    <row r="30">
      <c r="A30" s="38"/>
      <c r="B30" s="143"/>
      <c r="C30" s="655"/>
      <c r="D30" s="775" t="s">
        <v>233</v>
      </c>
      <c r="E30" s="658"/>
      <c r="F30" s="658"/>
      <c r="G30" s="798" t="s">
        <v>200</v>
      </c>
      <c r="H30" s="775" t="s">
        <v>150</v>
      </c>
      <c r="I30" s="747" t="s">
        <v>168</v>
      </c>
      <c r="J30" s="777" t="s">
        <v>621</v>
      </c>
      <c r="K30" s="658"/>
      <c r="L30" s="799" t="s">
        <v>99</v>
      </c>
    </row>
    <row r="31">
      <c r="A31" s="44"/>
      <c r="B31" s="143"/>
      <c r="C31" s="675"/>
      <c r="D31" s="782">
        <v>314.0</v>
      </c>
      <c r="E31" s="675"/>
      <c r="F31" s="675"/>
      <c r="G31" s="782">
        <v>308.0</v>
      </c>
      <c r="H31" s="784">
        <v>101.0</v>
      </c>
      <c r="I31" s="785">
        <v>104.0</v>
      </c>
      <c r="J31" s="784">
        <v>316.0</v>
      </c>
      <c r="K31" s="675"/>
      <c r="L31" s="804">
        <v>102.0</v>
      </c>
    </row>
    <row r="32">
      <c r="A32" s="498" t="s">
        <v>174</v>
      </c>
      <c r="B32" s="769" t="s">
        <v>143</v>
      </c>
      <c r="C32" s="808"/>
      <c r="D32" s="642"/>
      <c r="E32" s="808"/>
      <c r="F32" s="642"/>
      <c r="G32" s="641"/>
      <c r="H32" s="642"/>
      <c r="I32" s="143"/>
      <c r="J32" s="640"/>
      <c r="K32" s="809"/>
      <c r="L32" s="792" t="s">
        <v>208</v>
      </c>
    </row>
    <row r="33">
      <c r="A33" s="38"/>
      <c r="B33" s="811" t="s">
        <v>200</v>
      </c>
      <c r="C33" s="143"/>
      <c r="D33" s="656"/>
      <c r="E33" s="143"/>
      <c r="F33" s="656"/>
      <c r="G33" s="658"/>
      <c r="H33" s="658"/>
      <c r="I33" s="143"/>
      <c r="J33" s="655"/>
      <c r="K33" s="760"/>
      <c r="L33" s="799" t="s">
        <v>99</v>
      </c>
    </row>
    <row r="34">
      <c r="A34" s="44"/>
      <c r="B34" s="782">
        <v>308.0</v>
      </c>
      <c r="C34" s="143"/>
      <c r="D34" s="668"/>
      <c r="E34" s="143"/>
      <c r="F34" s="668"/>
      <c r="G34" s="675"/>
      <c r="H34" s="669"/>
      <c r="I34" s="143"/>
      <c r="J34" s="675"/>
      <c r="K34" s="691"/>
      <c r="L34" s="804">
        <v>102.0</v>
      </c>
    </row>
    <row r="35">
      <c r="A35" s="498" t="s">
        <v>185</v>
      </c>
      <c r="B35" s="814" t="s">
        <v>635</v>
      </c>
      <c r="C35" s="7"/>
      <c r="D35" s="7"/>
      <c r="E35" s="7"/>
      <c r="F35" s="8"/>
      <c r="G35" s="642"/>
      <c r="H35" s="642"/>
      <c r="I35" s="814" t="s">
        <v>635</v>
      </c>
      <c r="J35" s="8"/>
      <c r="K35" s="808"/>
      <c r="L35" s="642"/>
    </row>
    <row r="36">
      <c r="A36" s="38"/>
      <c r="B36" s="815" t="s">
        <v>637</v>
      </c>
      <c r="F36" s="23"/>
      <c r="G36" s="658"/>
      <c r="H36" s="658"/>
      <c r="I36" s="816" t="s">
        <v>637</v>
      </c>
      <c r="J36" s="23"/>
      <c r="K36" s="143"/>
      <c r="L36" s="655"/>
    </row>
    <row r="37">
      <c r="A37" s="44"/>
      <c r="B37" s="817">
        <v>105.0</v>
      </c>
      <c r="C37" s="46"/>
      <c r="D37" s="46"/>
      <c r="E37" s="46"/>
      <c r="F37" s="47"/>
      <c r="G37" s="669"/>
      <c r="H37" s="669"/>
      <c r="I37" s="817">
        <v>105.0</v>
      </c>
      <c r="J37" s="47"/>
      <c r="K37" s="143"/>
      <c r="L37" s="669"/>
    </row>
    <row r="38">
      <c r="A38" s="498" t="s">
        <v>192</v>
      </c>
      <c r="B38" s="642"/>
      <c r="C38" s="642"/>
      <c r="D38" s="642"/>
      <c r="E38" s="642"/>
      <c r="F38" s="642"/>
      <c r="G38" s="642"/>
      <c r="H38" s="642"/>
      <c r="I38" s="642"/>
      <c r="J38" s="642"/>
      <c r="K38" s="642"/>
      <c r="L38" s="642"/>
    </row>
    <row r="39">
      <c r="A39" s="38"/>
      <c r="B39" s="655"/>
      <c r="C39" s="655"/>
      <c r="D39" s="655"/>
      <c r="E39" s="655"/>
      <c r="F39" s="655"/>
      <c r="G39" s="655"/>
      <c r="H39" s="655"/>
      <c r="I39" s="655"/>
      <c r="J39" s="655"/>
      <c r="K39" s="655"/>
      <c r="L39" s="655"/>
    </row>
    <row r="40">
      <c r="A40" s="44"/>
      <c r="B40" s="669"/>
      <c r="C40" s="669"/>
      <c r="D40" s="669"/>
      <c r="E40" s="669"/>
      <c r="F40" s="669"/>
      <c r="G40" s="669"/>
      <c r="H40" s="669"/>
      <c r="I40" s="669"/>
      <c r="J40" s="669"/>
      <c r="K40" s="669"/>
      <c r="L40" s="669"/>
    </row>
    <row r="41">
      <c r="A41" s="633" t="s">
        <v>82</v>
      </c>
      <c r="B41" s="748"/>
      <c r="C41" s="7"/>
      <c r="D41" s="7"/>
      <c r="E41" s="7"/>
      <c r="F41" s="7"/>
      <c r="G41" s="7"/>
      <c r="H41" s="7"/>
      <c r="I41" s="7"/>
      <c r="J41" s="7"/>
      <c r="K41" s="7"/>
      <c r="L41" s="8"/>
    </row>
    <row r="42">
      <c r="A42" s="498" t="s">
        <v>130</v>
      </c>
      <c r="B42" s="824" t="s">
        <v>85</v>
      </c>
      <c r="C42" s="7"/>
      <c r="D42" s="7"/>
      <c r="E42" s="7"/>
      <c r="F42" s="7"/>
      <c r="G42" s="7"/>
      <c r="H42" s="7"/>
      <c r="I42" s="7"/>
      <c r="J42" s="7"/>
      <c r="K42" s="7"/>
      <c r="L42" s="8"/>
    </row>
    <row r="43">
      <c r="A43" s="38"/>
      <c r="L43" s="23"/>
    </row>
    <row r="44">
      <c r="A44" s="44"/>
      <c r="L44" s="23"/>
    </row>
    <row r="45">
      <c r="A45" s="498" t="s">
        <v>145</v>
      </c>
      <c r="B45" s="831" t="s">
        <v>288</v>
      </c>
      <c r="C45" s="7"/>
      <c r="D45" s="7"/>
      <c r="E45" s="7"/>
      <c r="F45" s="7"/>
      <c r="G45" s="7"/>
      <c r="H45" s="7"/>
      <c r="I45" s="7"/>
      <c r="J45" s="7"/>
      <c r="K45" s="8"/>
      <c r="L45" s="792" t="s">
        <v>226</v>
      </c>
    </row>
    <row r="46">
      <c r="A46" s="38"/>
      <c r="B46" s="833" t="s">
        <v>169</v>
      </c>
      <c r="K46" s="23"/>
      <c r="L46" s="799" t="s">
        <v>235</v>
      </c>
    </row>
    <row r="47">
      <c r="A47" s="44"/>
      <c r="B47" s="835" t="s">
        <v>137</v>
      </c>
      <c r="C47" s="46"/>
      <c r="D47" s="46"/>
      <c r="E47" s="46"/>
      <c r="F47" s="46"/>
      <c r="G47" s="46"/>
      <c r="H47" s="46"/>
      <c r="I47" s="46"/>
      <c r="J47" s="46"/>
      <c r="K47" s="47"/>
      <c r="L47" s="804">
        <v>102.0</v>
      </c>
    </row>
    <row r="48">
      <c r="A48" s="498" t="s">
        <v>162</v>
      </c>
      <c r="B48" s="836" t="s">
        <v>298</v>
      </c>
      <c r="C48" s="7"/>
      <c r="D48" s="7"/>
      <c r="E48" s="7"/>
      <c r="F48" s="7"/>
      <c r="G48" s="7"/>
      <c r="H48" s="7"/>
      <c r="I48" s="7"/>
      <c r="J48" s="7"/>
      <c r="K48" s="8"/>
      <c r="L48" s="792" t="s">
        <v>226</v>
      </c>
    </row>
    <row r="49">
      <c r="A49" s="38"/>
      <c r="B49" s="839" t="s">
        <v>293</v>
      </c>
      <c r="K49" s="23"/>
      <c r="L49" s="799" t="s">
        <v>235</v>
      </c>
    </row>
    <row r="50">
      <c r="A50" s="44"/>
      <c r="B50" s="840">
        <v>105.0</v>
      </c>
      <c r="C50" s="46"/>
      <c r="D50" s="46"/>
      <c r="E50" s="46"/>
      <c r="F50" s="46"/>
      <c r="G50" s="46"/>
      <c r="H50" s="46"/>
      <c r="I50" s="46"/>
      <c r="J50" s="46"/>
      <c r="K50" s="47"/>
      <c r="L50" s="804">
        <v>102.0</v>
      </c>
    </row>
    <row r="51">
      <c r="A51" s="498" t="s">
        <v>174</v>
      </c>
      <c r="B51" s="841" t="s">
        <v>302</v>
      </c>
      <c r="C51" s="329" t="s">
        <v>649</v>
      </c>
      <c r="D51" s="641"/>
      <c r="E51" s="841" t="s">
        <v>302</v>
      </c>
      <c r="F51" s="641"/>
      <c r="G51" s="641"/>
      <c r="H51" s="640"/>
      <c r="I51" s="640"/>
      <c r="J51" s="640"/>
      <c r="K51" s="841" t="s">
        <v>302</v>
      </c>
      <c r="L51" s="698"/>
    </row>
    <row r="52">
      <c r="A52" s="38"/>
      <c r="B52" s="846" t="s">
        <v>53</v>
      </c>
      <c r="C52" s="351" t="s">
        <v>654</v>
      </c>
      <c r="D52" s="655"/>
      <c r="E52" s="425" t="s">
        <v>54</v>
      </c>
      <c r="F52" s="658"/>
      <c r="G52" s="658"/>
      <c r="H52" s="847"/>
      <c r="I52" s="655"/>
      <c r="J52" s="655"/>
      <c r="K52" s="386" t="s">
        <v>152</v>
      </c>
      <c r="L52" s="656"/>
    </row>
    <row r="53">
      <c r="A53" s="44"/>
      <c r="B53" s="428">
        <v>101.0</v>
      </c>
      <c r="C53" s="342">
        <v>317.0</v>
      </c>
      <c r="D53" s="667"/>
      <c r="E53" s="428" t="s">
        <v>713</v>
      </c>
      <c r="F53" s="669"/>
      <c r="G53" s="669"/>
      <c r="H53" s="688"/>
      <c r="I53" s="675"/>
      <c r="J53" s="675"/>
      <c r="K53" s="390">
        <v>314.0</v>
      </c>
      <c r="L53" s="668"/>
    </row>
    <row r="54">
      <c r="A54" s="498" t="s">
        <v>185</v>
      </c>
      <c r="B54" s="329" t="s">
        <v>649</v>
      </c>
      <c r="C54" s="841" t="s">
        <v>302</v>
      </c>
      <c r="D54" s="329" t="s">
        <v>649</v>
      </c>
      <c r="E54" s="329" t="s">
        <v>649</v>
      </c>
      <c r="F54" s="841" t="s">
        <v>302</v>
      </c>
      <c r="G54" s="641"/>
      <c r="H54" s="841" t="s">
        <v>302</v>
      </c>
      <c r="I54" s="329" t="s">
        <v>649</v>
      </c>
      <c r="J54" s="841" t="s">
        <v>302</v>
      </c>
      <c r="K54" s="640"/>
      <c r="L54" s="640"/>
    </row>
    <row r="55">
      <c r="A55" s="38"/>
      <c r="B55" s="351" t="s">
        <v>658</v>
      </c>
      <c r="C55" s="846" t="s">
        <v>53</v>
      </c>
      <c r="D55" s="351" t="s">
        <v>659</v>
      </c>
      <c r="E55" s="351" t="s">
        <v>231</v>
      </c>
      <c r="F55" s="425" t="s">
        <v>54</v>
      </c>
      <c r="G55" s="658"/>
      <c r="H55" s="386" t="s">
        <v>660</v>
      </c>
      <c r="I55" s="351" t="s">
        <v>661</v>
      </c>
      <c r="J55" s="386" t="s">
        <v>152</v>
      </c>
      <c r="K55" s="655"/>
      <c r="L55" s="658"/>
    </row>
    <row r="56">
      <c r="A56" s="44"/>
      <c r="B56" s="342" t="s">
        <v>714</v>
      </c>
      <c r="C56" s="428">
        <v>101.0</v>
      </c>
      <c r="D56" s="342">
        <v>317.0</v>
      </c>
      <c r="E56" s="342">
        <v>321.0</v>
      </c>
      <c r="F56" s="428" t="s">
        <v>715</v>
      </c>
      <c r="G56" s="669"/>
      <c r="H56" s="390">
        <v>421.0</v>
      </c>
      <c r="I56" s="342">
        <v>316.0</v>
      </c>
      <c r="J56" s="390">
        <v>314.0</v>
      </c>
      <c r="K56" s="675"/>
      <c r="L56" s="669"/>
    </row>
    <row r="57">
      <c r="A57" s="498" t="s">
        <v>192</v>
      </c>
      <c r="B57" s="640"/>
      <c r="C57" s="640"/>
      <c r="D57" s="841" t="s">
        <v>302</v>
      </c>
      <c r="E57" s="641"/>
      <c r="F57" s="329" t="s">
        <v>649</v>
      </c>
      <c r="G57" s="841" t="s">
        <v>302</v>
      </c>
      <c r="H57" s="647" t="s">
        <v>602</v>
      </c>
      <c r="I57" s="841" t="s">
        <v>302</v>
      </c>
      <c r="J57" s="854" t="s">
        <v>649</v>
      </c>
      <c r="K57" s="641"/>
      <c r="L57" s="641"/>
    </row>
    <row r="58">
      <c r="A58" s="38"/>
      <c r="B58" s="663"/>
      <c r="C58" s="663"/>
      <c r="D58" s="425" t="s">
        <v>53</v>
      </c>
      <c r="E58" s="655"/>
      <c r="F58" s="351" t="s">
        <v>659</v>
      </c>
      <c r="G58" s="386" t="s">
        <v>152</v>
      </c>
      <c r="H58" s="661" t="s">
        <v>233</v>
      </c>
      <c r="I58" s="425" t="s">
        <v>54</v>
      </c>
      <c r="J58" s="351" t="s">
        <v>661</v>
      </c>
      <c r="K58" s="856"/>
      <c r="L58" s="655"/>
    </row>
    <row r="59">
      <c r="A59" s="44"/>
      <c r="B59" s="669"/>
      <c r="C59" s="669"/>
      <c r="D59" s="428">
        <v>101.0</v>
      </c>
      <c r="E59" s="667"/>
      <c r="F59" s="342">
        <v>321.0</v>
      </c>
      <c r="G59" s="390">
        <v>314.0</v>
      </c>
      <c r="H59" s="672">
        <v>312.0</v>
      </c>
      <c r="I59" s="428" t="s">
        <v>716</v>
      </c>
      <c r="J59" s="859">
        <v>316.0</v>
      </c>
      <c r="K59" s="669"/>
      <c r="L59" s="667"/>
    </row>
    <row r="60">
      <c r="A60" s="633" t="s">
        <v>86</v>
      </c>
      <c r="B60" s="861"/>
      <c r="L60" s="23"/>
    </row>
    <row r="61">
      <c r="A61" s="498" t="s">
        <v>130</v>
      </c>
      <c r="B61" s="824" t="s">
        <v>85</v>
      </c>
      <c r="C61" s="7"/>
      <c r="D61" s="7"/>
      <c r="E61" s="7"/>
      <c r="F61" s="7"/>
      <c r="G61" s="7"/>
      <c r="H61" s="7"/>
      <c r="I61" s="7"/>
      <c r="J61" s="7"/>
      <c r="K61" s="7"/>
      <c r="L61" s="8"/>
    </row>
    <row r="62">
      <c r="A62" s="38"/>
      <c r="L62" s="23"/>
    </row>
    <row r="63">
      <c r="A63" s="44"/>
      <c r="L63" s="23"/>
    </row>
    <row r="64">
      <c r="A64" s="498" t="s">
        <v>145</v>
      </c>
      <c r="B64" s="814" t="s">
        <v>635</v>
      </c>
      <c r="C64" s="7"/>
      <c r="D64" s="7"/>
      <c r="E64" s="7"/>
      <c r="F64" s="8"/>
      <c r="G64" s="640"/>
      <c r="H64" s="640"/>
      <c r="I64" s="814" t="s">
        <v>635</v>
      </c>
      <c r="J64" s="8"/>
      <c r="K64" s="875" t="s">
        <v>207</v>
      </c>
      <c r="L64" s="876" t="s">
        <v>251</v>
      </c>
    </row>
    <row r="65">
      <c r="A65" s="38"/>
      <c r="B65" s="815" t="s">
        <v>637</v>
      </c>
      <c r="F65" s="23"/>
      <c r="G65" s="847"/>
      <c r="H65" s="658"/>
      <c r="I65" s="816" t="s">
        <v>637</v>
      </c>
      <c r="J65" s="23"/>
      <c r="K65" s="883" t="s">
        <v>218</v>
      </c>
      <c r="L65" s="884" t="s">
        <v>253</v>
      </c>
    </row>
    <row r="66">
      <c r="A66" s="44"/>
      <c r="B66" s="817">
        <v>105.0</v>
      </c>
      <c r="C66" s="46"/>
      <c r="D66" s="46"/>
      <c r="E66" s="46"/>
      <c r="F66" s="47"/>
      <c r="G66" s="688"/>
      <c r="H66" s="669"/>
      <c r="I66" s="817">
        <v>105.0</v>
      </c>
      <c r="J66" s="47"/>
      <c r="K66" s="890">
        <v>103.0</v>
      </c>
      <c r="L66" s="891" t="s">
        <v>137</v>
      </c>
    </row>
    <row r="67">
      <c r="A67" s="498" t="s">
        <v>162</v>
      </c>
      <c r="B67" s="640"/>
      <c r="C67" s="329" t="s">
        <v>649</v>
      </c>
      <c r="D67" s="640"/>
      <c r="E67" s="897"/>
      <c r="F67" s="329" t="s">
        <v>649</v>
      </c>
      <c r="G67" s="305"/>
      <c r="H67" s="640"/>
      <c r="I67" s="897"/>
      <c r="J67" s="329" t="s">
        <v>649</v>
      </c>
      <c r="K67" s="642"/>
      <c r="L67" s="876" t="s">
        <v>358</v>
      </c>
    </row>
    <row r="68">
      <c r="A68" s="38"/>
      <c r="B68" s="655"/>
      <c r="C68" s="351" t="s">
        <v>654</v>
      </c>
      <c r="D68" s="655"/>
      <c r="E68" s="161"/>
      <c r="F68" s="351" t="s">
        <v>659</v>
      </c>
      <c r="G68" s="359"/>
      <c r="H68" s="847"/>
      <c r="I68" s="161"/>
      <c r="J68" s="351" t="s">
        <v>661</v>
      </c>
      <c r="K68" s="658"/>
      <c r="L68" s="884" t="s">
        <v>361</v>
      </c>
    </row>
    <row r="69">
      <c r="A69" s="44"/>
      <c r="B69" s="667"/>
      <c r="C69" s="342" t="s">
        <v>717</v>
      </c>
      <c r="D69" s="667"/>
      <c r="E69" s="177"/>
      <c r="F69" s="901">
        <v>103.0</v>
      </c>
      <c r="G69" s="177"/>
      <c r="H69" s="688"/>
      <c r="I69" s="177"/>
      <c r="J69" s="342">
        <v>317.0</v>
      </c>
      <c r="K69" s="675"/>
      <c r="L69" s="891">
        <v>102.0</v>
      </c>
    </row>
    <row r="70">
      <c r="A70" s="498" t="s">
        <v>174</v>
      </c>
      <c r="B70" s="329" t="s">
        <v>649</v>
      </c>
      <c r="C70" s="678"/>
      <c r="D70" s="499" t="s">
        <v>379</v>
      </c>
      <c r="E70" s="329" t="s">
        <v>649</v>
      </c>
      <c r="F70" s="640"/>
      <c r="G70" s="640"/>
      <c r="H70" s="640"/>
      <c r="I70" s="329" t="s">
        <v>649</v>
      </c>
      <c r="J70" s="904"/>
      <c r="K70" s="905" t="s">
        <v>225</v>
      </c>
      <c r="L70" s="143"/>
    </row>
    <row r="71">
      <c r="A71" s="38"/>
      <c r="B71" s="351" t="s">
        <v>658</v>
      </c>
      <c r="C71" s="774"/>
      <c r="D71" s="501" t="s">
        <v>660</v>
      </c>
      <c r="E71" s="351" t="s">
        <v>231</v>
      </c>
      <c r="F71" s="655"/>
      <c r="G71" s="655"/>
      <c r="H71" s="655"/>
      <c r="I71" s="351" t="s">
        <v>661</v>
      </c>
      <c r="J71" s="359"/>
      <c r="K71" s="913" t="s">
        <v>234</v>
      </c>
      <c r="L71" s="143"/>
    </row>
    <row r="72">
      <c r="A72" s="44"/>
      <c r="B72" s="342">
        <v>301.0</v>
      </c>
      <c r="C72" s="691"/>
      <c r="D72" s="918" t="s">
        <v>678</v>
      </c>
      <c r="E72" s="342">
        <v>421.0</v>
      </c>
      <c r="F72" s="675"/>
      <c r="G72" s="667"/>
      <c r="H72" s="667"/>
      <c r="I72" s="342">
        <v>314.0</v>
      </c>
      <c r="J72" s="177"/>
      <c r="K72" s="890">
        <v>103.0</v>
      </c>
      <c r="L72" s="143"/>
    </row>
    <row r="73">
      <c r="A73" s="498" t="s">
        <v>185</v>
      </c>
      <c r="B73" s="923"/>
      <c r="C73" s="904"/>
      <c r="D73" s="329" t="s">
        <v>649</v>
      </c>
      <c r="E73" s="499" t="s">
        <v>379</v>
      </c>
      <c r="F73" s="897"/>
      <c r="G73" s="904"/>
      <c r="H73" s="641"/>
      <c r="I73" s="904"/>
      <c r="J73" s="641"/>
      <c r="K73" s="641"/>
      <c r="L73" s="642"/>
    </row>
    <row r="74">
      <c r="A74" s="38"/>
      <c r="B74" s="658"/>
      <c r="C74" s="359"/>
      <c r="D74" s="351" t="s">
        <v>659</v>
      </c>
      <c r="E74" s="501" t="s">
        <v>660</v>
      </c>
      <c r="F74" s="161"/>
      <c r="G74" s="359"/>
      <c r="H74" s="658"/>
      <c r="I74" s="359"/>
      <c r="J74" s="658"/>
      <c r="K74" s="856"/>
      <c r="L74" s="655"/>
    </row>
    <row r="75">
      <c r="A75" s="44"/>
      <c r="B75" s="675"/>
      <c r="C75" s="177"/>
      <c r="D75" s="342">
        <v>314.0</v>
      </c>
      <c r="E75" s="918" t="s">
        <v>678</v>
      </c>
      <c r="F75" s="177"/>
      <c r="G75" s="177"/>
      <c r="H75" s="669"/>
      <c r="I75" s="177"/>
      <c r="J75" s="669"/>
      <c r="K75" s="669"/>
      <c r="L75" s="668"/>
    </row>
    <row r="76">
      <c r="A76" s="498" t="s">
        <v>192</v>
      </c>
      <c r="B76" s="928"/>
      <c r="C76" s="928"/>
      <c r="D76" s="928"/>
      <c r="E76" s="928"/>
      <c r="F76" s="928"/>
      <c r="G76" s="928"/>
      <c r="H76" s="928"/>
      <c r="I76" s="928"/>
      <c r="J76" s="928"/>
      <c r="K76" s="928"/>
      <c r="L76" s="928"/>
    </row>
    <row r="77">
      <c r="A77" s="38"/>
      <c r="B77" s="929"/>
      <c r="C77" s="929"/>
      <c r="D77" s="929"/>
      <c r="E77" s="929"/>
      <c r="F77" s="929"/>
      <c r="G77" s="929"/>
      <c r="H77" s="929"/>
      <c r="I77" s="929"/>
      <c r="J77" s="929"/>
      <c r="K77" s="929"/>
      <c r="L77" s="929"/>
    </row>
    <row r="78">
      <c r="A78" s="44"/>
      <c r="B78" s="931"/>
      <c r="C78" s="931"/>
      <c r="D78" s="931"/>
      <c r="E78" s="931"/>
      <c r="F78" s="931"/>
      <c r="G78" s="931"/>
      <c r="H78" s="931"/>
      <c r="I78" s="931"/>
      <c r="J78" s="931"/>
      <c r="K78" s="931"/>
      <c r="L78" s="931"/>
    </row>
    <row r="79">
      <c r="A79" s="633" t="s">
        <v>92</v>
      </c>
      <c r="B79" s="748"/>
      <c r="C79" s="7"/>
      <c r="D79" s="7"/>
      <c r="E79" s="7"/>
      <c r="F79" s="7"/>
      <c r="G79" s="7"/>
      <c r="H79" s="7"/>
      <c r="I79" s="7"/>
      <c r="J79" s="7"/>
      <c r="K79" s="7"/>
      <c r="L79" s="8"/>
    </row>
    <row r="80">
      <c r="A80" s="498" t="s">
        <v>130</v>
      </c>
      <c r="B80" s="640"/>
      <c r="C80" s="640"/>
      <c r="D80" s="640"/>
      <c r="E80" s="640"/>
      <c r="F80" s="640"/>
      <c r="G80" s="793" t="s">
        <v>353</v>
      </c>
      <c r="H80" s="8"/>
      <c r="I80" s="640"/>
      <c r="J80" s="640"/>
      <c r="K80" s="934" t="s">
        <v>353</v>
      </c>
      <c r="L80" s="324"/>
    </row>
    <row r="81">
      <c r="A81" s="38"/>
      <c r="B81" s="658"/>
      <c r="C81" s="658"/>
      <c r="D81" s="658"/>
      <c r="E81" s="658"/>
      <c r="F81" s="658"/>
      <c r="G81" s="940" t="s">
        <v>136</v>
      </c>
      <c r="H81" s="23"/>
      <c r="I81" s="658"/>
      <c r="J81" s="658"/>
      <c r="K81" s="941" t="s">
        <v>136</v>
      </c>
      <c r="L81" s="324"/>
    </row>
    <row r="82">
      <c r="A82" s="44"/>
      <c r="B82" s="675"/>
      <c r="C82" s="675"/>
      <c r="D82" s="675"/>
      <c r="E82" s="675"/>
      <c r="F82" s="675"/>
      <c r="G82" s="945" t="s">
        <v>137</v>
      </c>
      <c r="H82" s="47"/>
      <c r="I82" s="675"/>
      <c r="J82" s="675"/>
      <c r="K82" s="946" t="s">
        <v>137</v>
      </c>
      <c r="L82" s="821"/>
    </row>
    <row r="83">
      <c r="A83" s="498" t="s">
        <v>145</v>
      </c>
      <c r="B83" s="950" t="s">
        <v>367</v>
      </c>
      <c r="C83" s="7"/>
      <c r="D83" s="7"/>
      <c r="E83" s="7"/>
      <c r="F83" s="7"/>
      <c r="G83" s="7"/>
      <c r="H83" s="7"/>
      <c r="I83" s="7"/>
      <c r="J83" s="8"/>
      <c r="K83" s="934" t="s">
        <v>357</v>
      </c>
      <c r="L83" s="324"/>
    </row>
    <row r="84">
      <c r="A84" s="38"/>
      <c r="B84" s="952" t="s">
        <v>371</v>
      </c>
      <c r="J84" s="23"/>
      <c r="K84" s="953" t="s">
        <v>78</v>
      </c>
      <c r="L84" s="324"/>
    </row>
    <row r="85">
      <c r="A85" s="44"/>
      <c r="B85" s="955">
        <v>105.0</v>
      </c>
      <c r="C85" s="46"/>
      <c r="D85" s="46"/>
      <c r="E85" s="46"/>
      <c r="F85" s="46"/>
      <c r="G85" s="46"/>
      <c r="H85" s="46"/>
      <c r="I85" s="46"/>
      <c r="J85" s="47"/>
      <c r="K85" s="946">
        <v>316.0</v>
      </c>
      <c r="L85" s="821"/>
    </row>
    <row r="86">
      <c r="A86" s="498" t="s">
        <v>162</v>
      </c>
      <c r="B86" s="950" t="s">
        <v>375</v>
      </c>
      <c r="C86" s="7"/>
      <c r="D86" s="7"/>
      <c r="E86" s="7"/>
      <c r="F86" s="7"/>
      <c r="G86" s="7"/>
      <c r="H86" s="7"/>
      <c r="I86" s="7"/>
      <c r="J86" s="8"/>
      <c r="K86" s="324"/>
      <c r="L86" s="324"/>
    </row>
    <row r="87">
      <c r="A87" s="38"/>
      <c r="B87" s="952" t="s">
        <v>371</v>
      </c>
      <c r="J87" s="23"/>
      <c r="K87" s="324"/>
      <c r="L87" s="324"/>
    </row>
    <row r="88">
      <c r="A88" s="44"/>
      <c r="B88" s="955">
        <v>105.0</v>
      </c>
      <c r="C88" s="46"/>
      <c r="D88" s="46"/>
      <c r="E88" s="46"/>
      <c r="F88" s="46"/>
      <c r="G88" s="46"/>
      <c r="H88" s="46"/>
      <c r="I88" s="46"/>
      <c r="J88" s="47"/>
      <c r="K88" s="821"/>
      <c r="L88" s="821"/>
    </row>
    <row r="89">
      <c r="A89" s="498" t="s">
        <v>174</v>
      </c>
      <c r="B89" s="492" t="s">
        <v>379</v>
      </c>
      <c r="C89" s="156"/>
      <c r="D89" s="492" t="s">
        <v>379</v>
      </c>
      <c r="E89" s="156"/>
      <c r="F89" s="967" t="s">
        <v>379</v>
      </c>
      <c r="G89" s="968" t="s">
        <v>357</v>
      </c>
      <c r="H89" s="969" t="s">
        <v>379</v>
      </c>
      <c r="I89" s="698"/>
      <c r="J89" s="928"/>
      <c r="K89" s="970" t="s">
        <v>692</v>
      </c>
      <c r="L89" s="324"/>
    </row>
    <row r="90">
      <c r="A90" s="38"/>
      <c r="B90" s="502" t="s">
        <v>56</v>
      </c>
      <c r="C90" s="156"/>
      <c r="D90" s="502" t="s">
        <v>660</v>
      </c>
      <c r="E90" s="156"/>
      <c r="F90" s="974" t="s">
        <v>381</v>
      </c>
      <c r="G90" s="953" t="s">
        <v>78</v>
      </c>
      <c r="H90" s="589" t="s">
        <v>693</v>
      </c>
      <c r="I90" s="656"/>
      <c r="J90" s="929"/>
      <c r="K90" s="975" t="s">
        <v>339</v>
      </c>
      <c r="L90" s="324"/>
    </row>
    <row r="91">
      <c r="A91" s="44"/>
      <c r="B91" s="378">
        <v>101.0</v>
      </c>
      <c r="C91" s="172"/>
      <c r="D91" s="378">
        <v>317.0</v>
      </c>
      <c r="E91" s="172"/>
      <c r="F91" s="590">
        <v>308.0</v>
      </c>
      <c r="G91" s="977">
        <v>316.0</v>
      </c>
      <c r="H91" s="590">
        <v>312.0</v>
      </c>
      <c r="I91" s="668"/>
      <c r="J91" s="931"/>
      <c r="K91" s="978" t="s">
        <v>718</v>
      </c>
      <c r="L91" s="821"/>
    </row>
    <row r="92">
      <c r="A92" s="498" t="s">
        <v>185</v>
      </c>
      <c r="B92" s="156"/>
      <c r="C92" s="492" t="s">
        <v>379</v>
      </c>
      <c r="D92" s="156"/>
      <c r="E92" s="492" t="s">
        <v>379</v>
      </c>
      <c r="F92" s="698"/>
      <c r="G92" s="969" t="s">
        <v>379</v>
      </c>
      <c r="H92" s="968" t="s">
        <v>357</v>
      </c>
      <c r="I92" s="969" t="s">
        <v>379</v>
      </c>
      <c r="J92" s="967" t="s">
        <v>379</v>
      </c>
      <c r="K92" s="970" t="s">
        <v>692</v>
      </c>
      <c r="L92" s="324"/>
    </row>
    <row r="93">
      <c r="A93" s="38"/>
      <c r="B93" s="156"/>
      <c r="C93" s="502" t="s">
        <v>56</v>
      </c>
      <c r="D93" s="156"/>
      <c r="E93" s="502" t="s">
        <v>660</v>
      </c>
      <c r="F93" s="655"/>
      <c r="G93" s="979" t="s">
        <v>381</v>
      </c>
      <c r="H93" s="941" t="s">
        <v>152</v>
      </c>
      <c r="I93" s="589" t="s">
        <v>693</v>
      </c>
      <c r="J93" s="587" t="s">
        <v>383</v>
      </c>
      <c r="K93" s="975" t="s">
        <v>339</v>
      </c>
      <c r="L93" s="324"/>
    </row>
    <row r="94">
      <c r="A94" s="44"/>
      <c r="B94" s="172"/>
      <c r="C94" s="378">
        <v>101.0</v>
      </c>
      <c r="D94" s="172"/>
      <c r="E94" s="378">
        <v>317.0</v>
      </c>
      <c r="F94" s="655"/>
      <c r="G94" s="590">
        <v>308.0</v>
      </c>
      <c r="H94" s="977">
        <v>316.0</v>
      </c>
      <c r="I94" s="590">
        <v>312.0</v>
      </c>
      <c r="J94" s="590">
        <v>303.0</v>
      </c>
      <c r="K94" s="978" t="s">
        <v>719</v>
      </c>
      <c r="L94" s="821"/>
    </row>
    <row r="95">
      <c r="A95" s="498" t="s">
        <v>192</v>
      </c>
      <c r="B95" s="928"/>
      <c r="C95" s="928"/>
      <c r="D95" s="928"/>
      <c r="E95" s="928"/>
      <c r="F95" s="928"/>
      <c r="G95" s="928"/>
      <c r="H95" s="928"/>
      <c r="I95" s="928"/>
      <c r="J95" s="928"/>
      <c r="K95" s="970" t="s">
        <v>692</v>
      </c>
      <c r="L95" s="324"/>
    </row>
    <row r="96">
      <c r="A96" s="38"/>
      <c r="B96" s="929"/>
      <c r="C96" s="929"/>
      <c r="D96" s="929"/>
      <c r="E96" s="929"/>
      <c r="F96" s="929"/>
      <c r="G96" s="929"/>
      <c r="H96" s="929"/>
      <c r="I96" s="929"/>
      <c r="J96" s="929"/>
      <c r="K96" s="975" t="s">
        <v>339</v>
      </c>
      <c r="L96" s="324"/>
    </row>
    <row r="97">
      <c r="A97" s="44"/>
      <c r="B97" s="931"/>
      <c r="C97" s="931"/>
      <c r="D97" s="931"/>
      <c r="E97" s="931"/>
      <c r="F97" s="931"/>
      <c r="G97" s="931"/>
      <c r="H97" s="931"/>
      <c r="I97" s="931"/>
      <c r="J97" s="931"/>
      <c r="K97" s="978" t="s">
        <v>720</v>
      </c>
      <c r="L97" s="821"/>
    </row>
    <row r="98">
      <c r="A98" s="633" t="s">
        <v>103</v>
      </c>
      <c r="B98" s="636"/>
      <c r="C98" s="3"/>
      <c r="D98" s="3"/>
      <c r="E98" s="3"/>
      <c r="F98" s="3"/>
      <c r="G98" s="3"/>
      <c r="H98" s="3"/>
      <c r="I98" s="3"/>
      <c r="J98" s="3"/>
      <c r="K98" s="3"/>
      <c r="L98" s="4"/>
    </row>
    <row r="99">
      <c r="A99" s="498" t="s">
        <v>130</v>
      </c>
      <c r="B99" s="640"/>
      <c r="C99" s="640"/>
      <c r="D99" s="640"/>
      <c r="E99" s="640"/>
      <c r="F99" s="640"/>
      <c r="G99" s="640"/>
      <c r="H99" s="640"/>
      <c r="I99" s="640"/>
      <c r="J99" s="640"/>
      <c r="K99" s="970" t="s">
        <v>332</v>
      </c>
      <c r="L99" s="640"/>
    </row>
    <row r="100">
      <c r="A100" s="38"/>
      <c r="B100" s="658"/>
      <c r="C100" s="658"/>
      <c r="D100" s="658"/>
      <c r="E100" s="658"/>
      <c r="F100" s="658"/>
      <c r="G100" s="658"/>
      <c r="H100" s="658"/>
      <c r="I100" s="658"/>
      <c r="J100" s="658"/>
      <c r="K100" s="975" t="s">
        <v>339</v>
      </c>
      <c r="L100" s="658"/>
    </row>
    <row r="101">
      <c r="A101" s="44"/>
      <c r="B101" s="675"/>
      <c r="C101" s="675"/>
      <c r="D101" s="675"/>
      <c r="E101" s="675"/>
      <c r="F101" s="675"/>
      <c r="G101" s="675"/>
      <c r="H101" s="675"/>
      <c r="I101" s="675"/>
      <c r="J101" s="675"/>
      <c r="K101" s="978" t="s">
        <v>721</v>
      </c>
      <c r="L101" s="675"/>
    </row>
    <row r="102">
      <c r="A102" s="498" t="s">
        <v>145</v>
      </c>
      <c r="B102" s="640"/>
      <c r="C102" s="640"/>
      <c r="D102" s="640"/>
      <c r="E102" s="640"/>
      <c r="F102" s="640"/>
      <c r="G102" s="640"/>
      <c r="H102" s="640"/>
      <c r="I102" s="640"/>
      <c r="J102" s="640"/>
      <c r="K102" s="970" t="s">
        <v>332</v>
      </c>
      <c r="L102" s="640"/>
    </row>
    <row r="103">
      <c r="A103" s="38"/>
      <c r="B103" s="658"/>
      <c r="C103" s="658"/>
      <c r="D103" s="658"/>
      <c r="E103" s="658"/>
      <c r="F103" s="658"/>
      <c r="G103" s="658"/>
      <c r="H103" s="658"/>
      <c r="I103" s="658"/>
      <c r="J103" s="658"/>
      <c r="K103" s="975" t="s">
        <v>339</v>
      </c>
      <c r="L103" s="658"/>
    </row>
    <row r="104">
      <c r="A104" s="44"/>
      <c r="B104" s="675"/>
      <c r="C104" s="675"/>
      <c r="D104" s="675"/>
      <c r="E104" s="675"/>
      <c r="F104" s="675"/>
      <c r="G104" s="675"/>
      <c r="H104" s="675"/>
      <c r="I104" s="675"/>
      <c r="J104" s="675"/>
      <c r="K104" s="978" t="s">
        <v>722</v>
      </c>
      <c r="L104" s="675"/>
    </row>
    <row r="105">
      <c r="A105" s="498" t="s">
        <v>162</v>
      </c>
      <c r="B105" s="640"/>
      <c r="C105" s="640"/>
      <c r="D105" s="640"/>
      <c r="E105" s="640"/>
      <c r="F105" s="640"/>
      <c r="G105" s="640"/>
      <c r="H105" s="640"/>
      <c r="I105" s="640"/>
      <c r="J105" s="640"/>
      <c r="K105" s="640"/>
      <c r="L105" s="640"/>
    </row>
    <row r="106">
      <c r="A106" s="38"/>
      <c r="B106" s="658"/>
      <c r="C106" s="658"/>
      <c r="D106" s="658"/>
      <c r="E106" s="658"/>
      <c r="F106" s="658"/>
      <c r="G106" s="658"/>
      <c r="H106" s="658"/>
      <c r="I106" s="658"/>
      <c r="J106" s="658"/>
      <c r="K106" s="658"/>
      <c r="L106" s="658"/>
    </row>
    <row r="107">
      <c r="A107" s="44"/>
      <c r="B107" s="675"/>
      <c r="C107" s="675"/>
      <c r="D107" s="675"/>
      <c r="E107" s="675"/>
      <c r="F107" s="675"/>
      <c r="G107" s="675"/>
      <c r="H107" s="675"/>
      <c r="I107" s="675"/>
      <c r="J107" s="675"/>
      <c r="K107" s="675"/>
      <c r="L107" s="675"/>
    </row>
    <row r="108">
      <c r="A108" s="498" t="s">
        <v>174</v>
      </c>
      <c r="B108" s="640"/>
      <c r="C108" s="640"/>
      <c r="D108" s="640"/>
      <c r="E108" s="640"/>
      <c r="F108" s="640"/>
      <c r="G108" s="640"/>
      <c r="H108" s="640"/>
      <c r="I108" s="640"/>
      <c r="J108" s="640"/>
      <c r="K108" s="640"/>
      <c r="L108" s="640"/>
    </row>
    <row r="109">
      <c r="A109" s="38"/>
      <c r="B109" s="658"/>
      <c r="C109" s="658"/>
      <c r="D109" s="658"/>
      <c r="E109" s="658"/>
      <c r="F109" s="658"/>
      <c r="G109" s="658"/>
      <c r="H109" s="658"/>
      <c r="I109" s="658"/>
      <c r="J109" s="658"/>
      <c r="K109" s="658"/>
      <c r="L109" s="658"/>
    </row>
    <row r="110">
      <c r="A110" s="44"/>
      <c r="B110" s="675"/>
      <c r="C110" s="675"/>
      <c r="D110" s="675"/>
      <c r="E110" s="675"/>
      <c r="F110" s="675"/>
      <c r="G110" s="675"/>
      <c r="H110" s="675"/>
      <c r="I110" s="675"/>
      <c r="J110" s="675"/>
      <c r="K110" s="675"/>
      <c r="L110" s="675"/>
    </row>
    <row r="111">
      <c r="A111" s="498" t="s">
        <v>185</v>
      </c>
      <c r="B111" s="640"/>
      <c r="C111" s="640"/>
      <c r="D111" s="640"/>
      <c r="E111" s="640"/>
      <c r="F111" s="640"/>
      <c r="G111" s="640"/>
      <c r="H111" s="640"/>
      <c r="I111" s="640"/>
      <c r="J111" s="640"/>
      <c r="K111" s="640"/>
      <c r="L111" s="640"/>
    </row>
    <row r="112">
      <c r="A112" s="38"/>
      <c r="B112" s="658"/>
      <c r="C112" s="658"/>
      <c r="D112" s="658"/>
      <c r="E112" s="658"/>
      <c r="F112" s="658"/>
      <c r="G112" s="658"/>
      <c r="H112" s="658"/>
      <c r="I112" s="658"/>
      <c r="J112" s="658"/>
      <c r="K112" s="658"/>
      <c r="L112" s="658"/>
    </row>
    <row r="113">
      <c r="A113" s="44"/>
      <c r="B113" s="675"/>
      <c r="C113" s="675"/>
      <c r="D113" s="675"/>
      <c r="E113" s="675"/>
      <c r="F113" s="675"/>
      <c r="G113" s="675"/>
      <c r="H113" s="675"/>
      <c r="I113" s="675"/>
      <c r="J113" s="675"/>
      <c r="K113" s="675"/>
      <c r="L113" s="675"/>
    </row>
    <row r="114">
      <c r="A114" s="498" t="s">
        <v>192</v>
      </c>
      <c r="B114" s="640"/>
      <c r="C114" s="640"/>
      <c r="D114" s="640"/>
      <c r="E114" s="640"/>
      <c r="F114" s="640"/>
      <c r="G114" s="640"/>
      <c r="H114" s="640"/>
      <c r="I114" s="640"/>
      <c r="J114" s="640"/>
      <c r="K114" s="640"/>
      <c r="L114" s="640"/>
    </row>
    <row r="115">
      <c r="A115" s="38"/>
      <c r="B115" s="658"/>
      <c r="C115" s="658"/>
      <c r="D115" s="658"/>
      <c r="E115" s="658"/>
      <c r="F115" s="658"/>
      <c r="G115" s="658"/>
      <c r="H115" s="658"/>
      <c r="I115" s="658"/>
      <c r="J115" s="658"/>
      <c r="K115" s="658"/>
      <c r="L115" s="658"/>
    </row>
    <row r="116">
      <c r="A116" s="44"/>
      <c r="B116" s="675"/>
      <c r="C116" s="675"/>
      <c r="D116" s="675"/>
      <c r="E116" s="675"/>
      <c r="F116" s="675"/>
      <c r="G116" s="675"/>
      <c r="H116" s="675"/>
      <c r="I116" s="675"/>
      <c r="J116" s="675"/>
      <c r="K116" s="675"/>
      <c r="L116" s="675"/>
    </row>
  </sheetData>
  <mergeCells count="88">
    <mergeCell ref="B64:F64"/>
    <mergeCell ref="B65:F65"/>
    <mergeCell ref="A54:A56"/>
    <mergeCell ref="A57:A59"/>
    <mergeCell ref="B60:L60"/>
    <mergeCell ref="A61:A63"/>
    <mergeCell ref="B61:L63"/>
    <mergeCell ref="I64:J64"/>
    <mergeCell ref="I65:J65"/>
    <mergeCell ref="I66:J66"/>
    <mergeCell ref="A64:A66"/>
    <mergeCell ref="B66:F66"/>
    <mergeCell ref="A67:A69"/>
    <mergeCell ref="A70:A72"/>
    <mergeCell ref="A73:A75"/>
    <mergeCell ref="A76:A78"/>
    <mergeCell ref="A80:A82"/>
    <mergeCell ref="B86:J86"/>
    <mergeCell ref="B87:J87"/>
    <mergeCell ref="B88:J88"/>
    <mergeCell ref="B98:L98"/>
    <mergeCell ref="B79:L79"/>
    <mergeCell ref="G80:H80"/>
    <mergeCell ref="G81:H81"/>
    <mergeCell ref="G82:H82"/>
    <mergeCell ref="B83:J83"/>
    <mergeCell ref="B84:J84"/>
    <mergeCell ref="B85:J85"/>
    <mergeCell ref="A105:A107"/>
    <mergeCell ref="A108:A110"/>
    <mergeCell ref="A111:A113"/>
    <mergeCell ref="A114:A116"/>
    <mergeCell ref="A83:A85"/>
    <mergeCell ref="A86:A88"/>
    <mergeCell ref="A89:A91"/>
    <mergeCell ref="A92:A94"/>
    <mergeCell ref="A95:A97"/>
    <mergeCell ref="A99:A101"/>
    <mergeCell ref="A102:A104"/>
    <mergeCell ref="A1:A2"/>
    <mergeCell ref="B1:L1"/>
    <mergeCell ref="B3:L3"/>
    <mergeCell ref="A4:A6"/>
    <mergeCell ref="B4:F4"/>
    <mergeCell ref="G4:H4"/>
    <mergeCell ref="G5:H5"/>
    <mergeCell ref="G6:H6"/>
    <mergeCell ref="B5:F5"/>
    <mergeCell ref="B6:F6"/>
    <mergeCell ref="A7:A9"/>
    <mergeCell ref="A10:A12"/>
    <mergeCell ref="I10:J10"/>
    <mergeCell ref="I11:J11"/>
    <mergeCell ref="I12:J12"/>
    <mergeCell ref="K26:L26"/>
    <mergeCell ref="K27:L27"/>
    <mergeCell ref="K28:L28"/>
    <mergeCell ref="I35:J35"/>
    <mergeCell ref="I36:J36"/>
    <mergeCell ref="I37:J37"/>
    <mergeCell ref="A13:A15"/>
    <mergeCell ref="A16:A18"/>
    <mergeCell ref="A19:A21"/>
    <mergeCell ref="B22:L22"/>
    <mergeCell ref="B23:L23"/>
    <mergeCell ref="B24:L24"/>
    <mergeCell ref="B25:L25"/>
    <mergeCell ref="A23:A25"/>
    <mergeCell ref="A26:A28"/>
    <mergeCell ref="A29:A31"/>
    <mergeCell ref="A32:A34"/>
    <mergeCell ref="B35:F35"/>
    <mergeCell ref="B36:F36"/>
    <mergeCell ref="B37:F37"/>
    <mergeCell ref="A35:A37"/>
    <mergeCell ref="A38:A40"/>
    <mergeCell ref="B41:L41"/>
    <mergeCell ref="A42:A44"/>
    <mergeCell ref="B42:L44"/>
    <mergeCell ref="A45:A47"/>
    <mergeCell ref="B45:K45"/>
    <mergeCell ref="B46:K46"/>
    <mergeCell ref="B47:K47"/>
    <mergeCell ref="A48:A50"/>
    <mergeCell ref="B48:K48"/>
    <mergeCell ref="B49:K49"/>
    <mergeCell ref="B50:K50"/>
    <mergeCell ref="A51:A53"/>
  </mergeCells>
  <conditionalFormatting sqref="A1:A21 B1:K3 L1:L21 B19:K21 A23:A40 L29:L40 B38:K40 A42:A59 B42:B53 C42:C50 D42:E53 F42:F56 G42:H59 I42:J50 K42:K53 L42:L59 C54:C59 J54:J57 B57:B59 D57:E59 I57:I59 K57:K59 J59 A61:A78 B61:F63 G61:H66 I61:J63 K61:L78 D70:D72 E73:E78 B76:D78 F76:J78 A80:L97 A99:J116 K99:K113 L99:L116">
    <cfRule type="expression" dxfId="0" priority="1">
      <formula>REGEXMATCH(A1, "(^\s+)|(\s+$)")</formula>
    </cfRule>
  </conditionalFormatting>
  <conditionalFormatting sqref="A1:A21 B1:K3 L1:L21 B19:K21 A23:A40 L29:L40 B38:K40 A42:A59 B42:B53 C42:C50 D42:E53 F42:F56 G42:H59 I42:J50 K42:K53 L42:L59 C54:C59 J54:J57 B57:B59 D57:E59 I57:I59 K57:K59 J59 A61:A78 B61:F63 G61:H66 I61:J63 K61:L78 D70:D72 E73:E78 B76:D78 F76:J78 A80:L97 A99:J116 K99:K113 L99:L116">
    <cfRule type="expression" dxfId="0" priority="2">
      <formula>REGEXMATCH(A1, "[а-яА-Я]")</formula>
    </cfRule>
  </conditionalFormatting>
  <conditionalFormatting sqref="A1:A21 B1:K3 L1:L21 B19:K21 A23:A40 L29:L40 B38:K40 A42:A59 B42:B53 C42:C50 D42:E53 F42:F56 G42:H59 I42:J50 K42:K53 L42:L59 C54:C59 J54:J57 B57:B59 D57:E59 I57:I59 K57:K59 J59 A61:A78 B61:F63 G61:H66 I61:J63 K61:L78 D70:D72 E73:E78 B76:D78 F76:J78 A80:L97 A99:J116 K99:K113 L99:L116">
    <cfRule type="expression" dxfId="0" priority="3">
      <formula>REGEXMATCH(A1, "\s{2,}")</formula>
    </cfRule>
  </conditionalFormatting>
  <conditionalFormatting sqref="A1:A21 B1:K3 L1:L21 B19:K21 A23:A40 L29:L40 B38:K40 A42:A59 B42:B53 C42:C50 D42:E53 F42:F56 G42:H59 I42:J50 K42:K53 L42:L59 C54:C59 J54:J57 B57:B59 D57:E59 I57:I59 K57:K59 J59 A61:A78 B61:F63 G61:H66 I61:J63 K61:L78 D70:D72 E73:E78 B76:D78 F76:J78 A80:L97 A99:J116 K99:K113 L99:L116">
    <cfRule type="expression" dxfId="0" priority="4">
      <formula>REGEXMATCH(A1, "(\S\()|(\)\S)")</formula>
    </cfRule>
  </conditionalFormatting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2" width="28.25"/>
    <col customWidth="1" min="3" max="3" width="27.5"/>
    <col customWidth="1" min="4" max="4" width="29.38"/>
    <col customWidth="1" min="5" max="5" width="27.13"/>
    <col customWidth="1" min="6" max="6" width="29.38"/>
    <col customWidth="1" min="7" max="8" width="28.13"/>
    <col customWidth="1" min="9" max="9" width="26.38"/>
  </cols>
  <sheetData>
    <row r="1">
      <c r="A1" s="625"/>
      <c r="B1" s="624" t="s">
        <v>111</v>
      </c>
      <c r="C1" s="3"/>
      <c r="D1" s="3"/>
      <c r="E1" s="3"/>
      <c r="F1" s="3"/>
      <c r="G1" s="3"/>
      <c r="H1" s="3"/>
      <c r="I1" s="4"/>
    </row>
    <row r="2">
      <c r="A2" s="44"/>
      <c r="B2" s="631" t="s">
        <v>571</v>
      </c>
      <c r="C2" s="631" t="s">
        <v>572</v>
      </c>
      <c r="D2" s="631" t="s">
        <v>573</v>
      </c>
      <c r="E2" s="631" t="s">
        <v>574</v>
      </c>
      <c r="F2" s="631" t="s">
        <v>575</v>
      </c>
      <c r="G2" s="631" t="s">
        <v>576</v>
      </c>
      <c r="H2" s="631" t="s">
        <v>577</v>
      </c>
      <c r="I2" s="631" t="s">
        <v>578</v>
      </c>
    </row>
    <row r="3">
      <c r="A3" s="633" t="s">
        <v>38</v>
      </c>
      <c r="B3" s="635"/>
      <c r="C3" s="46"/>
      <c r="D3" s="46"/>
      <c r="E3" s="46"/>
      <c r="F3" s="46"/>
      <c r="G3" s="46"/>
      <c r="H3" s="46"/>
      <c r="I3" s="47"/>
    </row>
    <row r="4">
      <c r="A4" s="623" t="s">
        <v>128</v>
      </c>
      <c r="B4" s="641"/>
      <c r="C4" s="641"/>
      <c r="D4" s="641"/>
      <c r="E4" s="156"/>
      <c r="F4" s="643" t="s">
        <v>593</v>
      </c>
      <c r="G4" s="7"/>
      <c r="H4" s="8"/>
      <c r="I4" s="641"/>
    </row>
    <row r="5">
      <c r="A5" s="38"/>
      <c r="B5" s="658"/>
      <c r="C5" s="658"/>
      <c r="D5" s="658"/>
      <c r="E5" s="156"/>
      <c r="F5" s="659" t="s">
        <v>354</v>
      </c>
      <c r="H5" s="23"/>
      <c r="I5" s="658"/>
    </row>
    <row r="6">
      <c r="A6" s="44"/>
      <c r="B6" s="669"/>
      <c r="C6" s="669"/>
      <c r="D6" s="669"/>
      <c r="E6" s="172"/>
      <c r="F6" s="670">
        <v>321.0</v>
      </c>
      <c r="G6" s="46"/>
      <c r="H6" s="47"/>
      <c r="I6" s="669"/>
    </row>
    <row r="7">
      <c r="A7" s="623" t="s">
        <v>139</v>
      </c>
      <c r="B7" s="640"/>
      <c r="C7" s="640"/>
      <c r="D7" s="640"/>
      <c r="E7" s="678"/>
      <c r="F7" s="679" t="s">
        <v>600</v>
      </c>
      <c r="G7" s="641"/>
      <c r="H7" s="641"/>
      <c r="I7" s="641"/>
    </row>
    <row r="8">
      <c r="A8" s="38"/>
      <c r="B8" s="658"/>
      <c r="C8" s="658"/>
      <c r="D8" s="658"/>
      <c r="E8" s="588"/>
      <c r="F8" s="684" t="s">
        <v>283</v>
      </c>
      <c r="G8" s="658"/>
      <c r="H8" s="658"/>
      <c r="I8" s="685"/>
    </row>
    <row r="9">
      <c r="A9" s="44"/>
      <c r="B9" s="675"/>
      <c r="C9" s="675"/>
      <c r="D9" s="675"/>
      <c r="E9" s="691"/>
      <c r="F9" s="692">
        <v>321.0</v>
      </c>
      <c r="G9" s="669"/>
      <c r="H9" s="669"/>
      <c r="I9" s="693"/>
    </row>
    <row r="10">
      <c r="A10" s="623" t="s">
        <v>158</v>
      </c>
      <c r="B10" s="696" t="s">
        <v>163</v>
      </c>
      <c r="C10" s="7"/>
      <c r="D10" s="8"/>
      <c r="E10" s="678"/>
      <c r="F10" s="641"/>
      <c r="G10" s="679" t="s">
        <v>600</v>
      </c>
      <c r="H10" s="641"/>
      <c r="I10" s="697"/>
    </row>
    <row r="11">
      <c r="A11" s="38"/>
      <c r="B11" s="709" t="s">
        <v>134</v>
      </c>
      <c r="D11" s="23"/>
      <c r="E11" s="156"/>
      <c r="F11" s="658"/>
      <c r="G11" s="684" t="s">
        <v>283</v>
      </c>
      <c r="H11" s="658"/>
      <c r="I11" s="710"/>
    </row>
    <row r="12">
      <c r="A12" s="44"/>
      <c r="B12" s="717">
        <v>106.0</v>
      </c>
      <c r="C12" s="46"/>
      <c r="D12" s="47"/>
      <c r="E12" s="691"/>
      <c r="F12" s="669"/>
      <c r="G12" s="692">
        <v>321.0</v>
      </c>
      <c r="H12" s="669"/>
      <c r="I12" s="693"/>
    </row>
    <row r="13">
      <c r="A13" s="623" t="s">
        <v>172</v>
      </c>
      <c r="B13" s="720" t="s">
        <v>175</v>
      </c>
      <c r="C13" s="723" t="s">
        <v>175</v>
      </c>
      <c r="D13" s="156"/>
      <c r="E13" s="724" t="s">
        <v>303</v>
      </c>
      <c r="F13" s="641"/>
      <c r="G13" s="641"/>
      <c r="H13" s="679" t="s">
        <v>600</v>
      </c>
      <c r="I13" s="641"/>
    </row>
    <row r="14">
      <c r="A14" s="38"/>
      <c r="B14" s="727" t="s">
        <v>612</v>
      </c>
      <c r="C14" s="235" t="s">
        <v>178</v>
      </c>
      <c r="D14" s="156"/>
      <c r="E14" s="728" t="s">
        <v>613</v>
      </c>
      <c r="F14" s="658"/>
      <c r="G14" s="658"/>
      <c r="H14" s="684" t="s">
        <v>283</v>
      </c>
      <c r="I14" s="658"/>
    </row>
    <row r="15">
      <c r="A15" s="44"/>
      <c r="B15" s="244" t="s">
        <v>723</v>
      </c>
      <c r="C15" s="244">
        <v>316.0</v>
      </c>
      <c r="D15" s="172"/>
      <c r="E15" s="731">
        <v>317.0</v>
      </c>
      <c r="F15" s="669"/>
      <c r="G15" s="669"/>
      <c r="H15" s="692">
        <v>321.0</v>
      </c>
      <c r="I15" s="669"/>
    </row>
    <row r="16">
      <c r="A16" s="623" t="s">
        <v>184</v>
      </c>
      <c r="B16" s="228"/>
      <c r="C16" s="156"/>
      <c r="D16" s="723" t="s">
        <v>175</v>
      </c>
      <c r="E16" s="641"/>
      <c r="F16" s="641"/>
      <c r="G16" s="641"/>
      <c r="H16" s="641"/>
      <c r="I16" s="736" t="s">
        <v>227</v>
      </c>
    </row>
    <row r="17">
      <c r="A17" s="38"/>
      <c r="B17" s="161"/>
      <c r="C17" s="156"/>
      <c r="D17" s="235" t="s">
        <v>612</v>
      </c>
      <c r="E17" s="658"/>
      <c r="F17" s="658"/>
      <c r="G17" s="658"/>
      <c r="H17" s="658"/>
      <c r="I17" s="739" t="s">
        <v>236</v>
      </c>
    </row>
    <row r="18">
      <c r="A18" s="44"/>
      <c r="B18" s="177"/>
      <c r="C18" s="172"/>
      <c r="D18" s="244">
        <v>313.0</v>
      </c>
      <c r="E18" s="669"/>
      <c r="F18" s="669"/>
      <c r="G18" s="669"/>
      <c r="H18" s="669"/>
      <c r="I18" s="743">
        <v>104.0</v>
      </c>
    </row>
    <row r="19">
      <c r="A19" s="623" t="s">
        <v>191</v>
      </c>
      <c r="B19" s="641"/>
      <c r="C19" s="641"/>
      <c r="D19" s="641"/>
      <c r="E19" s="641"/>
      <c r="F19" s="641"/>
      <c r="G19" s="641"/>
      <c r="H19" s="641"/>
      <c r="I19" s="736" t="s">
        <v>227</v>
      </c>
    </row>
    <row r="20">
      <c r="A20" s="38"/>
      <c r="B20" s="658"/>
      <c r="C20" s="658"/>
      <c r="D20" s="658"/>
      <c r="E20" s="658"/>
      <c r="F20" s="658"/>
      <c r="G20" s="658"/>
      <c r="H20" s="658"/>
      <c r="I20" s="739" t="s">
        <v>236</v>
      </c>
    </row>
    <row r="21">
      <c r="A21" s="44"/>
      <c r="B21" s="669"/>
      <c r="C21" s="669"/>
      <c r="D21" s="669"/>
      <c r="E21" s="669"/>
      <c r="F21" s="669"/>
      <c r="G21" s="669"/>
      <c r="H21" s="669"/>
      <c r="I21" s="743">
        <v>104.0</v>
      </c>
    </row>
    <row r="22">
      <c r="A22" s="633" t="s">
        <v>74</v>
      </c>
      <c r="B22" s="748"/>
      <c r="C22" s="7"/>
      <c r="D22" s="7"/>
      <c r="E22" s="7"/>
      <c r="F22" s="7"/>
      <c r="G22" s="7"/>
      <c r="H22" s="7"/>
      <c r="I22" s="8"/>
    </row>
    <row r="23">
      <c r="A23" s="623" t="s">
        <v>128</v>
      </c>
      <c r="B23" s="641"/>
      <c r="C23" s="641"/>
      <c r="D23" s="641"/>
      <c r="E23" s="641"/>
      <c r="F23" s="753" t="s">
        <v>262</v>
      </c>
      <c r="G23" s="7"/>
      <c r="H23" s="8"/>
      <c r="I23" s="641"/>
    </row>
    <row r="24">
      <c r="A24" s="38"/>
      <c r="B24" s="658"/>
      <c r="C24" s="658"/>
      <c r="D24" s="658"/>
      <c r="E24" s="658"/>
      <c r="F24" s="758" t="s">
        <v>269</v>
      </c>
      <c r="H24" s="23"/>
      <c r="I24" s="658"/>
    </row>
    <row r="25">
      <c r="A25" s="44"/>
      <c r="B25" s="669"/>
      <c r="C25" s="669"/>
      <c r="D25" s="669"/>
      <c r="E25" s="669"/>
      <c r="F25" s="763">
        <v>106.0</v>
      </c>
      <c r="G25" s="46"/>
      <c r="H25" s="47"/>
      <c r="I25" s="669"/>
    </row>
    <row r="26">
      <c r="A26" s="623" t="s">
        <v>139</v>
      </c>
      <c r="B26" s="641"/>
      <c r="C26" s="641"/>
      <c r="D26" s="641"/>
      <c r="E26" s="641"/>
      <c r="F26" s="641"/>
      <c r="G26" s="641"/>
      <c r="H26" s="771" t="s">
        <v>278</v>
      </c>
      <c r="I26" s="772" t="s">
        <v>263</v>
      </c>
    </row>
    <row r="27">
      <c r="A27" s="38"/>
      <c r="B27" s="658"/>
      <c r="C27" s="658"/>
      <c r="D27" s="658"/>
      <c r="E27" s="658"/>
      <c r="F27" s="658"/>
      <c r="G27" s="658"/>
      <c r="H27" s="779" t="s">
        <v>622</v>
      </c>
      <c r="I27" s="780" t="s">
        <v>270</v>
      </c>
    </row>
    <row r="28">
      <c r="A28" s="44"/>
      <c r="B28" s="669"/>
      <c r="C28" s="669"/>
      <c r="D28" s="669"/>
      <c r="E28" s="669"/>
      <c r="F28" s="669"/>
      <c r="G28" s="669"/>
      <c r="H28" s="787">
        <v>317.0</v>
      </c>
      <c r="I28" s="788">
        <v>103.0</v>
      </c>
    </row>
    <row r="29">
      <c r="A29" s="623" t="s">
        <v>158</v>
      </c>
      <c r="B29" s="793" t="s">
        <v>333</v>
      </c>
      <c r="C29" s="7"/>
      <c r="D29" s="7"/>
      <c r="E29" s="8"/>
      <c r="F29" s="641"/>
      <c r="G29" s="771" t="s">
        <v>278</v>
      </c>
      <c r="H29" s="641"/>
      <c r="I29" s="772" t="s">
        <v>263</v>
      </c>
    </row>
    <row r="30">
      <c r="A30" s="38"/>
      <c r="B30" s="800" t="s">
        <v>340</v>
      </c>
      <c r="E30" s="23"/>
      <c r="F30" s="658"/>
      <c r="G30" s="801" t="s">
        <v>284</v>
      </c>
      <c r="H30" s="658"/>
      <c r="I30" s="780" t="s">
        <v>270</v>
      </c>
    </row>
    <row r="31">
      <c r="A31" s="44"/>
      <c r="B31" s="805" t="s">
        <v>724</v>
      </c>
      <c r="C31" s="46"/>
      <c r="D31" s="46"/>
      <c r="E31" s="47"/>
      <c r="F31" s="669"/>
      <c r="G31" s="787">
        <v>317.0</v>
      </c>
      <c r="H31" s="669"/>
      <c r="I31" s="788">
        <v>103.0</v>
      </c>
    </row>
    <row r="32">
      <c r="A32" s="623" t="s">
        <v>172</v>
      </c>
      <c r="B32" s="641"/>
      <c r="C32" s="641"/>
      <c r="D32" s="641"/>
      <c r="E32" s="641"/>
      <c r="F32" s="771" t="s">
        <v>278</v>
      </c>
      <c r="G32" s="641"/>
      <c r="H32" s="641"/>
      <c r="I32" s="641"/>
    </row>
    <row r="33">
      <c r="A33" s="38"/>
      <c r="B33" s="658"/>
      <c r="C33" s="658"/>
      <c r="D33" s="658"/>
      <c r="E33" s="658"/>
      <c r="F33" s="801" t="s">
        <v>284</v>
      </c>
      <c r="G33" s="658"/>
      <c r="H33" s="658"/>
      <c r="I33" s="658"/>
    </row>
    <row r="34">
      <c r="A34" s="44"/>
      <c r="B34" s="669"/>
      <c r="C34" s="669"/>
      <c r="D34" s="669"/>
      <c r="E34" s="669"/>
      <c r="F34" s="787">
        <v>317.0</v>
      </c>
      <c r="G34" s="669"/>
      <c r="H34" s="669"/>
      <c r="I34" s="669"/>
    </row>
    <row r="35">
      <c r="A35" s="623" t="s">
        <v>184</v>
      </c>
      <c r="B35" s="793" t="s">
        <v>333</v>
      </c>
      <c r="C35" s="7"/>
      <c r="D35" s="7"/>
      <c r="E35" s="8"/>
      <c r="F35" s="641"/>
      <c r="G35" s="641"/>
      <c r="H35" s="641"/>
      <c r="I35" s="641"/>
    </row>
    <row r="36">
      <c r="A36" s="38"/>
      <c r="B36" s="800" t="s">
        <v>340</v>
      </c>
      <c r="E36" s="23"/>
      <c r="F36" s="658"/>
      <c r="G36" s="658"/>
      <c r="H36" s="658"/>
      <c r="I36" s="658"/>
    </row>
    <row r="37">
      <c r="A37" s="44"/>
      <c r="B37" s="805" t="s">
        <v>725</v>
      </c>
      <c r="C37" s="46"/>
      <c r="D37" s="46"/>
      <c r="E37" s="47"/>
      <c r="F37" s="669"/>
      <c r="G37" s="669"/>
      <c r="H37" s="669"/>
      <c r="I37" s="669"/>
    </row>
    <row r="38">
      <c r="A38" s="623" t="s">
        <v>191</v>
      </c>
      <c r="B38" s="641"/>
      <c r="C38" s="641"/>
      <c r="D38" s="641"/>
      <c r="E38" s="641"/>
      <c r="F38" s="641"/>
      <c r="G38" s="641"/>
      <c r="H38" s="641"/>
      <c r="I38" s="641"/>
    </row>
    <row r="39">
      <c r="A39" s="38"/>
      <c r="B39" s="658"/>
      <c r="C39" s="658"/>
      <c r="D39" s="658"/>
      <c r="E39" s="658"/>
      <c r="F39" s="658"/>
      <c r="G39" s="658"/>
      <c r="H39" s="658"/>
      <c r="I39" s="658"/>
    </row>
    <row r="40">
      <c r="A40" s="44"/>
      <c r="B40" s="669"/>
      <c r="C40" s="669"/>
      <c r="D40" s="669"/>
      <c r="E40" s="669"/>
      <c r="F40" s="669"/>
      <c r="G40" s="669"/>
      <c r="H40" s="669"/>
      <c r="I40" s="669"/>
    </row>
    <row r="41">
      <c r="A41" s="633" t="s">
        <v>82</v>
      </c>
      <c r="B41" s="636"/>
      <c r="C41" s="3"/>
      <c r="D41" s="3"/>
      <c r="E41" s="3"/>
      <c r="F41" s="3"/>
      <c r="G41" s="3"/>
      <c r="H41" s="3"/>
      <c r="I41" s="4"/>
    </row>
    <row r="42">
      <c r="A42" s="623" t="s">
        <v>128</v>
      </c>
      <c r="B42" s="825" t="s">
        <v>85</v>
      </c>
      <c r="I42" s="23"/>
    </row>
    <row r="43">
      <c r="A43" s="38"/>
      <c r="B43" s="110"/>
      <c r="I43" s="23"/>
    </row>
    <row r="44">
      <c r="A44" s="44"/>
      <c r="B44" s="110"/>
      <c r="I44" s="23"/>
    </row>
    <row r="45">
      <c r="A45" s="623" t="s">
        <v>139</v>
      </c>
      <c r="B45" s="640"/>
      <c r="C45" s="640"/>
      <c r="D45" s="640"/>
      <c r="E45" s="640"/>
      <c r="F45" s="641"/>
      <c r="G45" s="641"/>
      <c r="H45" s="641"/>
      <c r="I45" s="641"/>
    </row>
    <row r="46">
      <c r="A46" s="38"/>
      <c r="B46" s="658"/>
      <c r="C46" s="658"/>
      <c r="D46" s="658"/>
      <c r="E46" s="658"/>
      <c r="F46" s="658"/>
      <c r="G46" s="658"/>
      <c r="H46" s="658"/>
      <c r="I46" s="834"/>
    </row>
    <row r="47">
      <c r="A47" s="44"/>
      <c r="B47" s="669"/>
      <c r="C47" s="669"/>
      <c r="D47" s="669"/>
      <c r="E47" s="669"/>
      <c r="F47" s="669"/>
      <c r="G47" s="669"/>
      <c r="H47" s="669"/>
      <c r="I47" s="669"/>
    </row>
    <row r="48">
      <c r="A48" s="623" t="s">
        <v>158</v>
      </c>
      <c r="B48" s="640"/>
      <c r="C48" s="640"/>
      <c r="D48" s="640"/>
      <c r="E48" s="640"/>
      <c r="F48" s="641"/>
      <c r="G48" s="641"/>
      <c r="H48" s="641"/>
      <c r="I48" s="641"/>
    </row>
    <row r="49">
      <c r="A49" s="38"/>
      <c r="B49" s="658"/>
      <c r="C49" s="658"/>
      <c r="D49" s="658"/>
      <c r="E49" s="658"/>
      <c r="F49" s="658"/>
      <c r="G49" s="658"/>
      <c r="H49" s="658"/>
      <c r="I49" s="834"/>
    </row>
    <row r="50" ht="15.75" customHeight="1">
      <c r="A50" s="44"/>
      <c r="B50" s="669"/>
      <c r="C50" s="675"/>
      <c r="D50" s="669"/>
      <c r="E50" s="669"/>
      <c r="F50" s="669"/>
      <c r="G50" s="669"/>
      <c r="H50" s="669"/>
      <c r="I50" s="669"/>
    </row>
    <row r="51">
      <c r="A51" s="623" t="s">
        <v>172</v>
      </c>
      <c r="B51" s="640"/>
      <c r="C51" s="640"/>
      <c r="D51" s="640"/>
      <c r="E51" s="640"/>
      <c r="F51" s="641"/>
      <c r="G51" s="641"/>
      <c r="H51" s="641"/>
      <c r="I51" s="641"/>
    </row>
    <row r="52">
      <c r="A52" s="38"/>
      <c r="B52" s="658"/>
      <c r="C52" s="658"/>
      <c r="D52" s="658"/>
      <c r="E52" s="658"/>
      <c r="F52" s="848"/>
      <c r="G52" s="658"/>
      <c r="H52" s="658"/>
      <c r="I52" s="658"/>
    </row>
    <row r="53" ht="15.75" customHeight="1">
      <c r="A53" s="44"/>
      <c r="B53" s="675"/>
      <c r="C53" s="669"/>
      <c r="D53" s="669"/>
      <c r="E53" s="669"/>
      <c r="F53" s="669"/>
      <c r="G53" s="669"/>
      <c r="H53" s="669"/>
      <c r="I53" s="669"/>
    </row>
    <row r="54">
      <c r="A54" s="623" t="s">
        <v>184</v>
      </c>
      <c r="B54" s="640"/>
      <c r="C54" s="640"/>
      <c r="D54" s="640"/>
      <c r="E54" s="641"/>
      <c r="F54" s="641"/>
      <c r="G54" s="641"/>
      <c r="H54" s="641"/>
      <c r="I54" s="641"/>
    </row>
    <row r="55">
      <c r="A55" s="38"/>
      <c r="B55" s="658"/>
      <c r="C55" s="658"/>
      <c r="D55" s="658"/>
      <c r="E55" s="658"/>
      <c r="F55" s="658"/>
      <c r="G55" s="658"/>
      <c r="H55" s="658"/>
      <c r="I55" s="658"/>
    </row>
    <row r="56">
      <c r="A56" s="44"/>
      <c r="B56" s="669"/>
      <c r="C56" s="669"/>
      <c r="D56" s="675"/>
      <c r="E56" s="669"/>
      <c r="F56" s="669"/>
      <c r="G56" s="669"/>
      <c r="H56" s="669"/>
      <c r="I56" s="669"/>
    </row>
    <row r="57">
      <c r="A57" s="623" t="s">
        <v>191</v>
      </c>
      <c r="B57" s="640"/>
      <c r="C57" s="641"/>
      <c r="D57" s="641"/>
      <c r="E57" s="640"/>
      <c r="F57" s="641"/>
      <c r="G57" s="641"/>
      <c r="H57" s="641"/>
      <c r="I57" s="641"/>
    </row>
    <row r="58">
      <c r="A58" s="38"/>
      <c r="B58" s="658"/>
      <c r="C58" s="658"/>
      <c r="D58" s="658"/>
      <c r="E58" s="658"/>
      <c r="F58" s="658"/>
      <c r="G58" s="658"/>
      <c r="H58" s="658"/>
      <c r="I58" s="658"/>
    </row>
    <row r="59">
      <c r="A59" s="44"/>
      <c r="B59" s="669"/>
      <c r="C59" s="669"/>
      <c r="D59" s="669"/>
      <c r="E59" s="675"/>
      <c r="F59" s="669"/>
      <c r="G59" s="669"/>
      <c r="H59" s="669"/>
      <c r="I59" s="669"/>
    </row>
    <row r="60">
      <c r="A60" s="633" t="s">
        <v>86</v>
      </c>
      <c r="B60" s="748"/>
      <c r="C60" s="7"/>
      <c r="D60" s="7"/>
      <c r="E60" s="7"/>
      <c r="F60" s="7"/>
      <c r="G60" s="7"/>
      <c r="H60" s="7"/>
      <c r="I60" s="8"/>
    </row>
    <row r="61">
      <c r="A61" s="623" t="s">
        <v>128</v>
      </c>
      <c r="B61" s="823" t="s">
        <v>85</v>
      </c>
      <c r="C61" s="7"/>
      <c r="D61" s="7"/>
      <c r="E61" s="7"/>
      <c r="F61" s="7"/>
      <c r="G61" s="7"/>
      <c r="H61" s="7"/>
      <c r="I61" s="8"/>
    </row>
    <row r="62">
      <c r="A62" s="38"/>
      <c r="B62" s="110"/>
      <c r="I62" s="23"/>
    </row>
    <row r="63">
      <c r="A63" s="44"/>
      <c r="B63" s="110"/>
      <c r="I63" s="23"/>
    </row>
    <row r="64">
      <c r="A64" s="623" t="s">
        <v>139</v>
      </c>
      <c r="B64" s="877" t="s">
        <v>289</v>
      </c>
      <c r="C64" s="7"/>
      <c r="D64" s="8"/>
      <c r="E64" s="855" t="s">
        <v>668</v>
      </c>
      <c r="F64" s="641"/>
      <c r="G64" s="641"/>
      <c r="H64" s="641"/>
      <c r="I64" s="878" t="s">
        <v>319</v>
      </c>
    </row>
    <row r="65">
      <c r="A65" s="38"/>
      <c r="B65" s="885" t="s">
        <v>294</v>
      </c>
      <c r="D65" s="23"/>
      <c r="E65" s="886" t="s">
        <v>349</v>
      </c>
      <c r="F65" s="658"/>
      <c r="G65" s="658"/>
      <c r="H65" s="658"/>
      <c r="I65" s="887" t="s">
        <v>354</v>
      </c>
    </row>
    <row r="66">
      <c r="A66" s="44"/>
      <c r="B66" s="892" t="s">
        <v>250</v>
      </c>
      <c r="C66" s="46"/>
      <c r="D66" s="47"/>
      <c r="E66" s="893" t="s">
        <v>250</v>
      </c>
      <c r="F66" s="669"/>
      <c r="G66" s="669"/>
      <c r="H66" s="669"/>
      <c r="I66" s="894">
        <v>104.0</v>
      </c>
    </row>
    <row r="67">
      <c r="A67" s="623" t="s">
        <v>158</v>
      </c>
      <c r="B67" s="156"/>
      <c r="C67" s="247" t="s">
        <v>186</v>
      </c>
      <c r="D67" s="247" t="s">
        <v>186</v>
      </c>
      <c r="E67" s="855" t="s">
        <v>668</v>
      </c>
      <c r="F67" s="641"/>
      <c r="G67" s="898" t="s">
        <v>317</v>
      </c>
      <c r="H67" s="8"/>
      <c r="I67" s="878" t="s">
        <v>319</v>
      </c>
    </row>
    <row r="68">
      <c r="A68" s="38"/>
      <c r="B68" s="156"/>
      <c r="C68" s="337" t="s">
        <v>604</v>
      </c>
      <c r="D68" s="337" t="s">
        <v>675</v>
      </c>
      <c r="E68" s="886" t="s">
        <v>349</v>
      </c>
      <c r="F68" s="658"/>
      <c r="G68" s="900" t="s">
        <v>320</v>
      </c>
      <c r="H68" s="23"/>
      <c r="I68" s="887" t="s">
        <v>330</v>
      </c>
    </row>
    <row r="69">
      <c r="A69" s="44"/>
      <c r="B69" s="172"/>
      <c r="C69" s="902">
        <v>320.0</v>
      </c>
      <c r="D69" s="902">
        <v>316.0</v>
      </c>
      <c r="E69" s="893" t="s">
        <v>250</v>
      </c>
      <c r="F69" s="669"/>
      <c r="G69" s="903" t="s">
        <v>250</v>
      </c>
      <c r="H69" s="47"/>
      <c r="I69" s="894">
        <v>104.0</v>
      </c>
    </row>
    <row r="70">
      <c r="A70" s="623" t="s">
        <v>172</v>
      </c>
      <c r="B70" s="247" t="s">
        <v>186</v>
      </c>
      <c r="C70" s="156"/>
      <c r="D70" s="156"/>
      <c r="E70" s="724" t="s">
        <v>303</v>
      </c>
      <c r="F70" s="906" t="s">
        <v>316</v>
      </c>
      <c r="G70" s="907" t="s">
        <v>326</v>
      </c>
      <c r="H70" s="641"/>
      <c r="I70" s="641"/>
    </row>
    <row r="71" ht="16.5" customHeight="1">
      <c r="A71" s="38"/>
      <c r="B71" s="249" t="s">
        <v>677</v>
      </c>
      <c r="C71" s="156"/>
      <c r="D71" s="156"/>
      <c r="E71" s="728" t="s">
        <v>613</v>
      </c>
      <c r="F71" s="914" t="s">
        <v>45</v>
      </c>
      <c r="G71" s="915" t="s">
        <v>166</v>
      </c>
      <c r="H71" s="658"/>
      <c r="I71" s="658"/>
    </row>
    <row r="72">
      <c r="A72" s="44"/>
      <c r="B72" s="902">
        <v>316.0</v>
      </c>
      <c r="C72" s="172"/>
      <c r="D72" s="172"/>
      <c r="E72" s="731" t="s">
        <v>726</v>
      </c>
      <c r="F72" s="919">
        <v>317.0</v>
      </c>
      <c r="G72" s="920">
        <v>312.0</v>
      </c>
      <c r="H72" s="669"/>
      <c r="I72" s="669"/>
    </row>
    <row r="73">
      <c r="A73" s="623" t="s">
        <v>184</v>
      </c>
      <c r="B73" s="640"/>
      <c r="C73" s="641"/>
      <c r="D73" s="641"/>
      <c r="E73" s="641"/>
      <c r="F73" s="906" t="s">
        <v>325</v>
      </c>
      <c r="G73" s="641"/>
      <c r="H73" s="907" t="s">
        <v>326</v>
      </c>
      <c r="I73" s="641"/>
    </row>
    <row r="74">
      <c r="A74" s="38"/>
      <c r="B74" s="658"/>
      <c r="C74" s="658"/>
      <c r="D74" s="658"/>
      <c r="E74" s="658"/>
      <c r="F74" s="925" t="s">
        <v>200</v>
      </c>
      <c r="G74" s="658"/>
      <c r="H74" s="926" t="s">
        <v>166</v>
      </c>
      <c r="I74" s="658"/>
    </row>
    <row r="75">
      <c r="A75" s="44"/>
      <c r="B75" s="669"/>
      <c r="C75" s="669"/>
      <c r="D75" s="669"/>
      <c r="E75" s="669"/>
      <c r="F75" s="919">
        <v>317.0</v>
      </c>
      <c r="G75" s="669"/>
      <c r="H75" s="920">
        <v>312.0</v>
      </c>
      <c r="I75" s="669"/>
    </row>
    <row r="76">
      <c r="A76" s="623" t="s">
        <v>191</v>
      </c>
      <c r="B76" s="640"/>
      <c r="C76" s="641"/>
      <c r="D76" s="641"/>
      <c r="E76" s="641"/>
      <c r="F76" s="641"/>
      <c r="G76" s="641"/>
      <c r="H76" s="641"/>
      <c r="I76" s="641"/>
    </row>
    <row r="77" ht="19.5" customHeight="1">
      <c r="A77" s="38"/>
      <c r="B77" s="658"/>
      <c r="C77" s="658"/>
      <c r="D77" s="658"/>
      <c r="E77" s="658"/>
      <c r="F77" s="658"/>
      <c r="G77" s="658"/>
      <c r="H77" s="658"/>
      <c r="I77" s="658"/>
    </row>
    <row r="78">
      <c r="A78" s="44"/>
      <c r="B78" s="669"/>
      <c r="C78" s="669"/>
      <c r="D78" s="669"/>
      <c r="E78" s="669"/>
      <c r="F78" s="669"/>
      <c r="G78" s="669"/>
      <c r="H78" s="669"/>
      <c r="I78" s="669"/>
    </row>
    <row r="79">
      <c r="A79" s="633" t="s">
        <v>92</v>
      </c>
      <c r="B79" s="636"/>
      <c r="C79" s="3"/>
      <c r="D79" s="3"/>
      <c r="E79" s="3"/>
      <c r="F79" s="3"/>
      <c r="G79" s="3"/>
      <c r="H79" s="3"/>
      <c r="I79" s="4"/>
    </row>
    <row r="80">
      <c r="A80" s="623" t="s">
        <v>128</v>
      </c>
      <c r="B80" s="324"/>
      <c r="C80" s="324"/>
      <c r="D80" s="324"/>
      <c r="E80" s="935" t="s">
        <v>682</v>
      </c>
      <c r="F80" s="936" t="s">
        <v>241</v>
      </c>
      <c r="H80" s="23"/>
      <c r="I80" s="324"/>
    </row>
    <row r="81">
      <c r="A81" s="38"/>
      <c r="B81" s="324"/>
      <c r="C81" s="324"/>
      <c r="D81" s="324"/>
      <c r="E81" s="255" t="s">
        <v>169</v>
      </c>
      <c r="F81" s="942" t="s">
        <v>684</v>
      </c>
      <c r="H81" s="23"/>
      <c r="I81" s="324"/>
    </row>
    <row r="82">
      <c r="A82" s="44"/>
      <c r="B82" s="821"/>
      <c r="C82" s="821"/>
      <c r="D82" s="821"/>
      <c r="E82" s="947" t="s">
        <v>250</v>
      </c>
      <c r="F82" s="948">
        <v>106.0</v>
      </c>
      <c r="G82" s="46"/>
      <c r="H82" s="47"/>
      <c r="I82" s="821"/>
    </row>
    <row r="83">
      <c r="A83" s="623" t="s">
        <v>139</v>
      </c>
      <c r="B83" s="156"/>
      <c r="C83" s="156"/>
      <c r="D83" s="156"/>
      <c r="E83" s="935" t="s">
        <v>682</v>
      </c>
      <c r="F83" s="697"/>
      <c r="G83" s="738"/>
      <c r="H83" s="738"/>
      <c r="I83" s="951" t="s">
        <v>335</v>
      </c>
    </row>
    <row r="84">
      <c r="A84" s="38"/>
      <c r="B84" s="156"/>
      <c r="C84" s="156"/>
      <c r="D84" s="156"/>
      <c r="E84" s="255" t="s">
        <v>169</v>
      </c>
      <c r="F84" s="655"/>
      <c r="G84" s="738"/>
      <c r="H84" s="738"/>
      <c r="I84" s="954" t="s">
        <v>341</v>
      </c>
    </row>
    <row r="85">
      <c r="A85" s="44"/>
      <c r="B85" s="172"/>
      <c r="C85" s="172"/>
      <c r="D85" s="172"/>
      <c r="E85" s="947" t="s">
        <v>250</v>
      </c>
      <c r="F85" s="675"/>
      <c r="G85" s="742"/>
      <c r="H85" s="742"/>
      <c r="I85" s="956">
        <v>104.0</v>
      </c>
    </row>
    <row r="86">
      <c r="A86" s="623" t="s">
        <v>158</v>
      </c>
      <c r="B86" s="324"/>
      <c r="C86" s="324"/>
      <c r="D86" s="324"/>
      <c r="E86" s="324"/>
      <c r="F86" s="738"/>
      <c r="G86" s="143"/>
      <c r="H86" s="738"/>
      <c r="I86" s="951" t="s">
        <v>347</v>
      </c>
    </row>
    <row r="87">
      <c r="A87" s="38"/>
      <c r="B87" s="324"/>
      <c r="C87" s="324"/>
      <c r="D87" s="324"/>
      <c r="E87" s="324"/>
      <c r="F87" s="738"/>
      <c r="G87" s="143"/>
      <c r="H87" s="738"/>
      <c r="I87" s="954" t="s">
        <v>341</v>
      </c>
    </row>
    <row r="88">
      <c r="A88" s="44"/>
      <c r="B88" s="821"/>
      <c r="C88" s="821"/>
      <c r="D88" s="821"/>
      <c r="E88" s="821"/>
      <c r="F88" s="742"/>
      <c r="G88" s="965"/>
      <c r="H88" s="742"/>
      <c r="I88" s="956">
        <v>104.0</v>
      </c>
    </row>
    <row r="89">
      <c r="A89" s="623" t="s">
        <v>172</v>
      </c>
      <c r="B89" s="324"/>
      <c r="C89" s="324"/>
      <c r="D89" s="324"/>
      <c r="E89" s="324"/>
      <c r="F89" s="971" t="s">
        <v>209</v>
      </c>
      <c r="G89" s="324"/>
      <c r="H89" s="227"/>
      <c r="I89" s="641"/>
    </row>
    <row r="90">
      <c r="A90" s="38"/>
      <c r="B90" s="324"/>
      <c r="C90" s="324"/>
      <c r="D90" s="324"/>
      <c r="E90" s="324"/>
      <c r="F90" s="798" t="s">
        <v>219</v>
      </c>
      <c r="G90" s="324"/>
      <c r="H90" s="234"/>
      <c r="I90" s="834"/>
    </row>
    <row r="91">
      <c r="A91" s="44"/>
      <c r="B91" s="821"/>
      <c r="C91" s="821"/>
      <c r="D91" s="821"/>
      <c r="E91" s="821"/>
      <c r="F91" s="782">
        <v>318.0</v>
      </c>
      <c r="G91" s="821"/>
      <c r="H91" s="240"/>
      <c r="I91" s="669"/>
    </row>
    <row r="92">
      <c r="A92" s="623" t="s">
        <v>184</v>
      </c>
      <c r="B92" s="324"/>
      <c r="C92" s="324"/>
      <c r="D92" s="324"/>
      <c r="E92" s="324"/>
      <c r="F92" s="324"/>
      <c r="G92" s="324"/>
      <c r="H92" s="971" t="s">
        <v>209</v>
      </c>
      <c r="I92" s="641"/>
    </row>
    <row r="93">
      <c r="A93" s="38"/>
      <c r="B93" s="324"/>
      <c r="C93" s="324"/>
      <c r="D93" s="324"/>
      <c r="E93" s="324"/>
      <c r="F93" s="324"/>
      <c r="G93" s="324"/>
      <c r="H93" s="798" t="s">
        <v>219</v>
      </c>
      <c r="I93" s="834"/>
    </row>
    <row r="94">
      <c r="A94" s="44"/>
      <c r="B94" s="821"/>
      <c r="C94" s="821"/>
      <c r="D94" s="821"/>
      <c r="E94" s="821"/>
      <c r="F94" s="821"/>
      <c r="G94" s="821"/>
      <c r="H94" s="782">
        <v>318.0</v>
      </c>
      <c r="I94" s="669"/>
    </row>
    <row r="95">
      <c r="A95" s="623" t="s">
        <v>191</v>
      </c>
      <c r="B95" s="324"/>
      <c r="C95" s="324"/>
      <c r="D95" s="324"/>
      <c r="E95" s="324"/>
      <c r="F95" s="324"/>
      <c r="G95" s="971" t="s">
        <v>209</v>
      </c>
      <c r="H95" s="324"/>
      <c r="I95" s="324"/>
    </row>
    <row r="96">
      <c r="A96" s="38"/>
      <c r="B96" s="324"/>
      <c r="C96" s="324"/>
      <c r="D96" s="324"/>
      <c r="E96" s="324"/>
      <c r="F96" s="324"/>
      <c r="G96" s="798" t="s">
        <v>219</v>
      </c>
      <c r="H96" s="324"/>
      <c r="I96" s="324"/>
    </row>
    <row r="97">
      <c r="A97" s="44"/>
      <c r="B97" s="821"/>
      <c r="C97" s="821"/>
      <c r="D97" s="821"/>
      <c r="E97" s="821"/>
      <c r="F97" s="821"/>
      <c r="G97" s="782">
        <v>318.0</v>
      </c>
      <c r="H97" s="821"/>
      <c r="I97" s="821"/>
    </row>
    <row r="98">
      <c r="A98" s="633" t="s">
        <v>103</v>
      </c>
      <c r="B98" s="636"/>
      <c r="C98" s="3"/>
      <c r="D98" s="3"/>
      <c r="E98" s="3"/>
      <c r="F98" s="3"/>
      <c r="G98" s="3"/>
      <c r="H98" s="3"/>
      <c r="I98" s="4"/>
    </row>
    <row r="99">
      <c r="A99" s="623" t="s">
        <v>128</v>
      </c>
      <c r="B99" s="640"/>
      <c r="C99" s="640"/>
      <c r="D99" s="640"/>
      <c r="E99" s="981" t="s">
        <v>240</v>
      </c>
      <c r="F99" s="640"/>
      <c r="G99" s="640"/>
      <c r="H99" s="640"/>
      <c r="I99" s="640"/>
    </row>
    <row r="100">
      <c r="A100" s="38"/>
      <c r="B100" s="658"/>
      <c r="C100" s="658"/>
      <c r="D100" s="658"/>
      <c r="E100" s="587" t="s">
        <v>342</v>
      </c>
      <c r="F100" s="658"/>
      <c r="G100" s="658"/>
      <c r="H100" s="658"/>
      <c r="I100" s="658"/>
    </row>
    <row r="101">
      <c r="A101" s="44"/>
      <c r="B101" s="675"/>
      <c r="C101" s="675"/>
      <c r="D101" s="675"/>
      <c r="E101" s="982" t="s">
        <v>701</v>
      </c>
      <c r="F101" s="675"/>
      <c r="G101" s="675"/>
      <c r="H101" s="675"/>
      <c r="I101" s="675"/>
    </row>
    <row r="102">
      <c r="A102" s="623" t="s">
        <v>139</v>
      </c>
      <c r="B102" s="640"/>
      <c r="C102" s="640"/>
      <c r="D102" s="640"/>
      <c r="E102" s="981" t="s">
        <v>240</v>
      </c>
      <c r="F102" s="640"/>
      <c r="G102" s="640"/>
      <c r="H102" s="640"/>
      <c r="I102" s="640"/>
    </row>
    <row r="103">
      <c r="A103" s="38"/>
      <c r="B103" s="658"/>
      <c r="C103" s="658"/>
      <c r="D103" s="658"/>
      <c r="E103" s="587" t="s">
        <v>342</v>
      </c>
      <c r="F103" s="658"/>
      <c r="G103" s="658"/>
      <c r="H103" s="658"/>
      <c r="I103" s="658"/>
    </row>
    <row r="104">
      <c r="A104" s="44"/>
      <c r="B104" s="675"/>
      <c r="C104" s="675"/>
      <c r="D104" s="675"/>
      <c r="E104" s="982" t="s">
        <v>701</v>
      </c>
      <c r="F104" s="675"/>
      <c r="G104" s="675"/>
      <c r="H104" s="675"/>
      <c r="I104" s="675"/>
    </row>
    <row r="105">
      <c r="A105" s="623" t="s">
        <v>158</v>
      </c>
      <c r="B105" s="640"/>
      <c r="C105" s="640"/>
      <c r="D105" s="640"/>
      <c r="E105" s="324"/>
      <c r="F105" s="640"/>
      <c r="G105" s="640"/>
      <c r="H105" s="640"/>
      <c r="I105" s="640"/>
    </row>
    <row r="106">
      <c r="A106" s="38"/>
      <c r="B106" s="658"/>
      <c r="C106" s="658"/>
      <c r="D106" s="658"/>
      <c r="E106" s="324"/>
      <c r="F106" s="658"/>
      <c r="G106" s="658"/>
      <c r="H106" s="658"/>
      <c r="I106" s="658"/>
    </row>
    <row r="107">
      <c r="A107" s="44"/>
      <c r="B107" s="675"/>
      <c r="C107" s="675"/>
      <c r="D107" s="675"/>
      <c r="E107" s="821"/>
      <c r="F107" s="675"/>
      <c r="G107" s="675"/>
      <c r="H107" s="675"/>
      <c r="I107" s="675"/>
    </row>
    <row r="108">
      <c r="A108" s="623" t="s">
        <v>172</v>
      </c>
      <c r="B108" s="640"/>
      <c r="C108" s="640"/>
      <c r="D108" s="640"/>
      <c r="E108" s="640"/>
      <c r="F108" s="640"/>
      <c r="G108" s="640"/>
      <c r="H108" s="640"/>
      <c r="I108" s="640"/>
    </row>
    <row r="109">
      <c r="A109" s="38"/>
      <c r="B109" s="658"/>
      <c r="C109" s="658"/>
      <c r="D109" s="658"/>
      <c r="E109" s="658"/>
      <c r="F109" s="658"/>
      <c r="G109" s="658"/>
      <c r="H109" s="658"/>
      <c r="I109" s="658"/>
    </row>
    <row r="110">
      <c r="A110" s="44"/>
      <c r="B110" s="675"/>
      <c r="C110" s="675"/>
      <c r="D110" s="675"/>
      <c r="E110" s="675"/>
      <c r="F110" s="675"/>
      <c r="G110" s="675"/>
      <c r="H110" s="675"/>
      <c r="I110" s="675"/>
    </row>
    <row r="111">
      <c r="A111" s="623" t="s">
        <v>184</v>
      </c>
      <c r="B111" s="640"/>
      <c r="C111" s="640"/>
      <c r="D111" s="640"/>
      <c r="E111" s="640"/>
      <c r="F111" s="640"/>
      <c r="G111" s="641"/>
      <c r="H111" s="641"/>
      <c r="I111" s="640"/>
    </row>
    <row r="112">
      <c r="A112" s="38"/>
      <c r="B112" s="658"/>
      <c r="C112" s="658"/>
      <c r="D112" s="658"/>
      <c r="E112" s="658"/>
      <c r="F112" s="658"/>
      <c r="G112" s="658"/>
      <c r="H112" s="658"/>
      <c r="I112" s="658"/>
    </row>
    <row r="113">
      <c r="A113" s="44"/>
      <c r="B113" s="675"/>
      <c r="C113" s="675"/>
      <c r="D113" s="675"/>
      <c r="E113" s="675"/>
      <c r="F113" s="675"/>
      <c r="G113" s="669"/>
      <c r="H113" s="669"/>
      <c r="I113" s="675"/>
    </row>
    <row r="114">
      <c r="A114" s="623" t="s">
        <v>191</v>
      </c>
      <c r="B114" s="640"/>
      <c r="C114" s="640"/>
      <c r="D114" s="640"/>
      <c r="E114" s="640"/>
      <c r="F114" s="640"/>
      <c r="G114" s="641"/>
      <c r="H114" s="641"/>
      <c r="I114" s="640"/>
    </row>
    <row r="115">
      <c r="A115" s="38"/>
      <c r="B115" s="658"/>
      <c r="C115" s="658"/>
      <c r="D115" s="658"/>
      <c r="E115" s="658"/>
      <c r="F115" s="658"/>
      <c r="G115" s="658"/>
      <c r="H115" s="847"/>
      <c r="I115" s="658"/>
    </row>
    <row r="116">
      <c r="A116" s="44"/>
      <c r="B116" s="675"/>
      <c r="C116" s="675"/>
      <c r="D116" s="675"/>
      <c r="E116" s="675"/>
      <c r="F116" s="675"/>
      <c r="G116" s="669"/>
      <c r="H116" s="669"/>
      <c r="I116" s="675"/>
    </row>
  </sheetData>
  <mergeCells count="70">
    <mergeCell ref="B36:E36"/>
    <mergeCell ref="B37:E37"/>
    <mergeCell ref="B41:I41"/>
    <mergeCell ref="B42:I44"/>
    <mergeCell ref="B60:I60"/>
    <mergeCell ref="B61:I63"/>
    <mergeCell ref="B64:D64"/>
    <mergeCell ref="B65:D65"/>
    <mergeCell ref="B66:D66"/>
    <mergeCell ref="G67:H67"/>
    <mergeCell ref="G68:H68"/>
    <mergeCell ref="G69:H69"/>
    <mergeCell ref="B79:I79"/>
    <mergeCell ref="F80:H80"/>
    <mergeCell ref="A38:A40"/>
    <mergeCell ref="A42:A44"/>
    <mergeCell ref="A45:A47"/>
    <mergeCell ref="A48:A50"/>
    <mergeCell ref="A51:A53"/>
    <mergeCell ref="A54:A56"/>
    <mergeCell ref="A57:A59"/>
    <mergeCell ref="A105:A107"/>
    <mergeCell ref="A108:A110"/>
    <mergeCell ref="A111:A113"/>
    <mergeCell ref="A114:A116"/>
    <mergeCell ref="A61:A63"/>
    <mergeCell ref="A64:A66"/>
    <mergeCell ref="A67:A69"/>
    <mergeCell ref="A70:A72"/>
    <mergeCell ref="A73:A75"/>
    <mergeCell ref="A76:A78"/>
    <mergeCell ref="A80:A82"/>
    <mergeCell ref="A1:A2"/>
    <mergeCell ref="B1:I1"/>
    <mergeCell ref="B3:I3"/>
    <mergeCell ref="A4:A6"/>
    <mergeCell ref="F4:H4"/>
    <mergeCell ref="F5:H5"/>
    <mergeCell ref="F6:H6"/>
    <mergeCell ref="A7:A9"/>
    <mergeCell ref="A10:A12"/>
    <mergeCell ref="B10:D10"/>
    <mergeCell ref="B11:D11"/>
    <mergeCell ref="B12:D12"/>
    <mergeCell ref="A13:A15"/>
    <mergeCell ref="A16:A18"/>
    <mergeCell ref="A19:A21"/>
    <mergeCell ref="B22:I22"/>
    <mergeCell ref="A23:A25"/>
    <mergeCell ref="F23:H23"/>
    <mergeCell ref="F24:H24"/>
    <mergeCell ref="F25:H25"/>
    <mergeCell ref="A26:A28"/>
    <mergeCell ref="A29:A31"/>
    <mergeCell ref="B29:E29"/>
    <mergeCell ref="B30:E30"/>
    <mergeCell ref="B31:E31"/>
    <mergeCell ref="A32:A34"/>
    <mergeCell ref="A35:A37"/>
    <mergeCell ref="B35:E35"/>
    <mergeCell ref="F81:H81"/>
    <mergeCell ref="F82:H82"/>
    <mergeCell ref="A83:A85"/>
    <mergeCell ref="A86:A88"/>
    <mergeCell ref="A89:A91"/>
    <mergeCell ref="A92:A94"/>
    <mergeCell ref="A95:A97"/>
    <mergeCell ref="B98:I98"/>
    <mergeCell ref="A99:A101"/>
    <mergeCell ref="A102:A104"/>
  </mergeCells>
  <conditionalFormatting sqref="A1:A18 B1:C21 D1:D12 E1:E21 F1:F18 G1:G21 H1:H15 I1:I21 D14:D15 D17:D21 H17:H18 F20:F21 H20:H21 A23:A34 B23:E37 F23:H34 I23:I40 F36:H37 B39:B40 D39:F40 H39:H40 A42:B59 C42:D56 E42:E57 F42:H56 I42:I44 I51:I59 H58:H59 E59 A61:C75 D61:D72 E61:F78 G61:H75 I61:I78 D74:D75 B77:B78 D77:D78 H77:H78 A80:D88 E80:E85 I80:I88 H84:H85 E87:E88 H87:H88 B90:B91 D90:E91 H90:H91 B93:B94 D93:E94 H93:H94 I95:I97 B96:B97 D96:F97 H96:H97 A99:D107 I99:I116 E100:F101 H100:H107 G102:G107 E103:F104 E106:F107 B109:B110 D109:F110 G111:H116 B112:B113 D112:F113 B115:B116 D115:F116">
    <cfRule type="expression" dxfId="0" priority="1">
      <formula>REGEXMATCH(A1, "(^\s+)|(\s+$)")</formula>
    </cfRule>
  </conditionalFormatting>
  <conditionalFormatting sqref="A1:A18 B1:C21 D1:D12 E1:E21 F1:F18 G1:G21 H1:H15 I1:I21 D14:D15 D17:D21 H17:H18 F20:F21 H20:H21 A23:A34 B23:E37 F23:H34 I23:I40 F36:H37 B39:B40 D39:F40 H39:H40 A42:B59 C42:D56 E42:E57 F42:H56 I42:I44 I51:I59 H58:H59 E59 A61:C75 D61:D72 E61:F78 G61:H75 I61:I78 D74:D75 B77:B78 D77:D78 H77:H78 A80:D88 E80:E85 I80:I88 H84:H85 E87:E88 H87:H88 B90:B91 D90:E91 H90:H91 B93:B94 D93:E94 H93:H94 I95:I97 B96:B97 D96:F97 H96:H97 A99:D107 I99:I116 E100:F101 H100:H107 G102:G107 E103:F104 E106:F107 B109:B110 D109:F110 G111:H116 B112:B113 D112:F113 B115:B116 D115:F116">
    <cfRule type="expression" dxfId="0" priority="2">
      <formula>REGEXMATCH(A1, "[а-яА-Я]")</formula>
    </cfRule>
  </conditionalFormatting>
  <conditionalFormatting sqref="A1:A18 B1:C21 D1:D12 E1:E21 F1:F18 G1:G21 H1:H15 I1:I21 D14:D15 D17:D21 H17:H18 F20:F21 H20:H21 A23:A34 B23:E37 F23:H34 I23:I40 F36:H37 B39:B40 D39:F40 H39:H40 A42:B59 C42:D56 E42:E57 F42:H56 I42:I44 I51:I59 H58:H59 E59 A61:C75 D61:D72 E61:F78 G61:H75 I61:I78 D74:D75 B77:B78 D77:D78 H77:H78 A80:D88 E80:E85 I80:I88 H84:H85 E87:E88 H87:H88 B90:B91 D90:E91 H90:H91 B93:B94 D93:E94 H93:H94 I95:I97 B96:B97 D96:F97 H96:H97 A99:D107 I99:I116 E100:F101 H100:H107 G102:G107 E103:F104 E106:F107 B109:B110 D109:F110 G111:H116 B112:B113 D112:F113 B115:B116 D115:F116">
    <cfRule type="expression" dxfId="0" priority="3">
      <formula>REGEXMATCH(A1, "\s{2,}")</formula>
    </cfRule>
  </conditionalFormatting>
  <conditionalFormatting sqref="A1:A18 B1:C21 D1:D12 E1:E21 F1:F18 G1:G21 H1:H15 I1:I21 D14:D15 D17:D21 H17:H18 F20:F21 H20:H21 A23:A34 B23:E37 F23:H34 I23:I40 F36:H37 B39:B40 D39:F40 H39:H40 A42:B59 C42:D56 E42:E57 F42:H56 I42:I44 I51:I59 H58:H59 E59 A61:C75 D61:D72 E61:F78 G61:H75 I61:I78 D74:D75 B77:B78 D77:D78 H77:H78 A80:D88 E80:E85 I80:I88 H84:H85 E87:E88 H87:H88 B90:B91 D90:E91 H90:H91 B93:B94 D93:E94 H93:H94 I95:I97 B96:B97 D96:F97 H96:H97 A99:D107 I99:I116 E100:F101 H100:H107 G102:G107 E103:F104 E106:F107 B109:B110 D109:F110 G111:H116 B112:B113 D112:F113 B115:B116 D115:F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2" width="28.13"/>
    <col customWidth="1" min="3" max="3" width="27.38"/>
    <col customWidth="1" min="4" max="4" width="34.0"/>
    <col customWidth="1" min="5" max="8" width="26.38"/>
  </cols>
  <sheetData>
    <row r="1">
      <c r="A1" s="625"/>
      <c r="B1" s="627" t="s">
        <v>2</v>
      </c>
      <c r="C1" s="3"/>
      <c r="D1" s="3"/>
      <c r="E1" s="3"/>
      <c r="F1" s="4"/>
      <c r="G1" s="628" t="s">
        <v>551</v>
      </c>
      <c r="H1" s="4"/>
    </row>
    <row r="2">
      <c r="A2" s="44"/>
      <c r="B2" s="631" t="s">
        <v>585</v>
      </c>
      <c r="C2" s="631" t="s">
        <v>586</v>
      </c>
      <c r="D2" s="631" t="s">
        <v>587</v>
      </c>
      <c r="E2" s="632" t="s">
        <v>588</v>
      </c>
      <c r="F2" s="631" t="s">
        <v>589</v>
      </c>
      <c r="G2" s="631" t="s">
        <v>590</v>
      </c>
      <c r="H2" s="631" t="s">
        <v>591</v>
      </c>
    </row>
    <row r="3">
      <c r="A3" s="633" t="s">
        <v>38</v>
      </c>
      <c r="B3" s="636"/>
      <c r="C3" s="3"/>
      <c r="D3" s="3"/>
      <c r="E3" s="3"/>
      <c r="F3" s="4"/>
      <c r="G3" s="151"/>
    </row>
    <row r="4">
      <c r="A4" s="623" t="s">
        <v>39</v>
      </c>
      <c r="B4" s="648" t="s">
        <v>595</v>
      </c>
      <c r="C4" s="8"/>
      <c r="D4" s="143"/>
      <c r="E4" s="649"/>
      <c r="F4" s="650"/>
      <c r="G4" s="651"/>
      <c r="H4" s="651"/>
    </row>
    <row r="5">
      <c r="A5" s="38"/>
      <c r="B5" s="662" t="s">
        <v>521</v>
      </c>
      <c r="C5" s="23"/>
      <c r="D5" s="143"/>
      <c r="E5" s="663"/>
      <c r="F5" s="663"/>
      <c r="G5" s="655"/>
      <c r="H5" s="655"/>
    </row>
    <row r="6">
      <c r="A6" s="44"/>
      <c r="B6" s="673" t="s">
        <v>727</v>
      </c>
      <c r="C6" s="47"/>
      <c r="D6" s="143"/>
      <c r="E6" s="674"/>
      <c r="F6" s="674"/>
      <c r="G6" s="675"/>
      <c r="H6" s="675"/>
    </row>
    <row r="7">
      <c r="A7" s="623" t="s">
        <v>49</v>
      </c>
      <c r="B7" s="648" t="s">
        <v>595</v>
      </c>
      <c r="C7" s="8"/>
      <c r="D7" s="682" t="s">
        <v>360</v>
      </c>
      <c r="E7" s="642"/>
      <c r="F7" s="650"/>
      <c r="G7" s="651"/>
      <c r="H7" s="651"/>
    </row>
    <row r="8">
      <c r="A8" s="38"/>
      <c r="B8" s="662" t="s">
        <v>521</v>
      </c>
      <c r="C8" s="23"/>
      <c r="D8" s="687" t="s">
        <v>321</v>
      </c>
      <c r="E8" s="655"/>
      <c r="F8" s="663"/>
      <c r="G8" s="655"/>
      <c r="H8" s="655"/>
    </row>
    <row r="9">
      <c r="A9" s="44"/>
      <c r="B9" s="673" t="s">
        <v>728</v>
      </c>
      <c r="C9" s="47"/>
      <c r="D9" s="690">
        <v>300.0</v>
      </c>
      <c r="E9" s="674"/>
      <c r="F9" s="674"/>
      <c r="G9" s="675"/>
      <c r="H9" s="675"/>
    </row>
    <row r="10">
      <c r="A10" s="623" t="s">
        <v>51</v>
      </c>
      <c r="B10" s="648" t="s">
        <v>595</v>
      </c>
      <c r="C10" s="8"/>
      <c r="D10" s="700"/>
      <c r="E10" s="651"/>
      <c r="F10" s="228"/>
      <c r="G10" s="651"/>
      <c r="H10" s="651"/>
    </row>
    <row r="11">
      <c r="A11" s="38"/>
      <c r="B11" s="662" t="s">
        <v>521</v>
      </c>
      <c r="C11" s="23"/>
      <c r="D11" s="712"/>
      <c r="E11" s="655"/>
      <c r="F11" s="161"/>
      <c r="G11" s="655"/>
      <c r="H11" s="655"/>
    </row>
    <row r="12">
      <c r="A12" s="44"/>
      <c r="B12" s="673" t="s">
        <v>729</v>
      </c>
      <c r="C12" s="47"/>
      <c r="D12" s="688"/>
      <c r="E12" s="675"/>
      <c r="F12" s="177"/>
      <c r="G12" s="675"/>
      <c r="H12" s="675"/>
    </row>
    <row r="13">
      <c r="A13" s="623" t="s">
        <v>59</v>
      </c>
      <c r="B13" s="651"/>
      <c r="C13" s="651"/>
      <c r="D13" s="682" t="s">
        <v>369</v>
      </c>
      <c r="E13" s="651"/>
      <c r="F13" s="651"/>
      <c r="G13" s="651"/>
      <c r="H13" s="651"/>
    </row>
    <row r="14">
      <c r="A14" s="38"/>
      <c r="B14" s="655"/>
      <c r="C14" s="655"/>
      <c r="D14" s="729" t="s">
        <v>245</v>
      </c>
      <c r="E14" s="655"/>
      <c r="F14" s="655"/>
      <c r="G14" s="655"/>
      <c r="H14" s="655"/>
    </row>
    <row r="15">
      <c r="A15" s="44"/>
      <c r="B15" s="675"/>
      <c r="C15" s="675"/>
      <c r="D15" s="266">
        <v>304.0</v>
      </c>
      <c r="E15" s="675"/>
      <c r="F15" s="675"/>
      <c r="G15" s="675"/>
      <c r="H15" s="675"/>
    </row>
    <row r="16">
      <c r="A16" s="623" t="s">
        <v>64</v>
      </c>
      <c r="B16" s="651"/>
      <c r="C16" s="651"/>
      <c r="D16" s="737" t="s">
        <v>300</v>
      </c>
      <c r="E16" s="650"/>
      <c r="F16" s="650"/>
      <c r="G16" s="651"/>
      <c r="H16" s="651"/>
    </row>
    <row r="17">
      <c r="A17" s="38"/>
      <c r="B17" s="655"/>
      <c r="C17" s="655"/>
      <c r="D17" s="740" t="s">
        <v>286</v>
      </c>
      <c r="E17" s="663"/>
      <c r="F17" s="663"/>
      <c r="G17" s="655"/>
      <c r="H17" s="655"/>
    </row>
    <row r="18">
      <c r="A18" s="44"/>
      <c r="B18" s="675"/>
      <c r="C18" s="675"/>
      <c r="D18" s="590">
        <v>303.0</v>
      </c>
      <c r="E18" s="674"/>
      <c r="F18" s="674"/>
      <c r="G18" s="675"/>
      <c r="H18" s="675"/>
    </row>
    <row r="19">
      <c r="A19" s="623" t="s">
        <v>66</v>
      </c>
      <c r="B19" s="651"/>
      <c r="C19" s="651"/>
      <c r="D19" s="744" t="s">
        <v>304</v>
      </c>
      <c r="E19" s="650"/>
      <c r="F19" s="650"/>
      <c r="G19" s="651"/>
      <c r="H19" s="651"/>
    </row>
    <row r="20">
      <c r="A20" s="38"/>
      <c r="B20" s="655"/>
      <c r="C20" s="655"/>
      <c r="D20" s="501" t="s">
        <v>617</v>
      </c>
      <c r="E20" s="663"/>
      <c r="F20" s="663"/>
      <c r="G20" s="655"/>
      <c r="H20" s="655"/>
    </row>
    <row r="21">
      <c r="A21" s="44"/>
      <c r="B21" s="675"/>
      <c r="C21" s="675"/>
      <c r="D21" s="731">
        <v>317.0</v>
      </c>
      <c r="E21" s="674"/>
      <c r="F21" s="674"/>
      <c r="G21" s="675"/>
      <c r="H21" s="675"/>
    </row>
    <row r="22">
      <c r="A22" s="633" t="s">
        <v>74</v>
      </c>
      <c r="B22" s="749"/>
      <c r="C22" s="3"/>
      <c r="D22" s="3"/>
      <c r="E22" s="3"/>
      <c r="F22" s="4"/>
      <c r="G22" s="750"/>
      <c r="H22" s="23"/>
    </row>
    <row r="23">
      <c r="A23" s="623" t="s">
        <v>39</v>
      </c>
      <c r="B23" s="755" t="s">
        <v>210</v>
      </c>
      <c r="C23" s="8"/>
      <c r="D23" s="642"/>
      <c r="E23" s="641"/>
      <c r="F23" s="641"/>
      <c r="G23" s="651"/>
      <c r="H23" s="651"/>
    </row>
    <row r="24">
      <c r="A24" s="38"/>
      <c r="B24" s="759" t="s">
        <v>618</v>
      </c>
      <c r="C24" s="23"/>
      <c r="D24" s="655"/>
      <c r="E24" s="760"/>
      <c r="F24" s="658"/>
      <c r="G24" s="655"/>
      <c r="H24" s="655"/>
    </row>
    <row r="25">
      <c r="A25" s="44"/>
      <c r="B25" s="764" t="s">
        <v>619</v>
      </c>
      <c r="C25" s="47"/>
      <c r="D25" s="669"/>
      <c r="E25" s="691"/>
      <c r="F25" s="669"/>
      <c r="G25" s="675"/>
      <c r="H25" s="675"/>
    </row>
    <row r="26">
      <c r="A26" s="623" t="s">
        <v>49</v>
      </c>
      <c r="B26" s="755" t="s">
        <v>210</v>
      </c>
      <c r="C26" s="8"/>
      <c r="D26" s="642"/>
      <c r="E26" s="641"/>
      <c r="F26" s="641"/>
      <c r="G26" s="651"/>
      <c r="H26" s="651"/>
    </row>
    <row r="27">
      <c r="A27" s="38"/>
      <c r="B27" s="759" t="s">
        <v>618</v>
      </c>
      <c r="C27" s="23"/>
      <c r="D27" s="655"/>
      <c r="E27" s="760"/>
      <c r="F27" s="658"/>
      <c r="G27" s="655"/>
      <c r="H27" s="655"/>
    </row>
    <row r="28">
      <c r="A28" s="44"/>
      <c r="B28" s="292">
        <v>321.0</v>
      </c>
      <c r="C28" s="47"/>
      <c r="D28" s="669"/>
      <c r="E28" s="746"/>
      <c r="F28" s="669"/>
      <c r="G28" s="675"/>
      <c r="H28" s="675"/>
    </row>
    <row r="29">
      <c r="A29" s="623" t="s">
        <v>51</v>
      </c>
      <c r="B29" s="794" t="s">
        <v>290</v>
      </c>
      <c r="C29" s="8"/>
      <c r="D29" s="640"/>
      <c r="E29" s="795" t="s">
        <v>380</v>
      </c>
      <c r="F29" s="641"/>
      <c r="G29" s="651"/>
      <c r="H29" s="651"/>
    </row>
    <row r="30">
      <c r="A30" s="38"/>
      <c r="B30" s="802" t="s">
        <v>628</v>
      </c>
      <c r="C30" s="23"/>
      <c r="D30" s="658"/>
      <c r="E30" s="803" t="s">
        <v>384</v>
      </c>
      <c r="F30" s="658"/>
      <c r="G30" s="655"/>
      <c r="H30" s="655"/>
    </row>
    <row r="31">
      <c r="A31" s="44"/>
      <c r="B31" s="806" t="s">
        <v>632</v>
      </c>
      <c r="C31" s="47"/>
      <c r="D31" s="658"/>
      <c r="E31" s="807" t="s">
        <v>137</v>
      </c>
      <c r="F31" s="669"/>
      <c r="G31" s="675"/>
      <c r="H31" s="675"/>
    </row>
    <row r="32">
      <c r="A32" s="623" t="s">
        <v>59</v>
      </c>
      <c r="B32" s="651"/>
      <c r="C32" s="651"/>
      <c r="D32" s="640"/>
      <c r="E32" s="733"/>
      <c r="F32" s="641"/>
      <c r="G32" s="651"/>
      <c r="H32" s="651"/>
    </row>
    <row r="33">
      <c r="A33" s="38"/>
      <c r="B33" s="655"/>
      <c r="C33" s="655"/>
      <c r="D33" s="658"/>
      <c r="E33" s="660"/>
      <c r="F33" s="658"/>
      <c r="G33" s="655"/>
      <c r="H33" s="655"/>
    </row>
    <row r="34">
      <c r="A34" s="44"/>
      <c r="B34" s="675"/>
      <c r="C34" s="675"/>
      <c r="D34" s="675"/>
      <c r="E34" s="730"/>
      <c r="F34" s="669"/>
      <c r="G34" s="675"/>
      <c r="H34" s="675"/>
    </row>
    <row r="35">
      <c r="A35" s="623" t="s">
        <v>64</v>
      </c>
      <c r="B35" s="651"/>
      <c r="C35" s="651"/>
      <c r="D35" s="143"/>
      <c r="E35" s="733"/>
      <c r="F35" s="584" t="s">
        <v>636</v>
      </c>
      <c r="G35" s="651"/>
      <c r="H35" s="651"/>
    </row>
    <row r="36">
      <c r="A36" s="38"/>
      <c r="B36" s="655"/>
      <c r="C36" s="655"/>
      <c r="D36" s="143"/>
      <c r="E36" s="660"/>
      <c r="F36" s="728" t="s">
        <v>638</v>
      </c>
      <c r="G36" s="655"/>
      <c r="H36" s="655"/>
    </row>
    <row r="37">
      <c r="A37" s="44"/>
      <c r="B37" s="675"/>
      <c r="C37" s="675"/>
      <c r="D37" s="143"/>
      <c r="E37" s="730"/>
      <c r="F37" s="731">
        <v>103.0</v>
      </c>
      <c r="G37" s="675"/>
      <c r="H37" s="675"/>
    </row>
    <row r="38">
      <c r="A38" s="623" t="s">
        <v>66</v>
      </c>
      <c r="B38" s="651"/>
      <c r="C38" s="651"/>
      <c r="D38" s="651"/>
      <c r="E38" s="640"/>
      <c r="F38" s="143"/>
      <c r="G38" s="651"/>
      <c r="H38" s="651"/>
    </row>
    <row r="39">
      <c r="A39" s="38"/>
      <c r="B39" s="655"/>
      <c r="C39" s="655"/>
      <c r="D39" s="655"/>
      <c r="E39" s="658"/>
      <c r="F39" s="143"/>
      <c r="G39" s="655"/>
      <c r="H39" s="655"/>
    </row>
    <row r="40">
      <c r="A40" s="44"/>
      <c r="B40" s="675"/>
      <c r="C40" s="675"/>
      <c r="D40" s="675"/>
      <c r="E40" s="675"/>
      <c r="F40" s="143"/>
      <c r="G40" s="675"/>
      <c r="H40" s="675"/>
    </row>
    <row r="41">
      <c r="A41" s="633" t="s">
        <v>82</v>
      </c>
      <c r="B41" s="749"/>
      <c r="C41" s="3"/>
      <c r="D41" s="3"/>
      <c r="E41" s="3"/>
      <c r="F41" s="4"/>
      <c r="G41" s="749"/>
      <c r="H41" s="4"/>
    </row>
    <row r="42">
      <c r="A42" s="623" t="s">
        <v>39</v>
      </c>
      <c r="B42" s="648" t="s">
        <v>595</v>
      </c>
      <c r="C42" s="8"/>
      <c r="D42" s="698"/>
      <c r="E42" s="640"/>
      <c r="F42" s="826" t="s">
        <v>265</v>
      </c>
      <c r="G42" s="651"/>
      <c r="H42" s="827"/>
    </row>
    <row r="43">
      <c r="A43" s="38"/>
      <c r="B43" s="662" t="s">
        <v>521</v>
      </c>
      <c r="C43" s="23"/>
      <c r="D43" s="658"/>
      <c r="E43" s="658"/>
      <c r="F43" s="828" t="s">
        <v>272</v>
      </c>
      <c r="G43" s="655"/>
      <c r="H43" s="746"/>
    </row>
    <row r="44">
      <c r="A44" s="44"/>
      <c r="B44" s="673" t="s">
        <v>730</v>
      </c>
      <c r="C44" s="47"/>
      <c r="D44" s="675"/>
      <c r="E44" s="675"/>
      <c r="F44" s="829" t="s">
        <v>137</v>
      </c>
      <c r="G44" s="675"/>
      <c r="H44" s="691"/>
    </row>
    <row r="45">
      <c r="A45" s="623" t="s">
        <v>49</v>
      </c>
      <c r="B45" s="648" t="s">
        <v>595</v>
      </c>
      <c r="C45" s="8"/>
      <c r="D45" s="640"/>
      <c r="E45" s="640"/>
      <c r="F45" s="826" t="s">
        <v>265</v>
      </c>
      <c r="G45" s="657"/>
      <c r="H45" s="827"/>
    </row>
    <row r="46">
      <c r="A46" s="38"/>
      <c r="B46" s="662" t="s">
        <v>521</v>
      </c>
      <c r="C46" s="23"/>
      <c r="D46" s="658"/>
      <c r="E46" s="658"/>
      <c r="F46" s="828" t="s">
        <v>272</v>
      </c>
      <c r="G46" s="655"/>
      <c r="H46" s="746"/>
    </row>
    <row r="47">
      <c r="A47" s="44"/>
      <c r="B47" s="673" t="s">
        <v>731</v>
      </c>
      <c r="C47" s="47"/>
      <c r="D47" s="675"/>
      <c r="E47" s="675"/>
      <c r="F47" s="829" t="s">
        <v>137</v>
      </c>
      <c r="G47" s="675"/>
      <c r="H47" s="691"/>
    </row>
    <row r="48">
      <c r="A48" s="623" t="s">
        <v>51</v>
      </c>
      <c r="B48" s="648" t="s">
        <v>595</v>
      </c>
      <c r="C48" s="8"/>
      <c r="D48" s="640"/>
      <c r="E48" s="837"/>
      <c r="F48" s="838"/>
      <c r="G48" s="651"/>
      <c r="H48" s="651"/>
    </row>
    <row r="49">
      <c r="A49" s="38"/>
      <c r="B49" s="662" t="s">
        <v>521</v>
      </c>
      <c r="C49" s="23"/>
      <c r="D49" s="658"/>
      <c r="E49" s="658"/>
      <c r="F49" s="663"/>
      <c r="G49" s="655"/>
      <c r="H49" s="655"/>
    </row>
    <row r="50" ht="15.75" customHeight="1">
      <c r="A50" s="44"/>
      <c r="B50" s="673" t="s">
        <v>732</v>
      </c>
      <c r="C50" s="47"/>
      <c r="D50" s="675"/>
      <c r="E50" s="675"/>
      <c r="F50" s="674"/>
      <c r="G50" s="675"/>
      <c r="H50" s="675"/>
    </row>
    <row r="51">
      <c r="A51" s="623" t="s">
        <v>59</v>
      </c>
      <c r="B51" s="842" t="s">
        <v>279</v>
      </c>
      <c r="C51" s="23"/>
      <c r="D51" s="843" t="s">
        <v>280</v>
      </c>
      <c r="E51" s="844"/>
      <c r="F51" s="640"/>
      <c r="G51" s="651"/>
      <c r="H51" s="651"/>
    </row>
    <row r="52">
      <c r="A52" s="38"/>
      <c r="B52" s="849" t="s">
        <v>285</v>
      </c>
      <c r="C52" s="23"/>
      <c r="D52" s="661" t="s">
        <v>286</v>
      </c>
      <c r="E52" s="850"/>
      <c r="F52" s="658"/>
      <c r="G52" s="655"/>
      <c r="H52" s="655"/>
    </row>
    <row r="53" ht="15.75" customHeight="1">
      <c r="A53" s="44"/>
      <c r="B53" s="354">
        <v>321.0</v>
      </c>
      <c r="C53" s="47"/>
      <c r="D53" s="672">
        <v>301.0</v>
      </c>
      <c r="E53" s="852"/>
      <c r="F53" s="675"/>
      <c r="G53" s="675"/>
      <c r="H53" s="691"/>
    </row>
    <row r="54">
      <c r="A54" s="623" t="s">
        <v>64</v>
      </c>
      <c r="B54" s="698"/>
      <c r="C54" s="698"/>
      <c r="D54" s="843" t="s">
        <v>291</v>
      </c>
      <c r="E54" s="651"/>
      <c r="F54" s="584" t="s">
        <v>657</v>
      </c>
      <c r="G54" s="657"/>
      <c r="H54" s="651"/>
    </row>
    <row r="55">
      <c r="A55" s="38"/>
      <c r="B55" s="655"/>
      <c r="C55" s="655"/>
      <c r="D55" s="853" t="s">
        <v>78</v>
      </c>
      <c r="E55" s="655"/>
      <c r="F55" s="728" t="s">
        <v>638</v>
      </c>
      <c r="G55" s="655"/>
      <c r="H55" s="655"/>
    </row>
    <row r="56">
      <c r="A56" s="44"/>
      <c r="B56" s="655"/>
      <c r="C56" s="655"/>
      <c r="D56" s="853">
        <v>301.0</v>
      </c>
      <c r="E56" s="675"/>
      <c r="F56" s="731">
        <v>102.0</v>
      </c>
      <c r="G56" s="675"/>
      <c r="H56" s="675"/>
    </row>
    <row r="57">
      <c r="A57" s="623" t="s">
        <v>66</v>
      </c>
      <c r="B57" s="698"/>
      <c r="C57" s="698"/>
      <c r="D57" s="698"/>
      <c r="E57" s="640"/>
      <c r="F57" s="855" t="s">
        <v>257</v>
      </c>
      <c r="G57" s="651"/>
      <c r="H57" s="651"/>
    </row>
    <row r="58">
      <c r="A58" s="38"/>
      <c r="B58" s="655"/>
      <c r="C58" s="655"/>
      <c r="D58" s="655"/>
      <c r="E58" s="658"/>
      <c r="F58" s="857" t="s">
        <v>258</v>
      </c>
      <c r="G58" s="655"/>
      <c r="H58" s="655"/>
    </row>
    <row r="59">
      <c r="A59" s="44"/>
      <c r="B59" s="655"/>
      <c r="C59" s="655"/>
      <c r="D59" s="655"/>
      <c r="E59" s="675"/>
      <c r="F59" s="860" t="s">
        <v>137</v>
      </c>
      <c r="G59" s="675"/>
      <c r="H59" s="675"/>
    </row>
    <row r="60">
      <c r="A60" s="633" t="s">
        <v>86</v>
      </c>
      <c r="B60" s="749"/>
      <c r="C60" s="3"/>
      <c r="D60" s="3"/>
      <c r="E60" s="3"/>
      <c r="F60" s="4"/>
      <c r="G60" s="862"/>
      <c r="H60" s="23"/>
    </row>
    <row r="61">
      <c r="A61" s="623" t="s">
        <v>39</v>
      </c>
      <c r="B61" s="863" t="s">
        <v>359</v>
      </c>
      <c r="C61" s="8"/>
      <c r="D61" s="638" t="s">
        <v>264</v>
      </c>
      <c r="E61" s="864" t="s">
        <v>198</v>
      </c>
      <c r="F61" s="865"/>
      <c r="G61" s="638" t="s">
        <v>666</v>
      </c>
      <c r="H61" s="8"/>
    </row>
    <row r="62">
      <c r="A62" s="38"/>
      <c r="B62" s="866" t="s">
        <v>218</v>
      </c>
      <c r="C62" s="23"/>
      <c r="D62" s="867" t="s">
        <v>349</v>
      </c>
      <c r="E62" s="687" t="s">
        <v>667</v>
      </c>
      <c r="F62" s="868"/>
      <c r="G62" s="867" t="s">
        <v>349</v>
      </c>
      <c r="H62" s="23"/>
    </row>
    <row r="63">
      <c r="A63" s="44"/>
      <c r="B63" s="869">
        <v>321.0</v>
      </c>
      <c r="C63" s="47"/>
      <c r="D63" s="870" t="s">
        <v>137</v>
      </c>
      <c r="E63" s="871" t="s">
        <v>137</v>
      </c>
      <c r="F63" s="872"/>
      <c r="G63" s="873" t="s">
        <v>137</v>
      </c>
      <c r="H63" s="47"/>
    </row>
    <row r="64">
      <c r="A64" s="623" t="s">
        <v>49</v>
      </c>
      <c r="B64" s="863" t="s">
        <v>368</v>
      </c>
      <c r="C64" s="8"/>
      <c r="D64" s="880" t="s">
        <v>328</v>
      </c>
      <c r="E64" s="864" t="s">
        <v>211</v>
      </c>
      <c r="F64" s="881"/>
      <c r="G64" s="638" t="s">
        <v>670</v>
      </c>
      <c r="H64" s="8"/>
    </row>
    <row r="65">
      <c r="A65" s="38"/>
      <c r="B65" s="866" t="s">
        <v>672</v>
      </c>
      <c r="C65" s="23"/>
      <c r="D65" s="889" t="s">
        <v>320</v>
      </c>
      <c r="E65" s="687" t="s">
        <v>667</v>
      </c>
      <c r="F65" s="663"/>
      <c r="G65" s="867" t="s">
        <v>617</v>
      </c>
      <c r="H65" s="23"/>
    </row>
    <row r="66">
      <c r="A66" s="44"/>
      <c r="B66" s="869">
        <v>321.0</v>
      </c>
      <c r="C66" s="47"/>
      <c r="D66" s="895" t="s">
        <v>137</v>
      </c>
      <c r="E66" s="871" t="s">
        <v>137</v>
      </c>
      <c r="F66" s="663"/>
      <c r="G66" s="873">
        <v>318.0</v>
      </c>
      <c r="H66" s="47"/>
    </row>
    <row r="67">
      <c r="A67" s="623" t="s">
        <v>51</v>
      </c>
      <c r="B67" s="227"/>
      <c r="C67" s="227"/>
      <c r="D67" s="899" t="s">
        <v>281</v>
      </c>
      <c r="E67" s="640"/>
      <c r="F67" s="838"/>
      <c r="G67" s="651"/>
      <c r="H67" s="651"/>
    </row>
    <row r="68">
      <c r="A68" s="38"/>
      <c r="B68" s="234"/>
      <c r="C68" s="234"/>
      <c r="D68" s="67" t="s">
        <v>617</v>
      </c>
      <c r="E68" s="658"/>
      <c r="F68" s="663"/>
      <c r="G68" s="655"/>
      <c r="H68" s="655"/>
    </row>
    <row r="69">
      <c r="A69" s="44"/>
      <c r="B69" s="240"/>
      <c r="C69" s="240"/>
      <c r="D69" s="73">
        <v>318.0</v>
      </c>
      <c r="E69" s="675"/>
      <c r="F69" s="674"/>
      <c r="G69" s="675"/>
      <c r="H69" s="675"/>
    </row>
    <row r="70">
      <c r="A70" s="623" t="s">
        <v>59</v>
      </c>
      <c r="B70" s="698"/>
      <c r="C70" s="698"/>
      <c r="D70" s="908" t="s">
        <v>336</v>
      </c>
      <c r="E70" s="733"/>
      <c r="F70" s="909"/>
      <c r="G70" s="642"/>
      <c r="H70" s="722"/>
    </row>
    <row r="71" ht="16.5" customHeight="1">
      <c r="A71" s="38"/>
      <c r="B71" s="655"/>
      <c r="C71" s="655"/>
      <c r="D71" s="916" t="s">
        <v>219</v>
      </c>
      <c r="E71" s="660"/>
      <c r="F71" s="917"/>
      <c r="G71" s="655"/>
      <c r="H71" s="746"/>
    </row>
    <row r="72">
      <c r="A72" s="44"/>
      <c r="B72" s="655"/>
      <c r="C72" s="655"/>
      <c r="D72" s="921" t="s">
        <v>733</v>
      </c>
      <c r="E72" s="730"/>
      <c r="F72" s="922"/>
      <c r="G72" s="675"/>
      <c r="H72" s="691"/>
    </row>
    <row r="73">
      <c r="A73" s="623" t="s">
        <v>64</v>
      </c>
      <c r="B73" s="698"/>
      <c r="C73" s="698"/>
      <c r="D73" s="227"/>
      <c r="E73" s="143"/>
      <c r="F73" s="650"/>
      <c r="G73" s="924"/>
      <c r="H73" s="234"/>
    </row>
    <row r="74">
      <c r="A74" s="38"/>
      <c r="B74" s="655"/>
      <c r="C74" s="655"/>
      <c r="D74" s="234"/>
      <c r="E74" s="143"/>
      <c r="F74" s="663"/>
      <c r="G74" s="924"/>
      <c r="H74" s="234"/>
    </row>
    <row r="75">
      <c r="A75" s="44"/>
      <c r="B75" s="655"/>
      <c r="C75" s="655"/>
      <c r="D75" s="240"/>
      <c r="E75" s="143"/>
      <c r="F75" s="674"/>
      <c r="G75" s="927"/>
      <c r="H75" s="240"/>
    </row>
    <row r="76">
      <c r="A76" s="623" t="s">
        <v>66</v>
      </c>
      <c r="B76" s="651"/>
      <c r="C76" s="651"/>
      <c r="D76" s="227"/>
      <c r="E76" s="640"/>
      <c r="F76" s="650"/>
      <c r="G76" s="924"/>
      <c r="H76" s="234"/>
    </row>
    <row r="77" ht="19.5" customHeight="1">
      <c r="A77" s="38"/>
      <c r="B77" s="655"/>
      <c r="C77" s="655"/>
      <c r="D77" s="234"/>
      <c r="E77" s="658"/>
      <c r="F77" s="663"/>
      <c r="G77" s="924"/>
      <c r="H77" s="234"/>
    </row>
    <row r="78">
      <c r="A78" s="44"/>
      <c r="B78" s="675"/>
      <c r="C78" s="675"/>
      <c r="D78" s="240"/>
      <c r="E78" s="675"/>
      <c r="F78" s="674"/>
      <c r="G78" s="924"/>
      <c r="H78" s="234"/>
    </row>
    <row r="79">
      <c r="A79" s="633" t="s">
        <v>92</v>
      </c>
      <c r="B79" s="636"/>
      <c r="C79" s="3"/>
      <c r="D79" s="3"/>
      <c r="E79" s="3"/>
      <c r="F79" s="4"/>
      <c r="G79" s="749"/>
      <c r="H79" s="4"/>
    </row>
    <row r="80">
      <c r="A80" s="623" t="s">
        <v>39</v>
      </c>
      <c r="B80" s="651"/>
      <c r="C80" s="651"/>
      <c r="D80" s="937"/>
      <c r="E80" s="733"/>
      <c r="F80" s="938" t="s">
        <v>683</v>
      </c>
      <c r="G80" s="651"/>
      <c r="H80" s="939"/>
    </row>
    <row r="81">
      <c r="A81" s="38"/>
      <c r="B81" s="655"/>
      <c r="C81" s="655"/>
      <c r="D81" s="701"/>
      <c r="E81" s="660"/>
      <c r="F81" s="943" t="s">
        <v>685</v>
      </c>
      <c r="G81" s="655"/>
      <c r="H81" s="746"/>
    </row>
    <row r="82">
      <c r="A82" s="44"/>
      <c r="B82" s="675"/>
      <c r="C82" s="675"/>
      <c r="D82" s="730"/>
      <c r="E82" s="675"/>
      <c r="F82" s="949">
        <v>102.0</v>
      </c>
      <c r="G82" s="675"/>
      <c r="H82" s="691"/>
    </row>
    <row r="83">
      <c r="A83" s="623" t="s">
        <v>49</v>
      </c>
      <c r="B83" s="651"/>
      <c r="C83" s="651"/>
      <c r="D83" s="651"/>
      <c r="E83" s="733"/>
      <c r="F83" s="695" t="s">
        <v>686</v>
      </c>
      <c r="G83" s="651"/>
      <c r="H83" s="651"/>
    </row>
    <row r="84">
      <c r="A84" s="38"/>
      <c r="B84" s="655"/>
      <c r="C84" s="655"/>
      <c r="D84" s="655"/>
      <c r="E84" s="660"/>
      <c r="F84" s="708" t="s">
        <v>688</v>
      </c>
      <c r="G84" s="655"/>
      <c r="H84" s="655"/>
    </row>
    <row r="85">
      <c r="A85" s="44"/>
      <c r="B85" s="675"/>
      <c r="C85" s="675"/>
      <c r="D85" s="675"/>
      <c r="E85" s="675"/>
      <c r="F85" s="670" t="s">
        <v>734</v>
      </c>
      <c r="G85" s="675"/>
      <c r="H85" s="675"/>
    </row>
    <row r="86">
      <c r="A86" s="623" t="s">
        <v>51</v>
      </c>
      <c r="B86" s="958"/>
      <c r="C86" s="959"/>
      <c r="D86" s="640"/>
      <c r="E86" s="960" t="s">
        <v>264</v>
      </c>
      <c r="F86" s="159"/>
      <c r="G86" s="651"/>
      <c r="H86" s="651"/>
    </row>
    <row r="87">
      <c r="A87" s="38"/>
      <c r="B87" s="555"/>
      <c r="C87" s="555"/>
      <c r="D87" s="658"/>
      <c r="E87" s="963" t="s">
        <v>271</v>
      </c>
      <c r="F87" s="159"/>
      <c r="G87" s="655"/>
      <c r="H87" s="655"/>
    </row>
    <row r="88">
      <c r="A88" s="44"/>
      <c r="B88" s="323"/>
      <c r="C88" s="323"/>
      <c r="D88" s="658"/>
      <c r="E88" s="966" t="s">
        <v>137</v>
      </c>
      <c r="F88" s="175"/>
      <c r="G88" s="675"/>
      <c r="H88" s="675"/>
    </row>
    <row r="89">
      <c r="A89" s="623" t="s">
        <v>59</v>
      </c>
      <c r="B89" s="958"/>
      <c r="C89" s="959"/>
      <c r="D89" s="640"/>
      <c r="E89" s="972" t="s">
        <v>281</v>
      </c>
      <c r="F89" s="650"/>
      <c r="G89" s="651"/>
      <c r="H89" s="651"/>
    </row>
    <row r="90">
      <c r="A90" s="38"/>
      <c r="B90" s="555"/>
      <c r="C90" s="555"/>
      <c r="D90" s="658"/>
      <c r="E90" s="976" t="s">
        <v>271</v>
      </c>
      <c r="F90" s="663"/>
      <c r="G90" s="655"/>
      <c r="H90" s="655"/>
    </row>
    <row r="91">
      <c r="A91" s="44"/>
      <c r="B91" s="323"/>
      <c r="C91" s="323"/>
      <c r="D91" s="655"/>
      <c r="E91" s="966" t="s">
        <v>137</v>
      </c>
      <c r="F91" s="674"/>
      <c r="G91" s="675"/>
      <c r="H91" s="675"/>
    </row>
    <row r="92">
      <c r="A92" s="623" t="s">
        <v>64</v>
      </c>
      <c r="B92" s="959"/>
      <c r="C92" s="958"/>
      <c r="D92" s="651"/>
      <c r="E92" s="651"/>
      <c r="F92" s="650"/>
      <c r="G92" s="651"/>
      <c r="H92" s="651"/>
    </row>
    <row r="93">
      <c r="A93" s="38"/>
      <c r="B93" s="555"/>
      <c r="C93" s="555"/>
      <c r="D93" s="655"/>
      <c r="E93" s="655"/>
      <c r="F93" s="663"/>
      <c r="G93" s="655"/>
      <c r="H93" s="655"/>
    </row>
    <row r="94">
      <c r="A94" s="44"/>
      <c r="B94" s="323"/>
      <c r="C94" s="323"/>
      <c r="D94" s="675"/>
      <c r="E94" s="675"/>
      <c r="F94" s="674"/>
      <c r="G94" s="675"/>
      <c r="H94" s="675"/>
    </row>
    <row r="95">
      <c r="A95" s="623" t="s">
        <v>66</v>
      </c>
      <c r="B95" s="651"/>
      <c r="C95" s="651"/>
      <c r="D95" s="651"/>
      <c r="E95" s="651"/>
      <c r="F95" s="650"/>
      <c r="G95" s="651"/>
      <c r="H95" s="651"/>
    </row>
    <row r="96">
      <c r="A96" s="38"/>
      <c r="B96" s="655"/>
      <c r="C96" s="655"/>
      <c r="D96" s="655"/>
      <c r="E96" s="655"/>
      <c r="F96" s="663"/>
      <c r="G96" s="655"/>
      <c r="H96" s="655"/>
    </row>
    <row r="97">
      <c r="A97" s="44"/>
      <c r="B97" s="675"/>
      <c r="C97" s="675"/>
      <c r="D97" s="675"/>
      <c r="E97" s="675"/>
      <c r="F97" s="674"/>
      <c r="G97" s="675"/>
      <c r="H97" s="675"/>
    </row>
    <row r="98">
      <c r="A98" s="633" t="s">
        <v>103</v>
      </c>
      <c r="B98" s="636"/>
      <c r="C98" s="3"/>
      <c r="D98" s="3"/>
      <c r="E98" s="3"/>
      <c r="F98" s="4"/>
      <c r="G98" s="862"/>
      <c r="H98" s="23"/>
    </row>
    <row r="99">
      <c r="A99" s="623" t="s">
        <v>39</v>
      </c>
      <c r="B99" s="651"/>
      <c r="C99" s="651"/>
      <c r="D99" s="651"/>
      <c r="E99" s="699" t="s">
        <v>436</v>
      </c>
      <c r="F99" s="650"/>
      <c r="G99" s="651"/>
      <c r="H99" s="651"/>
    </row>
    <row r="100">
      <c r="A100" s="38"/>
      <c r="B100" s="655"/>
      <c r="C100" s="655"/>
      <c r="D100" s="655"/>
      <c r="E100" s="845" t="s">
        <v>699</v>
      </c>
      <c r="F100" s="663"/>
      <c r="G100" s="655"/>
      <c r="H100" s="655"/>
    </row>
    <row r="101">
      <c r="A101" s="44"/>
      <c r="B101" s="675"/>
      <c r="C101" s="675"/>
      <c r="D101" s="675"/>
      <c r="E101" s="692" t="s">
        <v>735</v>
      </c>
      <c r="F101" s="674"/>
      <c r="G101" s="675"/>
      <c r="H101" s="675"/>
    </row>
    <row r="102">
      <c r="A102" s="623" t="s">
        <v>49</v>
      </c>
      <c r="B102" s="651"/>
      <c r="C102" s="651"/>
      <c r="D102" s="651"/>
      <c r="E102" s="699" t="s">
        <v>436</v>
      </c>
      <c r="F102" s="650"/>
      <c r="G102" s="651"/>
      <c r="H102" s="651"/>
    </row>
    <row r="103">
      <c r="A103" s="38"/>
      <c r="B103" s="655"/>
      <c r="C103" s="655"/>
      <c r="D103" s="655"/>
      <c r="E103" s="845" t="s">
        <v>699</v>
      </c>
      <c r="F103" s="663"/>
      <c r="G103" s="655"/>
      <c r="H103" s="655"/>
    </row>
    <row r="104">
      <c r="A104" s="44"/>
      <c r="B104" s="675"/>
      <c r="C104" s="675"/>
      <c r="D104" s="675"/>
      <c r="E104" s="692" t="s">
        <v>736</v>
      </c>
      <c r="F104" s="674"/>
      <c r="G104" s="675"/>
      <c r="H104" s="675"/>
    </row>
    <row r="105">
      <c r="A105" s="623" t="s">
        <v>51</v>
      </c>
      <c r="B105" s="651"/>
      <c r="C105" s="651"/>
      <c r="D105" s="651"/>
      <c r="E105" s="699" t="s">
        <v>395</v>
      </c>
      <c r="F105" s="650"/>
      <c r="G105" s="651"/>
      <c r="H105" s="651"/>
    </row>
    <row r="106">
      <c r="A106" s="38"/>
      <c r="B106" s="655"/>
      <c r="C106" s="655"/>
      <c r="D106" s="655"/>
      <c r="E106" s="845" t="s">
        <v>707</v>
      </c>
      <c r="F106" s="663"/>
      <c r="G106" s="655"/>
      <c r="H106" s="655"/>
    </row>
    <row r="107">
      <c r="A107" s="44"/>
      <c r="B107" s="675"/>
      <c r="C107" s="675"/>
      <c r="D107" s="675"/>
      <c r="E107" s="692" t="s">
        <v>737</v>
      </c>
      <c r="F107" s="674"/>
      <c r="G107" s="675"/>
      <c r="H107" s="675"/>
    </row>
    <row r="108">
      <c r="A108" s="623" t="s">
        <v>59</v>
      </c>
      <c r="B108" s="651"/>
      <c r="C108" s="651"/>
      <c r="D108" s="880" t="s">
        <v>328</v>
      </c>
      <c r="E108" s="699" t="s">
        <v>395</v>
      </c>
      <c r="F108" s="650"/>
      <c r="G108" s="651"/>
      <c r="H108" s="651"/>
    </row>
    <row r="109">
      <c r="A109" s="38"/>
      <c r="B109" s="655"/>
      <c r="C109" s="655"/>
      <c r="D109" s="889" t="s">
        <v>320</v>
      </c>
      <c r="E109" s="845" t="s">
        <v>707</v>
      </c>
      <c r="F109" s="663"/>
      <c r="G109" s="655"/>
      <c r="H109" s="655"/>
    </row>
    <row r="110">
      <c r="A110" s="44"/>
      <c r="B110" s="675"/>
      <c r="C110" s="675"/>
      <c r="D110" s="895" t="s">
        <v>710</v>
      </c>
      <c r="E110" s="692" t="s">
        <v>738</v>
      </c>
      <c r="F110" s="674"/>
      <c r="G110" s="675"/>
      <c r="H110" s="675"/>
    </row>
    <row r="111">
      <c r="A111" s="623" t="s">
        <v>64</v>
      </c>
      <c r="B111" s="651"/>
      <c r="C111" s="651"/>
      <c r="D111" s="880" t="s">
        <v>328</v>
      </c>
      <c r="E111" s="651"/>
      <c r="F111" s="650"/>
      <c r="G111" s="651"/>
      <c r="H111" s="651"/>
    </row>
    <row r="112">
      <c r="A112" s="38"/>
      <c r="B112" s="655"/>
      <c r="C112" s="655"/>
      <c r="D112" s="889" t="s">
        <v>320</v>
      </c>
      <c r="E112" s="655"/>
      <c r="F112" s="663"/>
      <c r="G112" s="655"/>
      <c r="H112" s="655"/>
    </row>
    <row r="113">
      <c r="A113" s="44"/>
      <c r="B113" s="675"/>
      <c r="C113" s="675"/>
      <c r="D113" s="895" t="s">
        <v>710</v>
      </c>
      <c r="E113" s="675"/>
      <c r="F113" s="674"/>
      <c r="G113" s="675"/>
      <c r="H113" s="675"/>
    </row>
    <row r="114">
      <c r="A114" s="623" t="s">
        <v>66</v>
      </c>
      <c r="B114" s="651"/>
      <c r="C114" s="651"/>
      <c r="D114" s="228"/>
      <c r="E114" s="651"/>
      <c r="F114" s="650"/>
      <c r="G114" s="651"/>
      <c r="H114" s="651"/>
    </row>
    <row r="115">
      <c r="A115" s="38"/>
      <c r="B115" s="655"/>
      <c r="C115" s="655"/>
      <c r="D115" s="161"/>
      <c r="E115" s="655"/>
      <c r="F115" s="663"/>
      <c r="G115" s="655"/>
      <c r="H115" s="655"/>
    </row>
    <row r="116">
      <c r="A116" s="44"/>
      <c r="B116" s="675"/>
      <c r="C116" s="675"/>
      <c r="D116" s="177"/>
      <c r="E116" s="675"/>
      <c r="F116" s="674"/>
      <c r="G116" s="675"/>
      <c r="H116" s="675"/>
    </row>
  </sheetData>
  <mergeCells count="93">
    <mergeCell ref="B44:C44"/>
    <mergeCell ref="B45:C45"/>
    <mergeCell ref="B46:C46"/>
    <mergeCell ref="B47:C47"/>
    <mergeCell ref="B48:C48"/>
    <mergeCell ref="B49:C49"/>
    <mergeCell ref="B50:C50"/>
    <mergeCell ref="G60:H60"/>
    <mergeCell ref="G61:H61"/>
    <mergeCell ref="G62:H62"/>
    <mergeCell ref="G63:H63"/>
    <mergeCell ref="G64:H64"/>
    <mergeCell ref="G65:H65"/>
    <mergeCell ref="G66:H66"/>
    <mergeCell ref="B51:C51"/>
    <mergeCell ref="B52:C52"/>
    <mergeCell ref="A54:A56"/>
    <mergeCell ref="A57:A59"/>
    <mergeCell ref="B60:F60"/>
    <mergeCell ref="A61:A63"/>
    <mergeCell ref="B61:C61"/>
    <mergeCell ref="B62:C62"/>
    <mergeCell ref="B63:C63"/>
    <mergeCell ref="A64:A66"/>
    <mergeCell ref="B64:C64"/>
    <mergeCell ref="B65:C65"/>
    <mergeCell ref="B66:C66"/>
    <mergeCell ref="A67:A69"/>
    <mergeCell ref="A70:A72"/>
    <mergeCell ref="A73:A75"/>
    <mergeCell ref="A76:A78"/>
    <mergeCell ref="B79:F79"/>
    <mergeCell ref="G79:H79"/>
    <mergeCell ref="A80:A82"/>
    <mergeCell ref="A83:A85"/>
    <mergeCell ref="A102:A104"/>
    <mergeCell ref="A105:A107"/>
    <mergeCell ref="A108:A110"/>
    <mergeCell ref="A111:A113"/>
    <mergeCell ref="A114:A116"/>
    <mergeCell ref="A86:A88"/>
    <mergeCell ref="A89:A91"/>
    <mergeCell ref="A92:A94"/>
    <mergeCell ref="A95:A97"/>
    <mergeCell ref="B98:F98"/>
    <mergeCell ref="G98:H98"/>
    <mergeCell ref="A99:A101"/>
    <mergeCell ref="A1:A2"/>
    <mergeCell ref="B1:F1"/>
    <mergeCell ref="G1:H1"/>
    <mergeCell ref="B3:F3"/>
    <mergeCell ref="G3:H3"/>
    <mergeCell ref="A4:A6"/>
    <mergeCell ref="B4:C4"/>
    <mergeCell ref="B5:C5"/>
    <mergeCell ref="B6:C6"/>
    <mergeCell ref="A7:A9"/>
    <mergeCell ref="B7:C7"/>
    <mergeCell ref="B8:C8"/>
    <mergeCell ref="B9:C9"/>
    <mergeCell ref="B12:C12"/>
    <mergeCell ref="B26:C26"/>
    <mergeCell ref="B27:C27"/>
    <mergeCell ref="B28:C28"/>
    <mergeCell ref="B29:C29"/>
    <mergeCell ref="B30:C30"/>
    <mergeCell ref="B31:C31"/>
    <mergeCell ref="B10:C10"/>
    <mergeCell ref="B11:C11"/>
    <mergeCell ref="B22:F22"/>
    <mergeCell ref="G22:H22"/>
    <mergeCell ref="B23:C23"/>
    <mergeCell ref="B24:C24"/>
    <mergeCell ref="B25:C25"/>
    <mergeCell ref="A42:A44"/>
    <mergeCell ref="A45:A47"/>
    <mergeCell ref="A48:A50"/>
    <mergeCell ref="A51:A53"/>
    <mergeCell ref="B53:C53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F41"/>
    <mergeCell ref="G41:H41"/>
    <mergeCell ref="B42:C42"/>
    <mergeCell ref="B43:C43"/>
  </mergeCells>
  <conditionalFormatting sqref="A1:A12 B1:B15 C1:C18 D1:F12 E16:F21 B17:B18 D17:D18 C20:D21 A23:C31 D23:D37 E23:E40 F23:F37 A35:C37 C39:D40 D42:D56 E42:E53 A48:A53 B48:B49 C48:C49 B51:B53 C51:C53 E55:E59 F55 D58:D59 A61:A75 B61:C78 D61:D75 E61:F78 D77:D78 A80:C82 D80:D88 E80:E94 F80:F85 F89:F91 D90:D91 D93:D94 D96:E97 E99:E110 C100:D101 C103:D104 C106:C107 D106:D113 C109:C110 C112:C113 E112:E113 C115:E116">
    <cfRule type="expression" dxfId="0" priority="1">
      <formula>REGEXMATCH(A1, "(^\s+)|(\s+$)")</formula>
    </cfRule>
  </conditionalFormatting>
  <conditionalFormatting sqref="A1:A12 B1:B15 C1:C18 D1:F12 E16:F21 B17:B18 D17:D18 C20:D21 A23:C31 D23:D37 E23:E40 F23:F37 A35:C37 C39:D40 D42:D56 E42:E53 A48:A53 B48:B49 C48:C49 B51:B53 C51:C53 E55:E59 F55 D58:D59 A61:A75 B61:C78 D61:D75 E61:F78 D77:D78 A80:C82 D80:D88 E80:E94 F80:F85 F89:F91 D90:D91 D93:D94 D96:E97 E99:E110 C100:D101 C103:D104 C106:C107 D106:D113 C109:C110 C112:C113 E112:E113 C115:E116">
    <cfRule type="expression" dxfId="0" priority="2">
      <formula>REGEXMATCH(A1, "[а-яА-Я]")</formula>
    </cfRule>
  </conditionalFormatting>
  <conditionalFormatting sqref="A1:A12 B1:B15 C1:C18 D1:F12 E16:F21 B17:B18 D17:D18 C20:D21 A23:C31 D23:D37 E23:E40 F23:F37 A35:C37 C39:D40 D42:D56 E42:E53 A48:A53 B48:B49 C48:C49 B51:B53 C51:C53 E55:E59 F55 D58:D59 A61:A75 B61:C78 D61:D75 E61:F78 D77:D78 A80:C82 D80:D88 E80:E94 F80:F85 F89:F91 D90:D91 D93:D94 D96:E97 E99:E110 C100:D101 C103:D104 C106:C107 D106:D113 C109:C110 C112:C113 E112:E113 C115:E116">
    <cfRule type="expression" dxfId="0" priority="3">
      <formula>REGEXMATCH(A1, "\s{2,}")</formula>
    </cfRule>
  </conditionalFormatting>
  <conditionalFormatting sqref="A1:A12 B1:B15 C1:C18 D1:F12 E16:F21 B17:B18 D17:D18 C20:D21 A23:C31 D23:D37 E23:E40 F23:F37 A35:C37 C39:D40 D42:D56 E42:E53 A48:A53 B48:B49 C48:C49 B51:B53 C51:C53 E55:E59 F55 D58:D59 A61:A75 B61:C78 D61:D75 E61:F78 D77:D78 A80:C82 D80:D88 E80:E94 F80:F85 F89:F91 D90:D91 D93:D94 D96:E97 E99:E110 C100:D101 C103:D104 C106:C107 D106:D113 C109:C110 C112:C113 E112:E113 C115:E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