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\Dropbox\SWS\3_bis_standardization\"/>
    </mc:Choice>
  </mc:AlternateContent>
  <bookViews>
    <workbookView xWindow="0" yWindow="0" windowWidth="16380" windowHeight="8196" tabRatio="475" activeTab="1"/>
  </bookViews>
  <sheets>
    <sheet name="Initial" sheetId="1" r:id="rId1"/>
    <sheet name="After AUPUS" sheetId="2" r:id="rId2"/>
    <sheet name="After Standardization" sheetId="3" r:id="rId3"/>
    <sheet name="Tree" sheetId="4" r:id="rId4"/>
  </sheets>
  <calcPr calcId="152511"/>
</workbook>
</file>

<file path=xl/calcChain.xml><?xml version="1.0" encoding="utf-8"?>
<calcChain xmlns="http://schemas.openxmlformats.org/spreadsheetml/2006/main">
  <c r="C47" i="3" l="1"/>
  <c r="D47" i="3"/>
  <c r="G37" i="4"/>
  <c r="H37" i="4" s="1"/>
  <c r="G36" i="4"/>
  <c r="G35" i="4"/>
  <c r="H35" i="4" s="1"/>
  <c r="G34" i="4"/>
  <c r="H34" i="4" s="1"/>
  <c r="G33" i="4"/>
  <c r="H33" i="4" s="1"/>
  <c r="G32" i="4"/>
  <c r="G31" i="4"/>
  <c r="H31" i="4" s="1"/>
  <c r="G30" i="4"/>
  <c r="H30" i="4" s="1"/>
  <c r="G29" i="4"/>
  <c r="H29" i="4" s="1"/>
  <c r="G28" i="4"/>
  <c r="G27" i="4"/>
  <c r="H27" i="4" s="1"/>
  <c r="G26" i="4"/>
  <c r="H26" i="4" s="1"/>
  <c r="G25" i="4"/>
  <c r="H25" i="4" s="1"/>
  <c r="G24" i="4"/>
  <c r="G23" i="4"/>
  <c r="H23" i="4" s="1"/>
  <c r="G22" i="4"/>
  <c r="H22" i="4" s="1"/>
  <c r="G21" i="4"/>
  <c r="H21" i="4" s="1"/>
  <c r="G20" i="4"/>
  <c r="G19" i="4"/>
  <c r="H36" i="4"/>
  <c r="H32" i="4"/>
  <c r="H28" i="4"/>
  <c r="H24" i="4"/>
  <c r="H20" i="4"/>
  <c r="H19" i="4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2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3" i="2"/>
  <c r="K2" i="2"/>
  <c r="N7" i="2" l="1"/>
  <c r="R7" i="2"/>
  <c r="P7" i="2"/>
  <c r="S26" i="2" l="1"/>
  <c r="R26" i="2"/>
  <c r="Q26" i="2"/>
  <c r="P26" i="2"/>
  <c r="O26" i="2"/>
  <c r="N26" i="2"/>
  <c r="S28" i="2" l="1"/>
  <c r="R28" i="2"/>
  <c r="Q28" i="2"/>
  <c r="P28" i="2"/>
  <c r="O28" i="2"/>
  <c r="N28" i="2"/>
  <c r="N3" i="2"/>
  <c r="S3" i="2"/>
  <c r="S5" i="2" s="1"/>
  <c r="R3" i="2"/>
  <c r="R5" i="2" s="1"/>
  <c r="Q3" i="2"/>
  <c r="Q5" i="2" s="1"/>
  <c r="P3" i="2"/>
  <c r="P5" i="2" s="1"/>
  <c r="O3" i="2"/>
  <c r="A46" i="3"/>
  <c r="G46" i="3" s="1"/>
  <c r="A45" i="3"/>
  <c r="F45" i="3" s="1"/>
  <c r="A44" i="3"/>
  <c r="E44" i="3" s="1"/>
  <c r="A43" i="3"/>
  <c r="E43" i="3" s="1"/>
  <c r="A42" i="3"/>
  <c r="E42" i="3" s="1"/>
  <c r="A41" i="3"/>
  <c r="E41" i="3" s="1"/>
  <c r="A40" i="3"/>
  <c r="E40" i="3" s="1"/>
  <c r="G39" i="3"/>
  <c r="A39" i="3"/>
  <c r="E39" i="3" s="1"/>
  <c r="A38" i="3"/>
  <c r="D38" i="3" s="1"/>
  <c r="A37" i="3"/>
  <c r="C36" i="3"/>
  <c r="A36" i="3"/>
  <c r="E36" i="3" s="1"/>
  <c r="A35" i="3"/>
  <c r="E35" i="3" s="1"/>
  <c r="A34" i="3"/>
  <c r="D34" i="3" s="1"/>
  <c r="A33" i="3"/>
  <c r="E33" i="3" s="1"/>
  <c r="A32" i="3"/>
  <c r="E32" i="3" s="1"/>
  <c r="G31" i="3"/>
  <c r="B31" i="3"/>
  <c r="A31" i="3"/>
  <c r="E31" i="3" s="1"/>
  <c r="A30" i="3"/>
  <c r="D30" i="3" s="1"/>
  <c r="A29" i="3"/>
  <c r="A28" i="3"/>
  <c r="E28" i="3" s="1"/>
  <c r="A27" i="3"/>
  <c r="E27" i="3" s="1"/>
  <c r="A26" i="3"/>
  <c r="D26" i="3" s="1"/>
  <c r="A46" i="2"/>
  <c r="A45" i="2"/>
  <c r="A44" i="2"/>
  <c r="D44" i="2" s="1"/>
  <c r="I43" i="2"/>
  <c r="A43" i="2"/>
  <c r="E43" i="2" s="1"/>
  <c r="I42" i="2"/>
  <c r="E42" i="2"/>
  <c r="D42" i="2"/>
  <c r="C42" i="2"/>
  <c r="A42" i="2"/>
  <c r="H42" i="2" s="1"/>
  <c r="A41" i="2"/>
  <c r="J41" i="2" s="1"/>
  <c r="A40" i="2"/>
  <c r="E40" i="2" s="1"/>
  <c r="A39" i="2"/>
  <c r="J39" i="2" s="1"/>
  <c r="A38" i="2"/>
  <c r="H38" i="2" s="1"/>
  <c r="A37" i="2"/>
  <c r="G37" i="2" s="1"/>
  <c r="A36" i="2"/>
  <c r="G36" i="2" s="1"/>
  <c r="E35" i="2"/>
  <c r="C35" i="2"/>
  <c r="A35" i="2"/>
  <c r="F35" i="2" s="1"/>
  <c r="A34" i="2"/>
  <c r="I34" i="2" s="1"/>
  <c r="J33" i="2"/>
  <c r="I33" i="2"/>
  <c r="A33" i="2"/>
  <c r="G33" i="2" s="1"/>
  <c r="A32" i="2"/>
  <c r="C32" i="2" s="1"/>
  <c r="A31" i="2"/>
  <c r="G31" i="2" s="1"/>
  <c r="E30" i="2"/>
  <c r="A30" i="2"/>
  <c r="G30" i="2" s="1"/>
  <c r="A29" i="2"/>
  <c r="G29" i="2" s="1"/>
  <c r="A28" i="2"/>
  <c r="I28" i="2" s="1"/>
  <c r="A27" i="2"/>
  <c r="J27" i="2" s="1"/>
  <c r="E26" i="2"/>
  <c r="A26" i="2"/>
  <c r="D26" i="2" s="1"/>
  <c r="K10" i="1"/>
  <c r="K9" i="1"/>
  <c r="K6" i="1"/>
  <c r="K5" i="1"/>
  <c r="K4" i="1"/>
  <c r="F35" i="3" l="1"/>
  <c r="H26" i="2"/>
  <c r="I35" i="2"/>
  <c r="J43" i="2"/>
  <c r="C31" i="3"/>
  <c r="B35" i="3"/>
  <c r="G35" i="3"/>
  <c r="G44" i="3"/>
  <c r="N5" i="2"/>
  <c r="N6" i="2"/>
  <c r="O5" i="2"/>
  <c r="O7" i="2"/>
  <c r="I26" i="2"/>
  <c r="J35" i="2"/>
  <c r="D31" i="3"/>
  <c r="C35" i="3"/>
  <c r="G27" i="3"/>
  <c r="F31" i="3"/>
  <c r="D35" i="3"/>
  <c r="E28" i="2"/>
  <c r="B33" i="3"/>
  <c r="C28" i="3"/>
  <c r="D33" i="3"/>
  <c r="E38" i="3"/>
  <c r="D40" i="3"/>
  <c r="C43" i="3"/>
  <c r="D45" i="3"/>
  <c r="D28" i="2"/>
  <c r="C34" i="2"/>
  <c r="G26" i="3"/>
  <c r="C27" i="2"/>
  <c r="E41" i="2"/>
  <c r="B41" i="2"/>
  <c r="C41" i="2"/>
  <c r="B39" i="2"/>
  <c r="E44" i="2"/>
  <c r="B27" i="3"/>
  <c r="B39" i="3"/>
  <c r="C26" i="2"/>
  <c r="I41" i="2"/>
  <c r="I44" i="2"/>
  <c r="C27" i="3"/>
  <c r="C30" i="3"/>
  <c r="B34" i="3"/>
  <c r="C39" i="3"/>
  <c r="B41" i="3"/>
  <c r="G43" i="3"/>
  <c r="B26" i="3"/>
  <c r="C38" i="3"/>
  <c r="B43" i="3"/>
  <c r="B33" i="2"/>
  <c r="D34" i="2"/>
  <c r="D43" i="3"/>
  <c r="E27" i="2"/>
  <c r="E29" i="2"/>
  <c r="C33" i="2"/>
  <c r="E34" i="2"/>
  <c r="G39" i="2"/>
  <c r="G41" i="2"/>
  <c r="F43" i="3"/>
  <c r="I27" i="2"/>
  <c r="J29" i="2"/>
  <c r="E33" i="2"/>
  <c r="H34" i="2"/>
  <c r="D36" i="2"/>
  <c r="E36" i="2"/>
  <c r="C40" i="2"/>
  <c r="C43" i="2"/>
  <c r="D27" i="3"/>
  <c r="E30" i="3"/>
  <c r="D32" i="3"/>
  <c r="G34" i="3"/>
  <c r="D39" i="3"/>
  <c r="D41" i="3"/>
  <c r="I36" i="2"/>
  <c r="H40" i="2"/>
  <c r="F27" i="3"/>
  <c r="F39" i="3"/>
  <c r="C44" i="3"/>
  <c r="F31" i="2"/>
  <c r="F29" i="2"/>
  <c r="H45" i="2"/>
  <c r="D45" i="2"/>
  <c r="F45" i="2"/>
  <c r="J46" i="2"/>
  <c r="F46" i="2"/>
  <c r="B46" i="2"/>
  <c r="G46" i="2"/>
  <c r="G29" i="3"/>
  <c r="C29" i="3"/>
  <c r="F29" i="3"/>
  <c r="G37" i="3"/>
  <c r="C37" i="3"/>
  <c r="F37" i="3"/>
  <c r="B42" i="3"/>
  <c r="J32" i="2"/>
  <c r="F32" i="2"/>
  <c r="B32" i="2"/>
  <c r="J30" i="2"/>
  <c r="F30" i="2"/>
  <c r="B30" i="2"/>
  <c r="H32" i="2"/>
  <c r="H27" i="2"/>
  <c r="D27" i="2"/>
  <c r="J28" i="2"/>
  <c r="F28" i="2"/>
  <c r="B28" i="2"/>
  <c r="H30" i="2"/>
  <c r="B37" i="2"/>
  <c r="C39" i="2"/>
  <c r="I39" i="2"/>
  <c r="D40" i="2"/>
  <c r="I40" i="2"/>
  <c r="H43" i="2"/>
  <c r="D43" i="2"/>
  <c r="F43" i="2"/>
  <c r="J44" i="2"/>
  <c r="F44" i="2"/>
  <c r="B44" i="2"/>
  <c r="G44" i="2"/>
  <c r="B45" i="2"/>
  <c r="G45" i="2"/>
  <c r="C46" i="2"/>
  <c r="H46" i="2"/>
  <c r="C26" i="3"/>
  <c r="D28" i="3"/>
  <c r="B29" i="3"/>
  <c r="F30" i="3"/>
  <c r="F32" i="3"/>
  <c r="B32" i="3"/>
  <c r="G32" i="3"/>
  <c r="C34" i="3"/>
  <c r="D36" i="3"/>
  <c r="B37" i="3"/>
  <c r="F38" i="3"/>
  <c r="F40" i="3"/>
  <c r="B40" i="3"/>
  <c r="G40" i="3"/>
  <c r="C42" i="3"/>
  <c r="H31" i="2"/>
  <c r="D31" i="2"/>
  <c r="G32" i="2"/>
  <c r="H29" i="2"/>
  <c r="D29" i="2"/>
  <c r="B31" i="2"/>
  <c r="H37" i="2"/>
  <c r="D37" i="2"/>
  <c r="F37" i="2"/>
  <c r="J38" i="2"/>
  <c r="F38" i="2"/>
  <c r="B38" i="2"/>
  <c r="G38" i="2"/>
  <c r="F27" i="2"/>
  <c r="G28" i="2"/>
  <c r="B29" i="2"/>
  <c r="C30" i="2"/>
  <c r="C31" i="2"/>
  <c r="I31" i="2"/>
  <c r="D32" i="2"/>
  <c r="I32" i="2"/>
  <c r="H35" i="2"/>
  <c r="D35" i="2"/>
  <c r="J36" i="2"/>
  <c r="F36" i="2"/>
  <c r="B36" i="2"/>
  <c r="C38" i="2"/>
  <c r="J26" i="2"/>
  <c r="F26" i="2"/>
  <c r="B26" i="2"/>
  <c r="G26" i="2"/>
  <c r="B27" i="2"/>
  <c r="G27" i="2"/>
  <c r="C28" i="2"/>
  <c r="H28" i="2"/>
  <c r="C29" i="2"/>
  <c r="I29" i="2"/>
  <c r="D30" i="2"/>
  <c r="I30" i="2"/>
  <c r="E31" i="2"/>
  <c r="J31" i="2"/>
  <c r="E32" i="2"/>
  <c r="H33" i="2"/>
  <c r="D33" i="2"/>
  <c r="F33" i="2"/>
  <c r="J34" i="2"/>
  <c r="F34" i="2"/>
  <c r="B34" i="2"/>
  <c r="G34" i="2"/>
  <c r="B35" i="2"/>
  <c r="G35" i="2"/>
  <c r="C36" i="2"/>
  <c r="H36" i="2"/>
  <c r="C37" i="2"/>
  <c r="I37" i="2"/>
  <c r="D38" i="2"/>
  <c r="I38" i="2"/>
  <c r="E39" i="2"/>
  <c r="H41" i="2"/>
  <c r="D41" i="2"/>
  <c r="F41" i="2"/>
  <c r="J42" i="2"/>
  <c r="F42" i="2"/>
  <c r="B42" i="2"/>
  <c r="G42" i="2"/>
  <c r="B43" i="2"/>
  <c r="G43" i="2"/>
  <c r="C44" i="2"/>
  <c r="H44" i="2"/>
  <c r="C45" i="2"/>
  <c r="I45" i="2"/>
  <c r="D46" i="2"/>
  <c r="I46" i="2"/>
  <c r="E26" i="3"/>
  <c r="D29" i="3"/>
  <c r="B30" i="3"/>
  <c r="G30" i="3"/>
  <c r="C32" i="3"/>
  <c r="G33" i="3"/>
  <c r="C33" i="3"/>
  <c r="F33" i="3"/>
  <c r="E34" i="3"/>
  <c r="D37" i="3"/>
  <c r="B38" i="3"/>
  <c r="G38" i="3"/>
  <c r="C40" i="3"/>
  <c r="G41" i="3"/>
  <c r="C41" i="3"/>
  <c r="F41" i="3"/>
  <c r="E37" i="2"/>
  <c r="J37" i="2"/>
  <c r="E38" i="2"/>
  <c r="H39" i="2"/>
  <c r="D39" i="2"/>
  <c r="F39" i="2"/>
  <c r="J40" i="2"/>
  <c r="F40" i="2"/>
  <c r="B40" i="2"/>
  <c r="G40" i="2"/>
  <c r="E45" i="2"/>
  <c r="J45" i="2"/>
  <c r="E46" i="2"/>
  <c r="F26" i="3"/>
  <c r="F28" i="3"/>
  <c r="B28" i="3"/>
  <c r="G28" i="3"/>
  <c r="E29" i="3"/>
  <c r="F34" i="3"/>
  <c r="F36" i="3"/>
  <c r="B36" i="3"/>
  <c r="G36" i="3"/>
  <c r="E37" i="3"/>
  <c r="D42" i="3"/>
  <c r="G42" i="3"/>
  <c r="F42" i="3"/>
  <c r="B44" i="3"/>
  <c r="F44" i="3"/>
  <c r="C45" i="3"/>
  <c r="G45" i="3"/>
  <c r="D46" i="3"/>
  <c r="E46" i="3"/>
  <c r="D44" i="3"/>
  <c r="E45" i="3"/>
  <c r="B46" i="3"/>
  <c r="F46" i="3"/>
  <c r="B45" i="3"/>
  <c r="C46" i="3"/>
</calcChain>
</file>

<file path=xl/sharedStrings.xml><?xml version="1.0" encoding="utf-8"?>
<sst xmlns="http://schemas.openxmlformats.org/spreadsheetml/2006/main" count="91" uniqueCount="29">
  <si>
    <t>measuredItemFS</t>
  </si>
  <si>
    <t>Area</t>
  </si>
  <si>
    <t>Yield</t>
  </si>
  <si>
    <t>Production</t>
  </si>
  <si>
    <t>Imports</t>
  </si>
  <si>
    <t>Exports</t>
  </si>
  <si>
    <t>Feed</t>
  </si>
  <si>
    <t>Seed</t>
  </si>
  <si>
    <t>Waste</t>
  </si>
  <si>
    <t>Processed</t>
  </si>
  <si>
    <t>Parent</t>
  </si>
  <si>
    <t>Child</t>
  </si>
  <si>
    <t>ER</t>
  </si>
  <si>
    <t>Default</t>
  </si>
  <si>
    <t>Country Specific</t>
  </si>
  <si>
    <t>56 (FAOSTAT):</t>
  </si>
  <si>
    <t>% Error</t>
  </si>
  <si>
    <t>S2514</t>
  </si>
  <si>
    <t>S2582</t>
  </si>
  <si>
    <t>Delta (from previous)</t>
  </si>
  <si>
    <t>Losses</t>
  </si>
  <si>
    <t>Food</t>
  </si>
  <si>
    <t>Industrial Uses</t>
  </si>
  <si>
    <t>Standardization</t>
  </si>
  <si>
    <t>AUPUS</t>
  </si>
  <si>
    <t>Share</t>
  </si>
  <si>
    <t>Tree</t>
  </si>
  <si>
    <t>Used ER</t>
  </si>
  <si>
    <t>Guess: include 846?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</si>
</sst>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3" fontId="0" fillId="2" borderId="0" xfId="0" applyNumberFormat="1" applyFill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15240</xdr:colOff>
      <xdr:row>0</xdr:row>
      <xdr:rowOff>91440</xdr:rowOff>
    </xdr:from>
    <xdr:to>
      <xdr:col>19</xdr:col>
      <xdr:colOff>597780</xdr:colOff>
      <xdr:row>37</xdr:row>
      <xdr:rowOff>7620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7560" y="91440"/>
          <a:ext cx="8507340" cy="61188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Normal="100" workbookViewId="0">
      <selection activeCell="E2" sqref="E2:F20"/>
    </sheetView>
  </sheetViews>
  <sheetFormatPr defaultRowHeight="13.2" x14ac:dyDescent="0.25"/>
  <cols>
    <col min="1" max="1" width="15.44140625"/>
    <col min="2" max="4" width="10.88671875"/>
    <col min="5" max="5" width="10.88671875" customWidth="1"/>
    <col min="6" max="6" width="7.88671875"/>
    <col min="7" max="7" width="10.88671875"/>
    <col min="8" max="8" width="6.44140625"/>
    <col min="9" max="9" width="6.5546875"/>
    <col min="10" max="10" width="10.88671875"/>
    <col min="12" max="1026" width="11.5546875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</row>
    <row r="2" spans="1:20" x14ac:dyDescent="0.25">
      <c r="A2" s="1">
        <v>41</v>
      </c>
      <c r="B2" s="2">
        <v>45000</v>
      </c>
      <c r="C2" s="2">
        <v>9000</v>
      </c>
      <c r="D2" s="2">
        <v>40500</v>
      </c>
      <c r="E2" s="2">
        <v>51166</v>
      </c>
      <c r="F2" s="2">
        <v>67055</v>
      </c>
      <c r="G2" s="2"/>
      <c r="H2" s="2"/>
      <c r="I2" s="2"/>
      <c r="J2" s="2"/>
      <c r="K2" s="3"/>
      <c r="L2" s="3">
        <f>B2-'After AUPUS'!B2</f>
        <v>0</v>
      </c>
      <c r="M2" s="3">
        <f>C2-'After AUPUS'!C2</f>
        <v>0</v>
      </c>
      <c r="N2" s="3">
        <f>D2-'After AUPUS'!D2</f>
        <v>0</v>
      </c>
      <c r="O2" s="3">
        <f>E2-'After AUPUS'!E2</f>
        <v>0</v>
      </c>
      <c r="P2" s="3">
        <f>F2-'After AUPUS'!F2</f>
        <v>0</v>
      </c>
      <c r="Q2" s="3">
        <f>G2-'After AUPUS'!G2</f>
        <v>0</v>
      </c>
      <c r="R2" s="3">
        <f>H2-'After AUPUS'!H2</f>
        <v>0</v>
      </c>
      <c r="S2" s="3">
        <f>I2-'After AUPUS'!I2</f>
        <v>0</v>
      </c>
      <c r="T2" s="3">
        <f>J2-'After AUPUS'!J2</f>
        <v>0</v>
      </c>
    </row>
    <row r="3" spans="1:20" x14ac:dyDescent="0.25">
      <c r="A3" s="1">
        <v>56</v>
      </c>
      <c r="B3" s="2">
        <v>915500</v>
      </c>
      <c r="C3" s="2">
        <v>86048.061199999996</v>
      </c>
      <c r="D3" s="2">
        <v>7877700</v>
      </c>
      <c r="E3" s="2">
        <v>2202366</v>
      </c>
      <c r="F3" s="2">
        <v>66411</v>
      </c>
      <c r="G3" s="2">
        <v>8550000</v>
      </c>
      <c r="H3" s="2">
        <v>25520</v>
      </c>
      <c r="I3" s="2">
        <v>9450</v>
      </c>
      <c r="J3" s="2">
        <v>1300000</v>
      </c>
      <c r="K3" s="3"/>
      <c r="L3" s="3">
        <f>B3-'After AUPUS'!B3</f>
        <v>0</v>
      </c>
      <c r="M3" s="3">
        <f>C3-'After AUPUS'!C3</f>
        <v>0</v>
      </c>
      <c r="N3" s="3">
        <f>D3-'After AUPUS'!D3</f>
        <v>0</v>
      </c>
      <c r="O3" s="3">
        <f>E3-'After AUPUS'!E3</f>
        <v>0</v>
      </c>
      <c r="P3" s="3">
        <f>F3-'After AUPUS'!F3</f>
        <v>0</v>
      </c>
      <c r="Q3" s="3">
        <f>G3-'After AUPUS'!G3</f>
        <v>0</v>
      </c>
      <c r="R3" s="3">
        <f>H3-'After AUPUS'!H3</f>
        <v>0</v>
      </c>
      <c r="S3" s="3">
        <f>I3-'After AUPUS'!I3</f>
        <v>0</v>
      </c>
      <c r="T3" s="3">
        <f>J3-'After AUPUS'!J3</f>
        <v>0</v>
      </c>
    </row>
    <row r="4" spans="1:20" x14ac:dyDescent="0.25">
      <c r="A4" s="1">
        <v>57</v>
      </c>
      <c r="B4" s="2">
        <v>1196000</v>
      </c>
      <c r="C4" s="2">
        <v>800</v>
      </c>
      <c r="D4" s="2">
        <v>95680</v>
      </c>
      <c r="E4" s="2">
        <v>65487</v>
      </c>
      <c r="F4" s="2">
        <v>44</v>
      </c>
      <c r="G4" s="2">
        <v>23723</v>
      </c>
      <c r="H4" s="2"/>
      <c r="I4" s="2"/>
      <c r="J4" s="2">
        <v>137400</v>
      </c>
      <c r="K4" s="4">
        <f>D4/C4</f>
        <v>119.6</v>
      </c>
      <c r="L4" s="3">
        <f>B4-'After AUPUS'!B4</f>
        <v>0</v>
      </c>
      <c r="M4" s="3">
        <f>C4-'After AUPUS'!C4</f>
        <v>0</v>
      </c>
      <c r="N4" s="3">
        <f>D4-'After AUPUS'!D4</f>
        <v>0</v>
      </c>
      <c r="O4" s="3">
        <f>E4-'After AUPUS'!E4</f>
        <v>0</v>
      </c>
      <c r="P4" s="3">
        <f>F4-'After AUPUS'!F4</f>
        <v>0</v>
      </c>
      <c r="Q4" s="3">
        <f>G4-'After AUPUS'!G4</f>
        <v>0</v>
      </c>
      <c r="R4" s="3">
        <f>H4-'After AUPUS'!H4</f>
        <v>0</v>
      </c>
      <c r="S4" s="3">
        <f>I4-'After AUPUS'!I4</f>
        <v>0</v>
      </c>
      <c r="T4" s="3">
        <f>J4-'After AUPUS'!J4</f>
        <v>0</v>
      </c>
    </row>
    <row r="5" spans="1:20" x14ac:dyDescent="0.25">
      <c r="A5" s="1">
        <v>58</v>
      </c>
      <c r="B5" s="2">
        <v>1196000</v>
      </c>
      <c r="C5" s="2">
        <v>7500</v>
      </c>
      <c r="D5" s="2">
        <v>897000</v>
      </c>
      <c r="E5" s="2">
        <v>11904</v>
      </c>
      <c r="F5" s="2">
        <v>130611</v>
      </c>
      <c r="G5" s="2"/>
      <c r="H5" s="2"/>
      <c r="I5" s="2"/>
      <c r="J5" s="2">
        <v>608293</v>
      </c>
      <c r="K5" s="4">
        <f>D5/C5</f>
        <v>119.6</v>
      </c>
      <c r="L5" s="3">
        <f>B5-'After AUPUS'!B5</f>
        <v>0</v>
      </c>
      <c r="M5" s="3">
        <f>C5-'After AUPUS'!C5</f>
        <v>0</v>
      </c>
      <c r="N5" s="3">
        <f>D5-'After AUPUS'!D5</f>
        <v>0</v>
      </c>
      <c r="O5" s="3">
        <f>E5-'After AUPUS'!E5</f>
        <v>0</v>
      </c>
      <c r="P5" s="3">
        <f>F5-'After AUPUS'!F5</f>
        <v>0</v>
      </c>
      <c r="Q5" s="3">
        <f>G5-'After AUPUS'!G5</f>
        <v>0</v>
      </c>
      <c r="R5" s="3">
        <f>H5-'After AUPUS'!H5</f>
        <v>0</v>
      </c>
      <c r="S5" s="3">
        <f>I5-'After AUPUS'!I5</f>
        <v>0</v>
      </c>
      <c r="T5" s="3">
        <f>J5-'After AUPUS'!J5</f>
        <v>0</v>
      </c>
    </row>
    <row r="6" spans="1:20" x14ac:dyDescent="0.25">
      <c r="A6" s="1">
        <v>59</v>
      </c>
      <c r="B6" s="2">
        <v>1196000</v>
      </c>
      <c r="C6" s="2">
        <v>1600</v>
      </c>
      <c r="D6" s="2">
        <v>191360</v>
      </c>
      <c r="E6" s="2">
        <v>2499</v>
      </c>
      <c r="F6" s="2">
        <v>2412</v>
      </c>
      <c r="G6" s="2">
        <v>191447</v>
      </c>
      <c r="H6" s="2"/>
      <c r="I6" s="2"/>
      <c r="J6" s="2"/>
      <c r="K6" s="4">
        <f>D6/C6</f>
        <v>119.6</v>
      </c>
      <c r="L6" s="3">
        <f>B6-'After AUPUS'!B6</f>
        <v>0</v>
      </c>
      <c r="M6" s="3">
        <f>C6-'After AUPUS'!C6</f>
        <v>0</v>
      </c>
      <c r="N6" s="3">
        <f>D6-'After AUPUS'!D6</f>
        <v>0</v>
      </c>
      <c r="O6" s="3">
        <f>E6-'After AUPUS'!E6</f>
        <v>0</v>
      </c>
      <c r="P6" s="3">
        <f>F6-'After AUPUS'!F6</f>
        <v>0</v>
      </c>
      <c r="Q6" s="3">
        <f>G6-'After AUPUS'!G6</f>
        <v>0</v>
      </c>
      <c r="R6" s="3">
        <f>H6-'After AUPUS'!H6</f>
        <v>0</v>
      </c>
      <c r="S6" s="3">
        <f>I6-'After AUPUS'!I6</f>
        <v>0</v>
      </c>
      <c r="T6" s="3">
        <f>J6-'After AUPUS'!J6</f>
        <v>0</v>
      </c>
    </row>
    <row r="7" spans="1:20" x14ac:dyDescent="0.25">
      <c r="A7" s="1">
        <v>60</v>
      </c>
      <c r="B7" s="2">
        <v>137400</v>
      </c>
      <c r="C7" s="2">
        <v>4599.7088800000001</v>
      </c>
      <c r="D7" s="2">
        <v>63200</v>
      </c>
      <c r="E7" s="2">
        <v>32845</v>
      </c>
      <c r="F7" s="2">
        <v>17083</v>
      </c>
      <c r="G7" s="2"/>
      <c r="H7" s="2"/>
      <c r="I7" s="2"/>
      <c r="J7" s="2"/>
      <c r="K7" s="4"/>
      <c r="L7" s="3">
        <f>B7-'After AUPUS'!B7</f>
        <v>0</v>
      </c>
      <c r="M7" s="3">
        <f>C7-'After AUPUS'!C7</f>
        <v>0</v>
      </c>
      <c r="N7" s="3">
        <f>D7-'After AUPUS'!D7</f>
        <v>0</v>
      </c>
      <c r="O7" s="3">
        <f>E7-'After AUPUS'!E7</f>
        <v>0</v>
      </c>
      <c r="P7" s="3">
        <f>F7-'After AUPUS'!F7</f>
        <v>0</v>
      </c>
      <c r="Q7" s="3">
        <f>G7-'After AUPUS'!G7</f>
        <v>0</v>
      </c>
      <c r="R7" s="3">
        <f>H7-'After AUPUS'!H7</f>
        <v>0</v>
      </c>
      <c r="S7" s="3">
        <f>I7-'After AUPUS'!I7</f>
        <v>0</v>
      </c>
      <c r="T7" s="3">
        <f>J7-'After AUPUS'!J7</f>
        <v>0</v>
      </c>
    </row>
    <row r="8" spans="1:20" x14ac:dyDescent="0.25">
      <c r="A8" s="1">
        <v>61</v>
      </c>
      <c r="B8" s="2">
        <v>137400</v>
      </c>
      <c r="C8" s="2">
        <v>4075.6914099999999</v>
      </c>
      <c r="D8" s="2">
        <v>56000</v>
      </c>
      <c r="E8" s="2">
        <v>556</v>
      </c>
      <c r="F8" s="2">
        <v>0</v>
      </c>
      <c r="G8" s="2">
        <v>56556</v>
      </c>
      <c r="H8" s="2"/>
      <c r="I8" s="2"/>
      <c r="J8" s="2"/>
      <c r="K8" s="4"/>
      <c r="L8" s="3">
        <f>B8-'After AUPUS'!B8</f>
        <v>0</v>
      </c>
      <c r="M8" s="3">
        <f>C8-'After AUPUS'!C8</f>
        <v>0</v>
      </c>
      <c r="N8" s="3">
        <f>D8-'After AUPUS'!D8</f>
        <v>0</v>
      </c>
      <c r="O8" s="3">
        <f>E8-'After AUPUS'!E8</f>
        <v>0</v>
      </c>
      <c r="P8" s="3">
        <f>F8-'After AUPUS'!F8</f>
        <v>0</v>
      </c>
      <c r="Q8" s="3">
        <f>G8-'After AUPUS'!G8</f>
        <v>0</v>
      </c>
      <c r="R8" s="3">
        <f>H8-'After AUPUS'!H8</f>
        <v>0</v>
      </c>
      <c r="S8" s="3">
        <f>I8-'After AUPUS'!I8</f>
        <v>0</v>
      </c>
      <c r="T8" s="3">
        <f>J8-'After AUPUS'!J8</f>
        <v>0</v>
      </c>
    </row>
    <row r="9" spans="1:20" x14ac:dyDescent="0.25">
      <c r="A9" s="1">
        <v>63</v>
      </c>
      <c r="B9" s="2">
        <v>602210.06999999995</v>
      </c>
      <c r="C9" s="2">
        <v>1500</v>
      </c>
      <c r="D9" s="2">
        <v>90331.510500000004</v>
      </c>
      <c r="E9" s="2">
        <v>0</v>
      </c>
      <c r="F9" s="2">
        <v>0</v>
      </c>
      <c r="G9" s="2"/>
      <c r="H9" s="2"/>
      <c r="I9" s="2"/>
      <c r="J9" s="2">
        <v>90331.510500000004</v>
      </c>
      <c r="K9" s="4">
        <f>D9/C9</f>
        <v>60.221007</v>
      </c>
      <c r="L9" s="3">
        <f>B9-'After AUPUS'!B9</f>
        <v>0</v>
      </c>
      <c r="M9" s="3">
        <f>C9-'After AUPUS'!C9</f>
        <v>0</v>
      </c>
      <c r="N9" s="3">
        <f>D9-'After AUPUS'!D9</f>
        <v>0</v>
      </c>
      <c r="O9" s="3">
        <f>E9-'After AUPUS'!E9</f>
        <v>0</v>
      </c>
      <c r="P9" s="3">
        <f>F9-'After AUPUS'!F9</f>
        <v>0</v>
      </c>
      <c r="Q9" s="3">
        <f>G9-'After AUPUS'!G9</f>
        <v>0</v>
      </c>
      <c r="R9" s="3">
        <f>H9-'After AUPUS'!H9</f>
        <v>0</v>
      </c>
      <c r="S9" s="3">
        <f>I9-'After AUPUS'!I9</f>
        <v>0</v>
      </c>
      <c r="T9" s="3">
        <f>J9-'After AUPUS'!J9</f>
        <v>0</v>
      </c>
    </row>
    <row r="10" spans="1:20" x14ac:dyDescent="0.25">
      <c r="A10" s="1">
        <v>64</v>
      </c>
      <c r="B10" s="2">
        <v>602210.06999999995</v>
      </c>
      <c r="C10" s="2">
        <v>8000</v>
      </c>
      <c r="D10" s="2">
        <v>481768.05599999998</v>
      </c>
      <c r="E10" s="2">
        <v>15225</v>
      </c>
      <c r="F10" s="2">
        <v>54752</v>
      </c>
      <c r="G10" s="2"/>
      <c r="H10" s="2"/>
      <c r="I10" s="2"/>
      <c r="J10" s="2">
        <v>259000</v>
      </c>
      <c r="K10" s="4">
        <f>D10/C10</f>
        <v>60.221007</v>
      </c>
      <c r="L10" s="3">
        <f>B10-'After AUPUS'!B10</f>
        <v>0</v>
      </c>
      <c r="M10" s="3">
        <f>C10-'After AUPUS'!C10</f>
        <v>0</v>
      </c>
      <c r="N10" s="3">
        <f>D10-'After AUPUS'!D10</f>
        <v>0</v>
      </c>
      <c r="O10" s="3">
        <f>E10-'After AUPUS'!E10</f>
        <v>0</v>
      </c>
      <c r="P10" s="3">
        <f>F10-'After AUPUS'!F10</f>
        <v>0</v>
      </c>
      <c r="Q10" s="3">
        <f>G10-'After AUPUS'!G10</f>
        <v>0</v>
      </c>
      <c r="R10" s="3">
        <f>H10-'After AUPUS'!H10</f>
        <v>0</v>
      </c>
      <c r="S10" s="3">
        <f>I10-'After AUPUS'!I10</f>
        <v>0</v>
      </c>
      <c r="T10" s="3">
        <f>J10-'After AUPUS'!J10</f>
        <v>0</v>
      </c>
    </row>
    <row r="11" spans="1:20" x14ac:dyDescent="0.25">
      <c r="A11" s="1">
        <v>113</v>
      </c>
      <c r="B11" s="2">
        <v>39000</v>
      </c>
      <c r="C11" s="2">
        <v>10000</v>
      </c>
      <c r="D11" s="2">
        <v>39000</v>
      </c>
      <c r="E11" s="2">
        <v>12377</v>
      </c>
      <c r="F11" s="2">
        <v>36660</v>
      </c>
      <c r="G11" s="2">
        <v>0</v>
      </c>
      <c r="H11" s="2"/>
      <c r="I11" s="2"/>
      <c r="J11" s="2"/>
      <c r="K11" s="3"/>
      <c r="L11" s="3">
        <f>B11-'After AUPUS'!B11</f>
        <v>39000</v>
      </c>
      <c r="M11" s="3">
        <f>C11-'After AUPUS'!C11</f>
        <v>10000</v>
      </c>
      <c r="N11" s="3">
        <f>D11-'After AUPUS'!D11</f>
        <v>39000</v>
      </c>
      <c r="O11" s="3">
        <f>E11-'After AUPUS'!E11</f>
        <v>12377</v>
      </c>
      <c r="P11" s="3">
        <f>F11-'After AUPUS'!F11</f>
        <v>36660</v>
      </c>
      <c r="Q11" s="3">
        <f>G11-'After AUPUS'!G11</f>
        <v>0</v>
      </c>
      <c r="R11" s="3">
        <f>H11-'After AUPUS'!H11</f>
        <v>0</v>
      </c>
      <c r="S11" s="3">
        <f>I11-'After AUPUS'!I11</f>
        <v>0</v>
      </c>
      <c r="T11" s="3">
        <f>J11-'After AUPUS'!J11</f>
        <v>0</v>
      </c>
    </row>
    <row r="12" spans="1:20" x14ac:dyDescent="0.25">
      <c r="A12" s="1">
        <v>166</v>
      </c>
      <c r="B12" s="2">
        <v>4000</v>
      </c>
      <c r="C12" s="2">
        <v>10000</v>
      </c>
      <c r="D12" s="2">
        <v>4000</v>
      </c>
      <c r="E12" s="2">
        <v>896</v>
      </c>
      <c r="F12" s="2">
        <v>4345</v>
      </c>
      <c r="G12" s="2"/>
      <c r="H12" s="2"/>
      <c r="I12" s="2"/>
      <c r="J12" s="2"/>
      <c r="K12" s="3"/>
      <c r="L12" s="3">
        <f>B12-'After AUPUS'!B12</f>
        <v>-35000</v>
      </c>
      <c r="M12" s="3">
        <f>C12-'After AUPUS'!C12</f>
        <v>0</v>
      </c>
      <c r="N12" s="3">
        <f>D12-'After AUPUS'!D12</f>
        <v>-35000</v>
      </c>
      <c r="O12" s="3">
        <f>E12-'After AUPUS'!E12</f>
        <v>-11481</v>
      </c>
      <c r="P12" s="3">
        <f>F12-'After AUPUS'!F12</f>
        <v>-32315</v>
      </c>
      <c r="Q12" s="3">
        <f>G12-'After AUPUS'!G12</f>
        <v>0</v>
      </c>
      <c r="R12" s="3">
        <f>H12-'After AUPUS'!H12</f>
        <v>0</v>
      </c>
      <c r="S12" s="3">
        <f>I12-'After AUPUS'!I12</f>
        <v>0</v>
      </c>
      <c r="T12" s="3">
        <f>J12-'After AUPUS'!J12</f>
        <v>0</v>
      </c>
    </row>
    <row r="13" spans="1:20" x14ac:dyDescent="0.25">
      <c r="A13" s="1">
        <v>172</v>
      </c>
      <c r="B13" s="2">
        <v>304000</v>
      </c>
      <c r="C13" s="2">
        <v>10855.263199999999</v>
      </c>
      <c r="D13" s="2">
        <v>330000</v>
      </c>
      <c r="E13" s="2">
        <v>37475</v>
      </c>
      <c r="F13" s="2">
        <v>163425</v>
      </c>
      <c r="G13" s="2"/>
      <c r="H13" s="2"/>
      <c r="I13" s="2"/>
      <c r="J13" s="2">
        <v>77169.75</v>
      </c>
      <c r="K13" s="3"/>
      <c r="L13" s="3">
        <f>B13-'After AUPUS'!B13</f>
        <v>300000</v>
      </c>
      <c r="M13" s="3">
        <f>C13-'After AUPUS'!C13</f>
        <v>855.26319999999942</v>
      </c>
      <c r="N13" s="3">
        <f>D13-'After AUPUS'!D13</f>
        <v>326000</v>
      </c>
      <c r="O13" s="3">
        <f>E13-'After AUPUS'!E13</f>
        <v>36579</v>
      </c>
      <c r="P13" s="3">
        <f>F13-'After AUPUS'!F13</f>
        <v>159080</v>
      </c>
      <c r="Q13" s="3">
        <f>G13-'After AUPUS'!G13</f>
        <v>0</v>
      </c>
      <c r="R13" s="3">
        <f>H13-'After AUPUS'!H13</f>
        <v>0</v>
      </c>
      <c r="S13" s="3">
        <f>I13-'After AUPUS'!I13</f>
        <v>0</v>
      </c>
      <c r="T13" s="3">
        <f>J13-'After AUPUS'!J13</f>
        <v>77169.75</v>
      </c>
    </row>
    <row r="14" spans="1:20" x14ac:dyDescent="0.25">
      <c r="A14" s="1">
        <v>175</v>
      </c>
      <c r="B14" s="2">
        <v>7716.9750000000004</v>
      </c>
      <c r="C14" s="2">
        <v>10000</v>
      </c>
      <c r="D14" s="2">
        <v>7716.9750000000004</v>
      </c>
      <c r="E14" s="2">
        <v>31176</v>
      </c>
      <c r="F14" s="2">
        <v>27307</v>
      </c>
      <c r="G14" s="2"/>
      <c r="H14" s="2"/>
      <c r="I14" s="2"/>
      <c r="J14" s="2"/>
      <c r="K14" s="3"/>
      <c r="L14" s="3">
        <f>B14-'After AUPUS'!B14</f>
        <v>-296283.02500000002</v>
      </c>
      <c r="M14" s="3">
        <f>C14-'After AUPUS'!C14</f>
        <v>-855.26319999999942</v>
      </c>
      <c r="N14" s="3">
        <f>D14-'After AUPUS'!D14</f>
        <v>-322283.02500000002</v>
      </c>
      <c r="O14" s="3">
        <f>E14-'After AUPUS'!E14</f>
        <v>-6299</v>
      </c>
      <c r="P14" s="3">
        <f>F14-'After AUPUS'!F14</f>
        <v>-136118</v>
      </c>
      <c r="Q14" s="3">
        <f>G14-'After AUPUS'!G14</f>
        <v>0</v>
      </c>
      <c r="R14" s="3">
        <f>H14-'After AUPUS'!H14</f>
        <v>0</v>
      </c>
      <c r="S14" s="3">
        <f>I14-'After AUPUS'!I14</f>
        <v>0</v>
      </c>
      <c r="T14" s="3">
        <f>J14-'After AUPUS'!J14</f>
        <v>-77169.75</v>
      </c>
    </row>
    <row r="15" spans="1:20" x14ac:dyDescent="0.25">
      <c r="A15" s="1">
        <v>632</v>
      </c>
      <c r="B15" s="2">
        <v>531078.93999999994</v>
      </c>
      <c r="C15" s="2">
        <v>2500</v>
      </c>
      <c r="D15" s="2">
        <v>132769.73499999999</v>
      </c>
      <c r="E15" s="2">
        <v>170855</v>
      </c>
      <c r="F15" s="2">
        <v>36203</v>
      </c>
      <c r="G15" s="2"/>
      <c r="H15" s="2"/>
      <c r="I15" s="2"/>
      <c r="J15" s="2"/>
      <c r="K15" s="3"/>
      <c r="L15" s="3">
        <f>B15-'After AUPUS'!B15</f>
        <v>523361.96499999997</v>
      </c>
      <c r="M15" s="3">
        <f>C15-'After AUPUS'!C15</f>
        <v>-7500</v>
      </c>
      <c r="N15" s="3">
        <f>D15-'After AUPUS'!D15</f>
        <v>125052.75999999998</v>
      </c>
      <c r="O15" s="3">
        <f>E15-'After AUPUS'!E15</f>
        <v>139679</v>
      </c>
      <c r="P15" s="3">
        <f>F15-'After AUPUS'!F15</f>
        <v>8896</v>
      </c>
      <c r="Q15" s="3">
        <f>G15-'After AUPUS'!G15</f>
        <v>0</v>
      </c>
      <c r="R15" s="3">
        <f>H15-'After AUPUS'!H15</f>
        <v>0</v>
      </c>
      <c r="S15" s="3">
        <f>I15-'After AUPUS'!I15</f>
        <v>0</v>
      </c>
      <c r="T15" s="3">
        <f>J15-'After AUPUS'!J15</f>
        <v>0</v>
      </c>
    </row>
    <row r="16" spans="1:20" x14ac:dyDescent="0.25">
      <c r="A16" s="1">
        <v>634</v>
      </c>
      <c r="B16" s="2">
        <v>824373.8</v>
      </c>
      <c r="C16" s="2">
        <v>3275.21326</v>
      </c>
      <c r="D16" s="2">
        <v>270000</v>
      </c>
      <c r="E16" s="2">
        <v>91375</v>
      </c>
      <c r="F16" s="2">
        <v>164870</v>
      </c>
      <c r="G16" s="2"/>
      <c r="H16" s="2"/>
      <c r="I16" s="2"/>
      <c r="J16" s="2"/>
      <c r="K16" s="3"/>
      <c r="L16" s="3">
        <f>B16-'After AUPUS'!B16</f>
        <v>293294.8600000001</v>
      </c>
      <c r="M16" s="3">
        <f>C16-'After AUPUS'!C16</f>
        <v>775.21325999999999</v>
      </c>
      <c r="N16" s="3">
        <f>D16-'After AUPUS'!D16</f>
        <v>137230.26500000001</v>
      </c>
      <c r="O16" s="3">
        <f>E16-'After AUPUS'!E16</f>
        <v>-79480</v>
      </c>
      <c r="P16" s="3">
        <f>F16-'After AUPUS'!F16</f>
        <v>128667</v>
      </c>
      <c r="Q16" s="3">
        <f>G16-'After AUPUS'!G16</f>
        <v>0</v>
      </c>
      <c r="R16" s="3">
        <f>H16-'After AUPUS'!H16</f>
        <v>0</v>
      </c>
      <c r="S16" s="3">
        <f>I16-'After AUPUS'!I16</f>
        <v>0</v>
      </c>
      <c r="T16" s="3">
        <f>J16-'After AUPUS'!J16</f>
        <v>0</v>
      </c>
    </row>
    <row r="17" spans="1:20" x14ac:dyDescent="0.25">
      <c r="A17" s="1">
        <v>654</v>
      </c>
      <c r="B17" s="2">
        <v>867277.12800000003</v>
      </c>
      <c r="C17" s="2">
        <v>3000</v>
      </c>
      <c r="D17" s="2">
        <v>260183.13800000001</v>
      </c>
      <c r="E17" s="2">
        <v>148111</v>
      </c>
      <c r="F17" s="2">
        <v>4514</v>
      </c>
      <c r="G17" s="2">
        <v>403780.13799999998</v>
      </c>
      <c r="H17" s="2"/>
      <c r="I17" s="2"/>
      <c r="J17" s="2"/>
      <c r="K17" s="3"/>
      <c r="L17" s="3">
        <f>B17-'After AUPUS'!B17</f>
        <v>42903.328300000052</v>
      </c>
      <c r="M17" s="3">
        <f>C17-'After AUPUS'!C17</f>
        <v>-275.21325999999999</v>
      </c>
      <c r="N17" s="3">
        <f>D17-'After AUPUS'!D17</f>
        <v>-9816.8619999999937</v>
      </c>
      <c r="O17" s="3">
        <f>E17-'After AUPUS'!E17</f>
        <v>56736</v>
      </c>
      <c r="P17" s="3">
        <f>F17-'After AUPUS'!F17</f>
        <v>-160356</v>
      </c>
      <c r="Q17" s="3">
        <f>G17-'After AUPUS'!G17</f>
        <v>403780.13799999998</v>
      </c>
      <c r="R17" s="3">
        <f>H17-'After AUPUS'!H17</f>
        <v>0</v>
      </c>
      <c r="S17" s="3">
        <f>I17-'After AUPUS'!I17</f>
        <v>0</v>
      </c>
      <c r="T17" s="3">
        <f>J17-'After AUPUS'!J17</f>
        <v>0</v>
      </c>
    </row>
    <row r="18" spans="1:20" x14ac:dyDescent="0.25">
      <c r="A18" s="1">
        <v>846</v>
      </c>
      <c r="B18" s="2">
        <v>90331.510500000004</v>
      </c>
      <c r="C18" s="2">
        <v>10000</v>
      </c>
      <c r="D18" s="2">
        <v>90331.510500000004</v>
      </c>
      <c r="E18" s="2">
        <v>43576</v>
      </c>
      <c r="F18" s="2">
        <v>25750</v>
      </c>
      <c r="G18" s="2">
        <v>108157.511</v>
      </c>
      <c r="H18" s="2"/>
      <c r="I18" s="2"/>
      <c r="J18" s="2"/>
      <c r="K18" s="3"/>
      <c r="L18" s="3">
        <f>B18-'After AUPUS'!B18</f>
        <v>-776945.61750000005</v>
      </c>
      <c r="M18" s="3">
        <f>C18-'After AUPUS'!C18</f>
        <v>7000</v>
      </c>
      <c r="N18" s="3">
        <f>D18-'After AUPUS'!D18</f>
        <v>-169851.6275</v>
      </c>
      <c r="O18" s="3">
        <f>E18-'After AUPUS'!E18</f>
        <v>-104535</v>
      </c>
      <c r="P18" s="3">
        <f>F18-'After AUPUS'!F18</f>
        <v>21236</v>
      </c>
      <c r="Q18" s="3">
        <f>G18-'After AUPUS'!G18</f>
        <v>-295622.62699999998</v>
      </c>
      <c r="R18" s="3">
        <f>H18-'After AUPUS'!H18</f>
        <v>0</v>
      </c>
      <c r="S18" s="3">
        <f>I18-'After AUPUS'!I18</f>
        <v>0</v>
      </c>
      <c r="T18" s="3">
        <f>J18-'After AUPUS'!J18</f>
        <v>0</v>
      </c>
    </row>
    <row r="19" spans="1:20" x14ac:dyDescent="0.25">
      <c r="A19" s="1">
        <v>1242</v>
      </c>
      <c r="B19" s="2">
        <v>123000</v>
      </c>
      <c r="C19" s="2">
        <v>10735.121999999999</v>
      </c>
      <c r="D19" s="2">
        <v>132042</v>
      </c>
      <c r="E19" s="2">
        <v>41456</v>
      </c>
      <c r="F19" s="2">
        <v>38834</v>
      </c>
      <c r="G19" s="2"/>
      <c r="H19" s="2"/>
      <c r="I19" s="2"/>
      <c r="J19" s="2"/>
      <c r="K19" s="3"/>
      <c r="L19" s="3">
        <f>B19-'After AUPUS'!B19</f>
        <v>32668.489499999996</v>
      </c>
      <c r="M19" s="3">
        <f>C19-'After AUPUS'!C19</f>
        <v>735.12199999999939</v>
      </c>
      <c r="N19" s="3">
        <f>D19-'After AUPUS'!D19</f>
        <v>41710.489499999996</v>
      </c>
      <c r="O19" s="3">
        <f>E19-'After AUPUS'!E19</f>
        <v>-2120</v>
      </c>
      <c r="P19" s="3">
        <f>F19-'After AUPUS'!F19</f>
        <v>13084</v>
      </c>
      <c r="Q19" s="3">
        <f>G19-'After AUPUS'!G19</f>
        <v>-108157.511</v>
      </c>
      <c r="R19" s="3">
        <f>H19-'After AUPUS'!H19</f>
        <v>0</v>
      </c>
      <c r="S19" s="3">
        <f>I19-'After AUPUS'!I19</f>
        <v>0</v>
      </c>
      <c r="T19" s="3">
        <f>J19-'After AUPUS'!J19</f>
        <v>0</v>
      </c>
    </row>
    <row r="20" spans="1:20" x14ac:dyDescent="0.25">
      <c r="A20" s="1">
        <v>1275</v>
      </c>
      <c r="B20" s="2"/>
      <c r="C20" s="2"/>
      <c r="D20" s="2"/>
      <c r="E20" s="2">
        <v>72651</v>
      </c>
      <c r="F20" s="2">
        <v>8789</v>
      </c>
      <c r="G20" s="2"/>
      <c r="H20" s="2"/>
      <c r="I20" s="2"/>
      <c r="J20" s="2">
        <v>0</v>
      </c>
      <c r="K20" s="3"/>
      <c r="L20" s="3">
        <f>B20-'After AUPUS'!B20</f>
        <v>0</v>
      </c>
      <c r="M20" s="3">
        <f>C20-'After AUPUS'!C20</f>
        <v>0</v>
      </c>
      <c r="N20" s="3">
        <f>D20-'After AUPUS'!D20</f>
        <v>0</v>
      </c>
      <c r="O20" s="3">
        <f>E20-'After AUPUS'!E20</f>
        <v>72651</v>
      </c>
      <c r="P20" s="3">
        <f>F20-'After AUPUS'!F20</f>
        <v>8789</v>
      </c>
      <c r="Q20" s="3">
        <f>G20-'After AUPUS'!G20</f>
        <v>0</v>
      </c>
      <c r="R20" s="3">
        <f>H20-'After AUPUS'!H20</f>
        <v>0</v>
      </c>
      <c r="S20" s="3">
        <f>I20-'After AUPUS'!I20</f>
        <v>0</v>
      </c>
      <c r="T20" s="3">
        <f>J20-'After AUPUS'!J20</f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Normal="100" workbookViewId="0">
      <selection activeCell="L7" sqref="L7"/>
    </sheetView>
  </sheetViews>
  <sheetFormatPr defaultRowHeight="13.2" x14ac:dyDescent="0.25"/>
  <cols>
    <col min="1" max="1" width="15.44140625"/>
    <col min="2" max="2" width="12" bestFit="1" customWidth="1"/>
    <col min="3" max="4" width="11" bestFit="1" customWidth="1"/>
    <col min="5" max="5" width="9.5546875" bestFit="1" customWidth="1"/>
    <col min="6" max="6" width="8.5546875" bestFit="1" customWidth="1"/>
    <col min="7" max="7" width="11" bestFit="1" customWidth="1"/>
    <col min="8" max="8" width="7.5546875" bestFit="1" customWidth="1"/>
    <col min="9" max="9" width="6.6640625" bestFit="1" customWidth="1"/>
    <col min="10" max="10" width="11" bestFit="1" customWidth="1"/>
    <col min="11" max="11" width="11" customWidth="1"/>
    <col min="12" max="12" width="12.21875" bestFit="1" customWidth="1"/>
    <col min="13" max="13" width="15.44140625"/>
    <col min="14" max="14" width="12"/>
    <col min="15" max="15" width="9.44140625"/>
    <col min="17" max="17" width="6.44140625"/>
    <col min="18" max="18" width="7.5546875" bestFit="1" customWidth="1"/>
    <col min="19" max="19" width="10.109375"/>
    <col min="20" max="20" width="2.5546875"/>
    <col min="21" max="21" width="10.109375"/>
    <col min="22" max="1026" width="11.5546875"/>
  </cols>
  <sheetData>
    <row r="1" spans="1:1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/>
    </row>
    <row r="2" spans="1:19" x14ac:dyDescent="0.25">
      <c r="A2" s="7">
        <v>41</v>
      </c>
      <c r="B2" s="9">
        <v>45000</v>
      </c>
      <c r="C2" s="9">
        <v>9000</v>
      </c>
      <c r="D2" s="9">
        <v>40500</v>
      </c>
      <c r="E2" s="9">
        <v>51166</v>
      </c>
      <c r="F2" s="9">
        <v>67055</v>
      </c>
      <c r="G2" s="9"/>
      <c r="H2" s="9"/>
      <c r="I2" s="9"/>
      <c r="J2" s="9"/>
      <c r="K2" s="9">
        <f>F2-E2</f>
        <v>15889</v>
      </c>
      <c r="L2" s="10">
        <f>K2/0.82</f>
        <v>19376.829268292684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 s="7">
        <v>56</v>
      </c>
      <c r="B3" s="9">
        <v>915500</v>
      </c>
      <c r="C3" s="9">
        <v>86048.061199999996</v>
      </c>
      <c r="D3" s="9">
        <v>7877700</v>
      </c>
      <c r="E3" s="9">
        <v>2202366</v>
      </c>
      <c r="F3" s="9">
        <v>66411</v>
      </c>
      <c r="G3" s="9">
        <v>8550000</v>
      </c>
      <c r="H3" s="9">
        <v>25520</v>
      </c>
      <c r="I3" s="9">
        <v>9450</v>
      </c>
      <c r="J3" s="9">
        <v>1300000</v>
      </c>
      <c r="K3" s="9">
        <f t="shared" ref="K3:K22" si="0">F3-E3</f>
        <v>-2135955</v>
      </c>
      <c r="L3" s="10"/>
      <c r="M3">
        <v>56</v>
      </c>
      <c r="N3" s="3">
        <f>E3+E5/$O$11+E10/$O$12</f>
        <v>2237269.25</v>
      </c>
      <c r="O3" s="3">
        <f>F3+F5/$O$11+F10/$O$12</f>
        <v>308999</v>
      </c>
      <c r="P3" s="3">
        <f>G3+G5/$O$11+G10/$O$12</f>
        <v>8550000</v>
      </c>
      <c r="Q3" s="3">
        <f>H3+H5/$O$11+H10/$O$12</f>
        <v>25520</v>
      </c>
      <c r="R3" s="3">
        <f>I3+I5/$O$11+I10/$O$12</f>
        <v>9450</v>
      </c>
      <c r="S3" s="3">
        <f>J3+J5/$O$11+J10/$O$12</f>
        <v>2434807.3333333335</v>
      </c>
    </row>
    <row r="4" spans="1:19" x14ac:dyDescent="0.25">
      <c r="A4" s="7">
        <v>57</v>
      </c>
      <c r="B4" s="9">
        <v>1196000</v>
      </c>
      <c r="C4" s="9">
        <v>800</v>
      </c>
      <c r="D4" s="9">
        <v>95680</v>
      </c>
      <c r="E4" s="9">
        <v>65487</v>
      </c>
      <c r="F4" s="9">
        <v>44</v>
      </c>
      <c r="G4" s="9">
        <v>23723</v>
      </c>
      <c r="H4" s="9"/>
      <c r="I4" s="9"/>
      <c r="J4" s="9">
        <v>137400</v>
      </c>
      <c r="K4" s="9"/>
      <c r="L4" s="10"/>
      <c r="M4" t="s">
        <v>15</v>
      </c>
      <c r="N4" s="3">
        <v>2300000</v>
      </c>
      <c r="O4" s="3">
        <v>406000</v>
      </c>
      <c r="P4" s="3">
        <v>8550000</v>
      </c>
      <c r="Q4" s="3">
        <v>26000</v>
      </c>
      <c r="R4" s="3">
        <v>9000</v>
      </c>
      <c r="S4" s="3">
        <v>460000</v>
      </c>
    </row>
    <row r="5" spans="1:19" x14ac:dyDescent="0.25">
      <c r="A5" s="7">
        <v>58</v>
      </c>
      <c r="B5" s="9">
        <v>1196000</v>
      </c>
      <c r="C5" s="9">
        <v>7500</v>
      </c>
      <c r="D5" s="9">
        <v>897000</v>
      </c>
      <c r="E5" s="9">
        <v>11904</v>
      </c>
      <c r="F5" s="9">
        <v>130611</v>
      </c>
      <c r="G5" s="9"/>
      <c r="H5" s="9"/>
      <c r="I5" s="9"/>
      <c r="J5" s="9">
        <v>608293</v>
      </c>
      <c r="K5" s="9">
        <f t="shared" si="0"/>
        <v>118707</v>
      </c>
      <c r="L5" s="10">
        <f t="shared" ref="L3:L22" si="1">K5/0.82</f>
        <v>144764.63414634147</v>
      </c>
      <c r="M5" t="s">
        <v>16</v>
      </c>
      <c r="N5" s="5">
        <f t="shared" ref="N5:S5" si="2">(N4-N3)/N3</f>
        <v>2.8038981003292295E-2</v>
      </c>
      <c r="O5" s="5">
        <f t="shared" si="2"/>
        <v>0.31392010977381801</v>
      </c>
      <c r="P5" s="5">
        <f t="shared" si="2"/>
        <v>0</v>
      </c>
      <c r="Q5" s="5">
        <f t="shared" si="2"/>
        <v>1.8808777429467086E-2</v>
      </c>
      <c r="R5" s="5">
        <f t="shared" si="2"/>
        <v>-4.7619047619047616E-2</v>
      </c>
      <c r="S5" s="5">
        <f t="shared" si="2"/>
        <v>-0.8110733470766065</v>
      </c>
    </row>
    <row r="6" spans="1:19" x14ac:dyDescent="0.25">
      <c r="A6" s="7">
        <v>59</v>
      </c>
      <c r="B6" s="9">
        <v>1196000</v>
      </c>
      <c r="C6" s="9">
        <v>1600</v>
      </c>
      <c r="D6" s="9">
        <v>191360</v>
      </c>
      <c r="E6" s="9">
        <v>2499</v>
      </c>
      <c r="F6" s="9">
        <v>2412</v>
      </c>
      <c r="G6" s="9">
        <v>191447</v>
      </c>
      <c r="H6" s="9"/>
      <c r="I6" s="9"/>
      <c r="J6" s="9"/>
      <c r="K6" s="9">
        <f t="shared" si="0"/>
        <v>-87</v>
      </c>
      <c r="L6" s="10">
        <f t="shared" si="1"/>
        <v>-106.09756097560977</v>
      </c>
      <c r="N6" s="3">
        <f>N7+N3</f>
        <v>2300812.25</v>
      </c>
    </row>
    <row r="7" spans="1:19" x14ac:dyDescent="0.25">
      <c r="A7" s="7">
        <v>60</v>
      </c>
      <c r="B7" s="9">
        <v>137400</v>
      </c>
      <c r="C7" s="9">
        <v>4599.7088800000001</v>
      </c>
      <c r="D7" s="9">
        <v>63200</v>
      </c>
      <c r="E7" s="9">
        <v>32845</v>
      </c>
      <c r="F7" s="9">
        <v>17083</v>
      </c>
      <c r="G7" s="9"/>
      <c r="H7" s="9"/>
      <c r="I7" s="9"/>
      <c r="J7" s="9"/>
      <c r="K7" s="9">
        <f t="shared" si="0"/>
        <v>-15762</v>
      </c>
      <c r="L7" s="10">
        <f t="shared" si="1"/>
        <v>-19221.951219512197</v>
      </c>
      <c r="N7" s="3">
        <f>E2+E12</f>
        <v>63543</v>
      </c>
      <c r="O7" s="3">
        <f>O4-O3</f>
        <v>97001</v>
      </c>
      <c r="P7" s="3">
        <f>F16/0.37</f>
        <v>97845.945945945947</v>
      </c>
      <c r="Q7" s="3"/>
      <c r="R7" s="3">
        <f>F12+F2</f>
        <v>103715</v>
      </c>
      <c r="S7" s="3"/>
    </row>
    <row r="8" spans="1:19" x14ac:dyDescent="0.25">
      <c r="A8" s="7">
        <v>61</v>
      </c>
      <c r="B8" s="9">
        <v>137400</v>
      </c>
      <c r="C8" s="9">
        <v>4075.6914099999999</v>
      </c>
      <c r="D8" s="9">
        <v>56000</v>
      </c>
      <c r="E8" s="9">
        <v>556</v>
      </c>
      <c r="F8" s="9">
        <v>0</v>
      </c>
      <c r="G8" s="9">
        <v>56556</v>
      </c>
      <c r="H8" s="9"/>
      <c r="I8" s="9"/>
      <c r="J8" s="9"/>
      <c r="K8" s="9">
        <f t="shared" si="0"/>
        <v>-556</v>
      </c>
      <c r="L8" s="10">
        <f t="shared" si="1"/>
        <v>-678.04878048780495</v>
      </c>
      <c r="M8" t="s">
        <v>26</v>
      </c>
      <c r="N8" s="3"/>
      <c r="O8" s="3"/>
      <c r="P8" s="3"/>
      <c r="Q8" s="3"/>
      <c r="R8" s="3"/>
      <c r="S8" s="3"/>
    </row>
    <row r="9" spans="1:19" x14ac:dyDescent="0.25">
      <c r="A9" s="7">
        <v>63</v>
      </c>
      <c r="B9" s="9">
        <v>602210.06999999995</v>
      </c>
      <c r="C9" s="9">
        <v>1500</v>
      </c>
      <c r="D9" s="9">
        <v>90331.510500000004</v>
      </c>
      <c r="E9" s="9">
        <v>0</v>
      </c>
      <c r="F9" s="9">
        <v>0</v>
      </c>
      <c r="G9" s="9"/>
      <c r="H9" s="9"/>
      <c r="I9" s="9"/>
      <c r="J9" s="9">
        <v>90331.510500000004</v>
      </c>
      <c r="K9" s="9">
        <f t="shared" si="0"/>
        <v>0</v>
      </c>
      <c r="L9" s="10">
        <f t="shared" si="1"/>
        <v>0</v>
      </c>
      <c r="M9" s="7" t="s">
        <v>10</v>
      </c>
      <c r="N9" s="7" t="s">
        <v>11</v>
      </c>
      <c r="O9" s="7" t="s">
        <v>27</v>
      </c>
      <c r="P9" s="7" t="s">
        <v>13</v>
      </c>
      <c r="Q9" s="7" t="s">
        <v>14</v>
      </c>
      <c r="R9" s="3"/>
      <c r="S9" s="3"/>
    </row>
    <row r="10" spans="1:19" x14ac:dyDescent="0.25">
      <c r="A10" s="7">
        <v>64</v>
      </c>
      <c r="B10" s="9">
        <v>602210.06999999995</v>
      </c>
      <c r="C10" s="9">
        <v>8000</v>
      </c>
      <c r="D10" s="9">
        <v>481768.05599999998</v>
      </c>
      <c r="E10" s="9">
        <v>15225</v>
      </c>
      <c r="F10" s="9">
        <v>54752</v>
      </c>
      <c r="G10" s="9"/>
      <c r="H10" s="9"/>
      <c r="I10" s="9"/>
      <c r="J10" s="9">
        <v>259000</v>
      </c>
      <c r="K10" s="9">
        <f t="shared" si="0"/>
        <v>39527</v>
      </c>
      <c r="L10" s="10">
        <f t="shared" si="1"/>
        <v>48203.658536585368</v>
      </c>
      <c r="M10" s="7">
        <v>15</v>
      </c>
      <c r="N10" s="7">
        <v>41</v>
      </c>
      <c r="O10" s="8">
        <v>0.9</v>
      </c>
      <c r="P10" s="8">
        <v>1</v>
      </c>
      <c r="Q10" s="8">
        <v>0.9</v>
      </c>
      <c r="R10" s="5"/>
      <c r="S10" s="5"/>
    </row>
    <row r="11" spans="1:19" x14ac:dyDescent="0.25">
      <c r="A11" s="7">
        <v>66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f t="shared" si="0"/>
        <v>0</v>
      </c>
      <c r="L11" s="10">
        <f t="shared" si="1"/>
        <v>0</v>
      </c>
      <c r="M11" s="7">
        <v>56</v>
      </c>
      <c r="N11" s="7">
        <v>58</v>
      </c>
      <c r="O11" s="8">
        <v>0.75</v>
      </c>
      <c r="P11" s="8">
        <v>0.84997875053123695</v>
      </c>
      <c r="Q11" s="8">
        <v>0.75</v>
      </c>
    </row>
    <row r="12" spans="1:19" x14ac:dyDescent="0.25">
      <c r="A12" s="7">
        <v>113</v>
      </c>
      <c r="B12" s="9">
        <v>39000</v>
      </c>
      <c r="C12" s="9">
        <v>10000</v>
      </c>
      <c r="D12" s="9">
        <v>39000</v>
      </c>
      <c r="E12" s="9">
        <v>12377</v>
      </c>
      <c r="F12" s="9">
        <v>36660</v>
      </c>
      <c r="G12" s="9">
        <v>0</v>
      </c>
      <c r="H12" s="9"/>
      <c r="I12" s="9"/>
      <c r="J12" s="9"/>
      <c r="K12" s="9">
        <f t="shared" si="0"/>
        <v>24283</v>
      </c>
      <c r="L12" s="10">
        <f t="shared" si="1"/>
        <v>29613.414634146342</v>
      </c>
      <c r="M12" s="7">
        <v>56</v>
      </c>
      <c r="N12" s="7">
        <v>64</v>
      </c>
      <c r="O12" s="8">
        <v>0.8</v>
      </c>
      <c r="P12" s="8">
        <v>0.84997875053123695</v>
      </c>
      <c r="Q12" s="8">
        <v>0.8</v>
      </c>
    </row>
    <row r="13" spans="1:19" x14ac:dyDescent="0.25">
      <c r="A13" s="7">
        <v>166</v>
      </c>
      <c r="B13" s="9">
        <v>4000</v>
      </c>
      <c r="C13" s="9">
        <v>10000</v>
      </c>
      <c r="D13" s="9">
        <v>4000</v>
      </c>
      <c r="E13" s="9">
        <v>896</v>
      </c>
      <c r="F13" s="9">
        <v>4345</v>
      </c>
      <c r="G13" s="9"/>
      <c r="H13" s="9"/>
      <c r="I13" s="9"/>
      <c r="J13" s="9"/>
      <c r="K13" s="9">
        <f t="shared" si="0"/>
        <v>3449</v>
      </c>
      <c r="L13" s="10">
        <f t="shared" si="1"/>
        <v>4206.0975609756097</v>
      </c>
      <c r="M13" s="7">
        <v>63</v>
      </c>
      <c r="N13" s="7">
        <v>846</v>
      </c>
      <c r="O13" s="8">
        <v>1</v>
      </c>
      <c r="P13" s="8">
        <v>2</v>
      </c>
      <c r="Q13" s="8">
        <v>1</v>
      </c>
    </row>
    <row r="14" spans="1:19" x14ac:dyDescent="0.25">
      <c r="A14" s="7">
        <v>172</v>
      </c>
      <c r="B14" s="9">
        <v>304000</v>
      </c>
      <c r="C14" s="9">
        <v>10855.263199999999</v>
      </c>
      <c r="D14" s="9">
        <v>330000</v>
      </c>
      <c r="E14" s="9">
        <v>37475</v>
      </c>
      <c r="F14" s="9">
        <v>163425</v>
      </c>
      <c r="G14" s="9"/>
      <c r="H14" s="9"/>
      <c r="I14" s="9"/>
      <c r="J14" s="9">
        <v>77169.75</v>
      </c>
      <c r="K14" s="9">
        <f t="shared" si="0"/>
        <v>125950</v>
      </c>
      <c r="L14" s="10">
        <f t="shared" si="1"/>
        <v>153597.56097560975</v>
      </c>
      <c r="M14" s="7">
        <v>108</v>
      </c>
      <c r="N14" s="7">
        <v>113</v>
      </c>
      <c r="O14" s="8">
        <v>1</v>
      </c>
      <c r="P14" s="8">
        <v>0.59998800023999499</v>
      </c>
      <c r="Q14" s="8">
        <v>1</v>
      </c>
    </row>
    <row r="15" spans="1:19" x14ac:dyDescent="0.25">
      <c r="A15" s="7">
        <v>175</v>
      </c>
      <c r="B15" s="9">
        <v>7716.9750000000004</v>
      </c>
      <c r="C15" s="9">
        <v>10000</v>
      </c>
      <c r="D15" s="9">
        <v>7716.9750000000004</v>
      </c>
      <c r="E15" s="9">
        <v>31176</v>
      </c>
      <c r="F15" s="9">
        <v>27307</v>
      </c>
      <c r="G15" s="9"/>
      <c r="H15" s="9"/>
      <c r="I15" s="9"/>
      <c r="J15" s="9"/>
      <c r="K15" s="9">
        <f t="shared" si="0"/>
        <v>-3869</v>
      </c>
      <c r="L15" s="10">
        <f t="shared" si="1"/>
        <v>-4718.2926829268299</v>
      </c>
      <c r="M15" s="7">
        <v>172</v>
      </c>
      <c r="N15" s="7">
        <v>175</v>
      </c>
      <c r="O15" s="8">
        <v>1</v>
      </c>
      <c r="P15" s="8">
        <v>1</v>
      </c>
      <c r="Q15" s="8">
        <v>1</v>
      </c>
    </row>
    <row r="16" spans="1:19" x14ac:dyDescent="0.25">
      <c r="A16" s="7">
        <v>632</v>
      </c>
      <c r="B16" s="9">
        <v>531078.93999999994</v>
      </c>
      <c r="C16" s="9">
        <v>2500</v>
      </c>
      <c r="D16" s="9">
        <v>132769.73499999999</v>
      </c>
      <c r="E16" s="9">
        <v>170855</v>
      </c>
      <c r="F16" s="9">
        <v>36203</v>
      </c>
      <c r="G16" s="9"/>
      <c r="H16" s="9"/>
      <c r="I16" s="9"/>
      <c r="J16" s="9"/>
      <c r="K16" s="9">
        <f t="shared" si="0"/>
        <v>-134652</v>
      </c>
      <c r="L16" s="10">
        <f t="shared" si="1"/>
        <v>-164209.75609756098</v>
      </c>
      <c r="M16" s="7">
        <v>172</v>
      </c>
      <c r="N16" s="7">
        <v>633</v>
      </c>
      <c r="O16" s="8" t="e">
        <v>#N/A</v>
      </c>
      <c r="P16" s="8">
        <v>4</v>
      </c>
      <c r="Q16" s="8" t="e">
        <v>#N/A</v>
      </c>
    </row>
    <row r="17" spans="1:19" x14ac:dyDescent="0.25">
      <c r="A17" s="7">
        <v>634</v>
      </c>
      <c r="B17" s="9">
        <v>824373.79969999997</v>
      </c>
      <c r="C17" s="9">
        <v>3275.21326</v>
      </c>
      <c r="D17" s="9">
        <v>270000</v>
      </c>
      <c r="E17" s="9">
        <v>91375</v>
      </c>
      <c r="F17" s="9">
        <v>164870</v>
      </c>
      <c r="G17" s="9"/>
      <c r="H17" s="9"/>
      <c r="I17" s="9"/>
      <c r="J17" s="9"/>
      <c r="K17" s="9">
        <f t="shared" si="0"/>
        <v>73495</v>
      </c>
      <c r="L17" s="10">
        <f t="shared" si="1"/>
        <v>89628.048780487807</v>
      </c>
      <c r="M17" s="7">
        <v>340</v>
      </c>
      <c r="N17" s="7">
        <v>1241</v>
      </c>
      <c r="O17" s="8" t="e">
        <v>#N/A</v>
      </c>
      <c r="P17" s="8">
        <v>1</v>
      </c>
      <c r="Q17" s="8" t="e">
        <v>#N/A</v>
      </c>
    </row>
    <row r="18" spans="1:19" x14ac:dyDescent="0.25">
      <c r="A18" s="7">
        <v>654</v>
      </c>
      <c r="B18" s="9">
        <v>867277.12800000003</v>
      </c>
      <c r="C18" s="9">
        <v>3000</v>
      </c>
      <c r="D18" s="9">
        <v>260183.13800000001</v>
      </c>
      <c r="E18" s="9">
        <v>148111</v>
      </c>
      <c r="F18" s="9">
        <v>4514</v>
      </c>
      <c r="G18" s="9">
        <v>403780.13799999998</v>
      </c>
      <c r="H18" s="9"/>
      <c r="I18" s="9"/>
      <c r="J18" s="9"/>
      <c r="K18" s="9">
        <f t="shared" si="0"/>
        <v>-143597</v>
      </c>
      <c r="L18" s="10">
        <f t="shared" si="1"/>
        <v>-175118.29268292684</v>
      </c>
      <c r="M18" s="7">
        <v>340</v>
      </c>
      <c r="N18" s="7">
        <v>1242</v>
      </c>
      <c r="O18" s="8">
        <v>1.0735121999999999</v>
      </c>
      <c r="P18" s="8">
        <v>1.2000480019200801</v>
      </c>
      <c r="Q18" s="8">
        <v>1.0735121999999999</v>
      </c>
    </row>
    <row r="19" spans="1:19" x14ac:dyDescent="0.25">
      <c r="A19" s="7">
        <v>846</v>
      </c>
      <c r="B19" s="9">
        <v>90331.510500000004</v>
      </c>
      <c r="C19" s="9">
        <v>10000</v>
      </c>
      <c r="D19" s="9">
        <v>90331.510500000004</v>
      </c>
      <c r="E19" s="9">
        <v>43576</v>
      </c>
      <c r="F19" s="9">
        <v>25750</v>
      </c>
      <c r="G19" s="9">
        <v>108157.511</v>
      </c>
      <c r="H19" s="9"/>
      <c r="I19" s="9"/>
      <c r="J19" s="9"/>
      <c r="K19" s="9">
        <f t="shared" si="0"/>
        <v>-17826</v>
      </c>
      <c r="L19" s="10">
        <f t="shared" si="1"/>
        <v>-21739.024390243903</v>
      </c>
      <c r="M19" s="7">
        <v>340</v>
      </c>
      <c r="N19" s="7">
        <v>1275</v>
      </c>
      <c r="O19" s="8">
        <v>0</v>
      </c>
      <c r="P19" s="8">
        <v>1.2000480019200801</v>
      </c>
      <c r="Q19" s="8">
        <v>0</v>
      </c>
    </row>
    <row r="20" spans="1:19" x14ac:dyDescent="0.25">
      <c r="A20" s="7">
        <v>1241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 t="shared" si="0"/>
        <v>0</v>
      </c>
      <c r="L20" s="10">
        <f t="shared" si="1"/>
        <v>0</v>
      </c>
      <c r="M20" s="7" t="s">
        <v>17</v>
      </c>
      <c r="N20" s="7">
        <v>56</v>
      </c>
      <c r="O20" s="8" t="e">
        <v>#N/A</v>
      </c>
      <c r="P20" s="8">
        <v>1</v>
      </c>
      <c r="Q20" s="8" t="e">
        <v>#N/A</v>
      </c>
    </row>
    <row r="21" spans="1:19" x14ac:dyDescent="0.25">
      <c r="A21" s="7">
        <v>1242</v>
      </c>
      <c r="B21" s="9">
        <v>123000</v>
      </c>
      <c r="C21" s="9">
        <v>10735.121999999999</v>
      </c>
      <c r="D21" s="9">
        <v>132042</v>
      </c>
      <c r="E21" s="9">
        <v>41456</v>
      </c>
      <c r="F21" s="9">
        <v>38834</v>
      </c>
      <c r="G21" s="9"/>
      <c r="H21" s="9"/>
      <c r="I21" s="9"/>
      <c r="J21" s="9"/>
      <c r="K21" s="9">
        <f t="shared" si="0"/>
        <v>-2622</v>
      </c>
      <c r="L21" s="10">
        <f t="shared" si="1"/>
        <v>-3197.5609756097565</v>
      </c>
      <c r="M21" s="7" t="s">
        <v>18</v>
      </c>
      <c r="N21" s="7">
        <v>60</v>
      </c>
      <c r="O21" s="8" t="e">
        <v>#N/A</v>
      </c>
      <c r="P21" s="8">
        <v>1</v>
      </c>
      <c r="Q21" s="8" t="e">
        <v>#N/A</v>
      </c>
    </row>
    <row r="22" spans="1:19" x14ac:dyDescent="0.25">
      <c r="A22" s="7">
        <v>1275</v>
      </c>
      <c r="B22" s="9"/>
      <c r="C22" s="9"/>
      <c r="D22" s="9"/>
      <c r="E22" s="9">
        <v>72651</v>
      </c>
      <c r="F22" s="9">
        <v>8789</v>
      </c>
      <c r="G22" s="9"/>
      <c r="H22" s="9"/>
      <c r="I22" s="9"/>
      <c r="J22" s="9"/>
      <c r="K22" s="9">
        <f t="shared" si="0"/>
        <v>-63862</v>
      </c>
      <c r="L22" s="10">
        <f t="shared" si="1"/>
        <v>-77880.487804878052</v>
      </c>
      <c r="M22" s="7">
        <v>56</v>
      </c>
      <c r="N22" s="7">
        <v>846</v>
      </c>
      <c r="O22" s="8">
        <v>0.15</v>
      </c>
      <c r="P22" s="8"/>
      <c r="Q22" s="8">
        <v>0.15</v>
      </c>
    </row>
    <row r="24" spans="1:19" x14ac:dyDescent="0.25">
      <c r="M24" t="s">
        <v>28</v>
      </c>
    </row>
    <row r="25" spans="1:19" x14ac:dyDescent="0.25">
      <c r="A25" t="s">
        <v>19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N25" t="s">
        <v>4</v>
      </c>
      <c r="O25" t="s">
        <v>5</v>
      </c>
      <c r="P25" t="s">
        <v>6</v>
      </c>
      <c r="Q25" t="s">
        <v>7</v>
      </c>
      <c r="R25" t="s">
        <v>8</v>
      </c>
      <c r="S25" t="s">
        <v>9</v>
      </c>
    </row>
    <row r="26" spans="1:19" x14ac:dyDescent="0.25">
      <c r="A26">
        <f t="shared" ref="A26:A46" si="3">A2</f>
        <v>41</v>
      </c>
      <c r="B26">
        <f>VLOOKUP($A26,Initial!$A$1:$J$20,2,0)-B2</f>
        <v>0</v>
      </c>
      <c r="C26">
        <f>VLOOKUP($A26,Initial!$A$1:$J$20,3,0)-C2</f>
        <v>0</v>
      </c>
      <c r="D26">
        <f>VLOOKUP($A26,Initial!$A$1:$J$20,4,0)-D2</f>
        <v>0</v>
      </c>
      <c r="E26">
        <f>VLOOKUP($A26,Initial!$A$1:$J$20,5,0)-E2</f>
        <v>0</v>
      </c>
      <c r="F26">
        <f>VLOOKUP($A26,Initial!$A$1:$J$20,6,0)-F2</f>
        <v>0</v>
      </c>
      <c r="G26">
        <f>VLOOKUP($A26,Initial!$A$1:$J$20,7,0)-G2</f>
        <v>0</v>
      </c>
      <c r="H26">
        <f>VLOOKUP($A26,Initial!$A$1:$J$20,8,0)-H2</f>
        <v>0</v>
      </c>
      <c r="I26">
        <f>VLOOKUP($A26,Initial!$A$1:$J$20,9,0)-I2</f>
        <v>0</v>
      </c>
      <c r="J26">
        <f>VLOOKUP($A26,Initial!$A$1:$J$20,10,0)-J2</f>
        <v>0</v>
      </c>
      <c r="M26">
        <v>56</v>
      </c>
      <c r="N26" s="3">
        <f>E3+E5/$O$11+E10/$O$12+E19/$O$22</f>
        <v>2527775.9166666665</v>
      </c>
      <c r="O26" s="3">
        <f>F3+F5/$O$11+F10/$O$12+F19/$O$22</f>
        <v>480665.66666666669</v>
      </c>
      <c r="P26" s="3">
        <f>G3+G5/$O$11+G10/$O$12+G19/$O$22</f>
        <v>9271050.0733333342</v>
      </c>
      <c r="Q26" s="3">
        <f>H3+H5/$O$11+H10/$O$12+H19/$O$22</f>
        <v>25520</v>
      </c>
      <c r="R26" s="3">
        <f>I3+I5/$O$11+I10/$O$12+I19/$O$22</f>
        <v>9450</v>
      </c>
      <c r="S26" s="3">
        <f>J3+J5/$O$11+J10/$O$12+J19/$O$22</f>
        <v>2434807.3333333335</v>
      </c>
    </row>
    <row r="27" spans="1:19" x14ac:dyDescent="0.25">
      <c r="A27">
        <f t="shared" si="3"/>
        <v>56</v>
      </c>
      <c r="B27">
        <f>VLOOKUP($A27,Initial!$A$1:$J$20,2,0)-B3</f>
        <v>0</v>
      </c>
      <c r="C27">
        <f>VLOOKUP($A27,Initial!$A$1:$J$20,3,0)-C3</f>
        <v>0</v>
      </c>
      <c r="D27">
        <f>VLOOKUP($A27,Initial!$A$1:$J$20,4,0)-D3</f>
        <v>0</v>
      </c>
      <c r="E27">
        <f>VLOOKUP($A27,Initial!$A$1:$J$20,5,0)-E3</f>
        <v>0</v>
      </c>
      <c r="F27">
        <f>VLOOKUP($A27,Initial!$A$1:$J$20,6,0)-F3</f>
        <v>0</v>
      </c>
      <c r="G27">
        <f>VLOOKUP($A27,Initial!$A$1:$J$20,7,0)-G3</f>
        <v>0</v>
      </c>
      <c r="H27">
        <f>VLOOKUP($A27,Initial!$A$1:$J$20,8,0)-H3</f>
        <v>0</v>
      </c>
      <c r="I27">
        <f>VLOOKUP($A27,Initial!$A$1:$J$20,9,0)-I3</f>
        <v>0</v>
      </c>
      <c r="J27">
        <f>VLOOKUP($A27,Initial!$A$1:$J$20,10,0)-J3</f>
        <v>0</v>
      </c>
      <c r="M27" t="s">
        <v>15</v>
      </c>
      <c r="N27" s="3">
        <v>2300000</v>
      </c>
      <c r="O27" s="3">
        <v>406000</v>
      </c>
      <c r="P27" s="3">
        <v>8550000</v>
      </c>
      <c r="Q27" s="3">
        <v>26000</v>
      </c>
      <c r="R27" s="3">
        <v>9000</v>
      </c>
      <c r="S27" s="3">
        <v>460000</v>
      </c>
    </row>
    <row r="28" spans="1:19" x14ac:dyDescent="0.25">
      <c r="A28">
        <f t="shared" si="3"/>
        <v>57</v>
      </c>
      <c r="B28">
        <f>VLOOKUP($A28,Initial!$A$1:$J$20,2,0)-B4</f>
        <v>0</v>
      </c>
      <c r="C28">
        <f>VLOOKUP($A28,Initial!$A$1:$J$20,3,0)-C4</f>
        <v>0</v>
      </c>
      <c r="D28">
        <f>VLOOKUP($A28,Initial!$A$1:$J$20,4,0)-D4</f>
        <v>0</v>
      </c>
      <c r="E28">
        <f>VLOOKUP($A28,Initial!$A$1:$J$20,5,0)-E4</f>
        <v>0</v>
      </c>
      <c r="F28">
        <f>VLOOKUP($A28,Initial!$A$1:$J$20,6,0)-F4</f>
        <v>0</v>
      </c>
      <c r="G28">
        <f>VLOOKUP($A28,Initial!$A$1:$J$20,7,0)-G4</f>
        <v>0</v>
      </c>
      <c r="H28">
        <f>VLOOKUP($A28,Initial!$A$1:$J$20,8,0)-H4</f>
        <v>0</v>
      </c>
      <c r="I28">
        <f>VLOOKUP($A28,Initial!$A$1:$J$20,9,0)-I4</f>
        <v>0</v>
      </c>
      <c r="J28">
        <f>VLOOKUP($A28,Initial!$A$1:$J$20,10,0)-J4</f>
        <v>0</v>
      </c>
      <c r="M28" t="s">
        <v>16</v>
      </c>
      <c r="N28" s="5">
        <f t="shared" ref="N28" si="4">(N27-N26)/N26</f>
        <v>-9.0109220190304914E-2</v>
      </c>
      <c r="O28" s="5">
        <f t="shared" ref="O28" si="5">(O27-O26)/O26</f>
        <v>-0.15533804855349911</v>
      </c>
      <c r="P28" s="5">
        <f t="shared" ref="P28" si="6">(P27-P26)/P26</f>
        <v>-7.7774369422005094E-2</v>
      </c>
      <c r="Q28" s="5">
        <f t="shared" ref="Q28" si="7">(Q27-Q26)/Q26</f>
        <v>1.8808777429467086E-2</v>
      </c>
      <c r="R28" s="5">
        <f t="shared" ref="R28" si="8">(R27-R26)/R26</f>
        <v>-4.7619047619047616E-2</v>
      </c>
      <c r="S28" s="5">
        <f t="shared" ref="S28" si="9">(S27-S26)/S26</f>
        <v>-0.8110733470766065</v>
      </c>
    </row>
    <row r="29" spans="1:19" x14ac:dyDescent="0.25">
      <c r="A29">
        <f t="shared" si="3"/>
        <v>58</v>
      </c>
      <c r="B29">
        <f>VLOOKUP($A29,Initial!$A$1:$J$20,2,0)-B5</f>
        <v>0</v>
      </c>
      <c r="C29">
        <f>VLOOKUP($A29,Initial!$A$1:$J$20,3,0)-C5</f>
        <v>0</v>
      </c>
      <c r="D29">
        <f>VLOOKUP($A29,Initial!$A$1:$J$20,4,0)-D5</f>
        <v>0</v>
      </c>
      <c r="E29">
        <f>VLOOKUP($A29,Initial!$A$1:$J$20,5,0)-E5</f>
        <v>0</v>
      </c>
      <c r="F29">
        <f>VLOOKUP($A29,Initial!$A$1:$J$20,6,0)-F5</f>
        <v>0</v>
      </c>
      <c r="G29">
        <f>VLOOKUP($A29,Initial!$A$1:$J$20,7,0)-G5</f>
        <v>0</v>
      </c>
      <c r="H29">
        <f>VLOOKUP($A29,Initial!$A$1:$J$20,8,0)-H5</f>
        <v>0</v>
      </c>
      <c r="I29">
        <f>VLOOKUP($A29,Initial!$A$1:$J$20,9,0)-I5</f>
        <v>0</v>
      </c>
      <c r="J29">
        <f>VLOOKUP($A29,Initial!$A$1:$J$20,10,0)-J5</f>
        <v>0</v>
      </c>
    </row>
    <row r="30" spans="1:19" x14ac:dyDescent="0.25">
      <c r="A30">
        <f t="shared" si="3"/>
        <v>59</v>
      </c>
      <c r="B30">
        <f>VLOOKUP($A30,Initial!$A$1:$J$20,2,0)-B6</f>
        <v>0</v>
      </c>
      <c r="C30">
        <f>VLOOKUP($A30,Initial!$A$1:$J$20,3,0)-C6</f>
        <v>0</v>
      </c>
      <c r="D30">
        <f>VLOOKUP($A30,Initial!$A$1:$J$20,4,0)-D6</f>
        <v>0</v>
      </c>
      <c r="E30">
        <f>VLOOKUP($A30,Initial!$A$1:$J$20,5,0)-E6</f>
        <v>0</v>
      </c>
      <c r="F30">
        <f>VLOOKUP($A30,Initial!$A$1:$J$20,6,0)-F6</f>
        <v>0</v>
      </c>
      <c r="G30">
        <f>VLOOKUP($A30,Initial!$A$1:$J$20,7,0)-G6</f>
        <v>0</v>
      </c>
      <c r="H30">
        <f>VLOOKUP($A30,Initial!$A$1:$J$20,8,0)-H6</f>
        <v>0</v>
      </c>
      <c r="I30">
        <f>VLOOKUP($A30,Initial!$A$1:$J$20,9,0)-I6</f>
        <v>0</v>
      </c>
      <c r="J30">
        <f>VLOOKUP($A30,Initial!$A$1:$J$20,10,0)-J6</f>
        <v>0</v>
      </c>
    </row>
    <row r="31" spans="1:19" x14ac:dyDescent="0.25">
      <c r="A31">
        <f t="shared" si="3"/>
        <v>60</v>
      </c>
      <c r="B31">
        <f>VLOOKUP($A31,Initial!$A$1:$J$20,2,0)-B7</f>
        <v>0</v>
      </c>
      <c r="C31">
        <f>VLOOKUP($A31,Initial!$A$1:$J$20,3,0)-C7</f>
        <v>0</v>
      </c>
      <c r="D31">
        <f>VLOOKUP($A31,Initial!$A$1:$J$20,4,0)-D7</f>
        <v>0</v>
      </c>
      <c r="E31">
        <f>VLOOKUP($A31,Initial!$A$1:$J$20,5,0)-E7</f>
        <v>0</v>
      </c>
      <c r="F31">
        <f>VLOOKUP($A31,Initial!$A$1:$J$20,6,0)-F7</f>
        <v>0</v>
      </c>
      <c r="G31">
        <f>VLOOKUP($A31,Initial!$A$1:$J$20,7,0)-G7</f>
        <v>0</v>
      </c>
      <c r="H31">
        <f>VLOOKUP($A31,Initial!$A$1:$J$20,8,0)-H7</f>
        <v>0</v>
      </c>
      <c r="I31">
        <f>VLOOKUP($A31,Initial!$A$1:$J$20,9,0)-I7</f>
        <v>0</v>
      </c>
      <c r="J31">
        <f>VLOOKUP($A31,Initial!$A$1:$J$20,10,0)-J7</f>
        <v>0</v>
      </c>
    </row>
    <row r="32" spans="1:19" x14ac:dyDescent="0.25">
      <c r="A32">
        <f t="shared" si="3"/>
        <v>61</v>
      </c>
      <c r="B32">
        <f>VLOOKUP($A32,Initial!$A$1:$J$20,2,0)-B8</f>
        <v>0</v>
      </c>
      <c r="C32">
        <f>VLOOKUP($A32,Initial!$A$1:$J$20,3,0)-C8</f>
        <v>0</v>
      </c>
      <c r="D32">
        <f>VLOOKUP($A32,Initial!$A$1:$J$20,4,0)-D8</f>
        <v>0</v>
      </c>
      <c r="E32">
        <f>VLOOKUP($A32,Initial!$A$1:$J$20,5,0)-E8</f>
        <v>0</v>
      </c>
      <c r="F32">
        <f>VLOOKUP($A32,Initial!$A$1:$J$20,6,0)-F8</f>
        <v>0</v>
      </c>
      <c r="G32">
        <f>VLOOKUP($A32,Initial!$A$1:$J$20,7,0)-G8</f>
        <v>0</v>
      </c>
      <c r="H32">
        <f>VLOOKUP($A32,Initial!$A$1:$J$20,8,0)-H8</f>
        <v>0</v>
      </c>
      <c r="I32">
        <f>VLOOKUP($A32,Initial!$A$1:$J$20,9,0)-I8</f>
        <v>0</v>
      </c>
      <c r="J32">
        <f>VLOOKUP($A32,Initial!$A$1:$J$20,10,0)-J8</f>
        <v>0</v>
      </c>
    </row>
    <row r="33" spans="1:10" x14ac:dyDescent="0.25">
      <c r="A33">
        <f t="shared" si="3"/>
        <v>63</v>
      </c>
      <c r="B33">
        <f>VLOOKUP($A33,Initial!$A$1:$J$20,2,0)-B9</f>
        <v>0</v>
      </c>
      <c r="C33">
        <f>VLOOKUP($A33,Initial!$A$1:$J$20,3,0)-C9</f>
        <v>0</v>
      </c>
      <c r="D33">
        <f>VLOOKUP($A33,Initial!$A$1:$J$20,4,0)-D9</f>
        <v>0</v>
      </c>
      <c r="E33">
        <f>VLOOKUP($A33,Initial!$A$1:$J$20,5,0)-E9</f>
        <v>0</v>
      </c>
      <c r="F33">
        <f>VLOOKUP($A33,Initial!$A$1:$J$20,6,0)-F9</f>
        <v>0</v>
      </c>
      <c r="G33">
        <f>VLOOKUP($A33,Initial!$A$1:$J$20,7,0)-G9</f>
        <v>0</v>
      </c>
      <c r="H33">
        <f>VLOOKUP($A33,Initial!$A$1:$J$20,8,0)-H9</f>
        <v>0</v>
      </c>
      <c r="I33">
        <f>VLOOKUP($A33,Initial!$A$1:$J$20,9,0)-I9</f>
        <v>0</v>
      </c>
      <c r="J33">
        <f>VLOOKUP($A33,Initial!$A$1:$J$20,10,0)-J9</f>
        <v>0</v>
      </c>
    </row>
    <row r="34" spans="1:10" x14ac:dyDescent="0.25">
      <c r="A34">
        <f t="shared" si="3"/>
        <v>64</v>
      </c>
      <c r="B34">
        <f>VLOOKUP($A34,Initial!$A$1:$J$20,2,0)-B10</f>
        <v>0</v>
      </c>
      <c r="C34">
        <f>VLOOKUP($A34,Initial!$A$1:$J$20,3,0)-C10</f>
        <v>0</v>
      </c>
      <c r="D34">
        <f>VLOOKUP($A34,Initial!$A$1:$J$20,4,0)-D10</f>
        <v>0</v>
      </c>
      <c r="E34">
        <f>VLOOKUP($A34,Initial!$A$1:$J$20,5,0)-E10</f>
        <v>0</v>
      </c>
      <c r="F34">
        <f>VLOOKUP($A34,Initial!$A$1:$J$20,6,0)-F10</f>
        <v>0</v>
      </c>
      <c r="G34">
        <f>VLOOKUP($A34,Initial!$A$1:$J$20,7,0)-G10</f>
        <v>0</v>
      </c>
      <c r="H34">
        <f>VLOOKUP($A34,Initial!$A$1:$J$20,8,0)-H10</f>
        <v>0</v>
      </c>
      <c r="I34">
        <f>VLOOKUP($A34,Initial!$A$1:$J$20,9,0)-I10</f>
        <v>0</v>
      </c>
      <c r="J34">
        <f>VLOOKUP($A34,Initial!$A$1:$J$20,10,0)-J10</f>
        <v>0</v>
      </c>
    </row>
    <row r="35" spans="1:10" x14ac:dyDescent="0.25">
      <c r="A35">
        <f t="shared" si="3"/>
        <v>66</v>
      </c>
      <c r="B35" t="e">
        <f>VLOOKUP($A35,Initial!$A$1:$J$20,2,0)-B11</f>
        <v>#N/A</v>
      </c>
      <c r="C35" t="e">
        <f>VLOOKUP($A35,Initial!$A$1:$J$20,3,0)-C11</f>
        <v>#N/A</v>
      </c>
      <c r="D35" t="e">
        <f>VLOOKUP($A35,Initial!$A$1:$J$20,4,0)-D11</f>
        <v>#N/A</v>
      </c>
      <c r="E35" t="e">
        <f>VLOOKUP($A35,Initial!$A$1:$J$20,5,0)-E11</f>
        <v>#N/A</v>
      </c>
      <c r="F35" t="e">
        <f>VLOOKUP($A35,Initial!$A$1:$J$20,6,0)-F11</f>
        <v>#N/A</v>
      </c>
      <c r="G35" t="e">
        <f>VLOOKUP($A35,Initial!$A$1:$J$20,7,0)-G11</f>
        <v>#N/A</v>
      </c>
      <c r="H35" t="e">
        <f>VLOOKUP($A35,Initial!$A$1:$J$20,8,0)-H11</f>
        <v>#N/A</v>
      </c>
      <c r="I35" t="e">
        <f>VLOOKUP($A35,Initial!$A$1:$J$20,9,0)-I11</f>
        <v>#N/A</v>
      </c>
      <c r="J35" t="e">
        <f>VLOOKUP($A35,Initial!$A$1:$J$20,10,0)-J11</f>
        <v>#N/A</v>
      </c>
    </row>
    <row r="36" spans="1:10" x14ac:dyDescent="0.25">
      <c r="A36">
        <f t="shared" si="3"/>
        <v>113</v>
      </c>
      <c r="B36">
        <f>VLOOKUP($A36,Initial!$A$1:$J$20,2,0)-B12</f>
        <v>0</v>
      </c>
      <c r="C36">
        <f>VLOOKUP($A36,Initial!$A$1:$J$20,3,0)-C12</f>
        <v>0</v>
      </c>
      <c r="D36">
        <f>VLOOKUP($A36,Initial!$A$1:$J$20,4,0)-D12</f>
        <v>0</v>
      </c>
      <c r="E36">
        <f>VLOOKUP($A36,Initial!$A$1:$J$20,5,0)-E12</f>
        <v>0</v>
      </c>
      <c r="F36">
        <f>VLOOKUP($A36,Initial!$A$1:$J$20,6,0)-F12</f>
        <v>0</v>
      </c>
      <c r="G36">
        <f>VLOOKUP($A36,Initial!$A$1:$J$20,7,0)-G12</f>
        <v>0</v>
      </c>
      <c r="H36">
        <f>VLOOKUP($A36,Initial!$A$1:$J$20,8,0)-H12</f>
        <v>0</v>
      </c>
      <c r="I36">
        <f>VLOOKUP($A36,Initial!$A$1:$J$20,9,0)-I12</f>
        <v>0</v>
      </c>
      <c r="J36">
        <f>VLOOKUP($A36,Initial!$A$1:$J$20,10,0)-J12</f>
        <v>0</v>
      </c>
    </row>
    <row r="37" spans="1:10" x14ac:dyDescent="0.25">
      <c r="A37">
        <f t="shared" si="3"/>
        <v>166</v>
      </c>
      <c r="B37">
        <f>VLOOKUP($A37,Initial!$A$1:$J$20,2,0)-B13</f>
        <v>0</v>
      </c>
      <c r="C37">
        <f>VLOOKUP($A37,Initial!$A$1:$J$20,3,0)-C13</f>
        <v>0</v>
      </c>
      <c r="D37">
        <f>VLOOKUP($A37,Initial!$A$1:$J$20,4,0)-D13</f>
        <v>0</v>
      </c>
      <c r="E37">
        <f>VLOOKUP($A37,Initial!$A$1:$J$20,5,0)-E13</f>
        <v>0</v>
      </c>
      <c r="F37">
        <f>VLOOKUP($A37,Initial!$A$1:$J$20,6,0)-F13</f>
        <v>0</v>
      </c>
      <c r="G37">
        <f>VLOOKUP($A37,Initial!$A$1:$J$20,7,0)-G13</f>
        <v>0</v>
      </c>
      <c r="H37">
        <f>VLOOKUP($A37,Initial!$A$1:$J$20,8,0)-H13</f>
        <v>0</v>
      </c>
      <c r="I37">
        <f>VLOOKUP($A37,Initial!$A$1:$J$20,9,0)-I13</f>
        <v>0</v>
      </c>
      <c r="J37">
        <f>VLOOKUP($A37,Initial!$A$1:$J$20,10,0)-J13</f>
        <v>0</v>
      </c>
    </row>
    <row r="38" spans="1:10" x14ac:dyDescent="0.25">
      <c r="A38">
        <f t="shared" si="3"/>
        <v>172</v>
      </c>
      <c r="B38">
        <f>VLOOKUP($A38,Initial!$A$1:$J$20,2,0)-B14</f>
        <v>0</v>
      </c>
      <c r="C38">
        <f>VLOOKUP($A38,Initial!$A$1:$J$20,3,0)-C14</f>
        <v>0</v>
      </c>
      <c r="D38">
        <f>VLOOKUP($A38,Initial!$A$1:$J$20,4,0)-D14</f>
        <v>0</v>
      </c>
      <c r="E38">
        <f>VLOOKUP($A38,Initial!$A$1:$J$20,5,0)-E14</f>
        <v>0</v>
      </c>
      <c r="F38">
        <f>VLOOKUP($A38,Initial!$A$1:$J$20,6,0)-F14</f>
        <v>0</v>
      </c>
      <c r="G38">
        <f>VLOOKUP($A38,Initial!$A$1:$J$20,7,0)-G14</f>
        <v>0</v>
      </c>
      <c r="H38">
        <f>VLOOKUP($A38,Initial!$A$1:$J$20,8,0)-H14</f>
        <v>0</v>
      </c>
      <c r="I38">
        <f>VLOOKUP($A38,Initial!$A$1:$J$20,9,0)-I14</f>
        <v>0</v>
      </c>
      <c r="J38">
        <f>VLOOKUP($A38,Initial!$A$1:$J$20,10,0)-J14</f>
        <v>0</v>
      </c>
    </row>
    <row r="39" spans="1:10" x14ac:dyDescent="0.25">
      <c r="A39">
        <f t="shared" si="3"/>
        <v>175</v>
      </c>
      <c r="B39">
        <f>VLOOKUP($A39,Initial!$A$1:$J$20,2,0)-B15</f>
        <v>0</v>
      </c>
      <c r="C39">
        <f>VLOOKUP($A39,Initial!$A$1:$J$20,3,0)-C15</f>
        <v>0</v>
      </c>
      <c r="D39">
        <f>VLOOKUP($A39,Initial!$A$1:$J$20,4,0)-D15</f>
        <v>0</v>
      </c>
      <c r="E39">
        <f>VLOOKUP($A39,Initial!$A$1:$J$20,5,0)-E15</f>
        <v>0</v>
      </c>
      <c r="F39">
        <f>VLOOKUP($A39,Initial!$A$1:$J$20,6,0)-F15</f>
        <v>0</v>
      </c>
      <c r="G39">
        <f>VLOOKUP($A39,Initial!$A$1:$J$20,7,0)-G15</f>
        <v>0</v>
      </c>
      <c r="H39">
        <f>VLOOKUP($A39,Initial!$A$1:$J$20,8,0)-H15</f>
        <v>0</v>
      </c>
      <c r="I39">
        <f>VLOOKUP($A39,Initial!$A$1:$J$20,9,0)-I15</f>
        <v>0</v>
      </c>
      <c r="J39">
        <f>VLOOKUP($A39,Initial!$A$1:$J$20,10,0)-J15</f>
        <v>0</v>
      </c>
    </row>
    <row r="40" spans="1:10" x14ac:dyDescent="0.25">
      <c r="A40">
        <f t="shared" si="3"/>
        <v>632</v>
      </c>
      <c r="B40">
        <f>VLOOKUP($A40,Initial!$A$1:$J$20,2,0)-B16</f>
        <v>0</v>
      </c>
      <c r="C40">
        <f>VLOOKUP($A40,Initial!$A$1:$J$20,3,0)-C16</f>
        <v>0</v>
      </c>
      <c r="D40">
        <f>VLOOKUP($A40,Initial!$A$1:$J$20,4,0)-D16</f>
        <v>0</v>
      </c>
      <c r="E40">
        <f>VLOOKUP($A40,Initial!$A$1:$J$20,5,0)-E16</f>
        <v>0</v>
      </c>
      <c r="F40">
        <f>VLOOKUP($A40,Initial!$A$1:$J$20,6,0)-F16</f>
        <v>0</v>
      </c>
      <c r="G40">
        <f>VLOOKUP($A40,Initial!$A$1:$J$20,7,0)-G16</f>
        <v>0</v>
      </c>
      <c r="H40">
        <f>VLOOKUP($A40,Initial!$A$1:$J$20,8,0)-H16</f>
        <v>0</v>
      </c>
      <c r="I40">
        <f>VLOOKUP($A40,Initial!$A$1:$J$20,9,0)-I16</f>
        <v>0</v>
      </c>
      <c r="J40">
        <f>VLOOKUP($A40,Initial!$A$1:$J$20,10,0)-J16</f>
        <v>0</v>
      </c>
    </row>
    <row r="41" spans="1:10" x14ac:dyDescent="0.25">
      <c r="A41">
        <f t="shared" si="3"/>
        <v>634</v>
      </c>
      <c r="B41">
        <f>VLOOKUP($A41,Initial!$A$1:$J$20,2,0)-B17</f>
        <v>3.0000007245689631E-4</v>
      </c>
      <c r="C41">
        <f>VLOOKUP($A41,Initial!$A$1:$J$20,3,0)-C17</f>
        <v>0</v>
      </c>
      <c r="D41">
        <f>VLOOKUP($A41,Initial!$A$1:$J$20,4,0)-D17</f>
        <v>0</v>
      </c>
      <c r="E41">
        <f>VLOOKUP($A41,Initial!$A$1:$J$20,5,0)-E17</f>
        <v>0</v>
      </c>
      <c r="F41">
        <f>VLOOKUP($A41,Initial!$A$1:$J$20,6,0)-F17</f>
        <v>0</v>
      </c>
      <c r="G41">
        <f>VLOOKUP($A41,Initial!$A$1:$J$20,7,0)-G17</f>
        <v>0</v>
      </c>
      <c r="H41">
        <f>VLOOKUP($A41,Initial!$A$1:$J$20,8,0)-H17</f>
        <v>0</v>
      </c>
      <c r="I41">
        <f>VLOOKUP($A41,Initial!$A$1:$J$20,9,0)-I17</f>
        <v>0</v>
      </c>
      <c r="J41">
        <f>VLOOKUP($A41,Initial!$A$1:$J$20,10,0)-J17</f>
        <v>0</v>
      </c>
    </row>
    <row r="42" spans="1:10" x14ac:dyDescent="0.25">
      <c r="A42">
        <f t="shared" si="3"/>
        <v>654</v>
      </c>
      <c r="B42">
        <f>VLOOKUP($A42,Initial!$A$1:$J$20,2,0)-B18</f>
        <v>0</v>
      </c>
      <c r="C42">
        <f>VLOOKUP($A42,Initial!$A$1:$J$20,3,0)-C18</f>
        <v>0</v>
      </c>
      <c r="D42">
        <f>VLOOKUP($A42,Initial!$A$1:$J$20,4,0)-D18</f>
        <v>0</v>
      </c>
      <c r="E42">
        <f>VLOOKUP($A42,Initial!$A$1:$J$20,5,0)-E18</f>
        <v>0</v>
      </c>
      <c r="F42">
        <f>VLOOKUP($A42,Initial!$A$1:$J$20,6,0)-F18</f>
        <v>0</v>
      </c>
      <c r="G42">
        <f>VLOOKUP($A42,Initial!$A$1:$J$20,7,0)-G18</f>
        <v>0</v>
      </c>
      <c r="H42">
        <f>VLOOKUP($A42,Initial!$A$1:$J$20,8,0)-H18</f>
        <v>0</v>
      </c>
      <c r="I42">
        <f>VLOOKUP($A42,Initial!$A$1:$J$20,9,0)-I18</f>
        <v>0</v>
      </c>
      <c r="J42">
        <f>VLOOKUP($A42,Initial!$A$1:$J$20,10,0)-J18</f>
        <v>0</v>
      </c>
    </row>
    <row r="43" spans="1:10" x14ac:dyDescent="0.25">
      <c r="A43">
        <f t="shared" si="3"/>
        <v>846</v>
      </c>
      <c r="B43">
        <f>VLOOKUP($A43,Initial!$A$1:$J$20,2,0)-B19</f>
        <v>0</v>
      </c>
      <c r="C43">
        <f>VLOOKUP($A43,Initial!$A$1:$J$20,3,0)-C19</f>
        <v>0</v>
      </c>
      <c r="D43">
        <f>VLOOKUP($A43,Initial!$A$1:$J$20,4,0)-D19</f>
        <v>0</v>
      </c>
      <c r="E43">
        <f>VLOOKUP($A43,Initial!$A$1:$J$20,5,0)-E19</f>
        <v>0</v>
      </c>
      <c r="F43">
        <f>VLOOKUP($A43,Initial!$A$1:$J$20,6,0)-F19</f>
        <v>0</v>
      </c>
      <c r="G43">
        <f>VLOOKUP($A43,Initial!$A$1:$J$20,7,0)-G19</f>
        <v>0</v>
      </c>
      <c r="H43">
        <f>VLOOKUP($A43,Initial!$A$1:$J$20,8,0)-H19</f>
        <v>0</v>
      </c>
      <c r="I43">
        <f>VLOOKUP($A43,Initial!$A$1:$J$20,9,0)-I19</f>
        <v>0</v>
      </c>
      <c r="J43">
        <f>VLOOKUP($A43,Initial!$A$1:$J$20,10,0)-J19</f>
        <v>0</v>
      </c>
    </row>
    <row r="44" spans="1:10" x14ac:dyDescent="0.25">
      <c r="A44">
        <f t="shared" si="3"/>
        <v>1241</v>
      </c>
      <c r="B44" t="e">
        <f>VLOOKUP($A44,Initial!$A$1:$J$20,2,0)-B20</f>
        <v>#N/A</v>
      </c>
      <c r="C44" t="e">
        <f>VLOOKUP($A44,Initial!$A$1:$J$20,3,0)-C20</f>
        <v>#N/A</v>
      </c>
      <c r="D44" t="e">
        <f>VLOOKUP($A44,Initial!$A$1:$J$20,4,0)-D20</f>
        <v>#N/A</v>
      </c>
      <c r="E44" t="e">
        <f>VLOOKUP($A44,Initial!$A$1:$J$20,5,0)-E20</f>
        <v>#N/A</v>
      </c>
      <c r="F44" t="e">
        <f>VLOOKUP($A44,Initial!$A$1:$J$20,6,0)-F20</f>
        <v>#N/A</v>
      </c>
      <c r="G44" t="e">
        <f>VLOOKUP($A44,Initial!$A$1:$J$20,7,0)-G20</f>
        <v>#N/A</v>
      </c>
      <c r="H44" t="e">
        <f>VLOOKUP($A44,Initial!$A$1:$J$20,8,0)-H20</f>
        <v>#N/A</v>
      </c>
      <c r="I44" t="e">
        <f>VLOOKUP($A44,Initial!$A$1:$J$20,9,0)-I20</f>
        <v>#N/A</v>
      </c>
      <c r="J44" t="e">
        <f>VLOOKUP($A44,Initial!$A$1:$J$20,10,0)-J20</f>
        <v>#N/A</v>
      </c>
    </row>
    <row r="45" spans="1:10" x14ac:dyDescent="0.25">
      <c r="A45">
        <f t="shared" si="3"/>
        <v>1242</v>
      </c>
      <c r="B45">
        <f>VLOOKUP($A45,Initial!$A$1:$J$20,2,0)-B21</f>
        <v>0</v>
      </c>
      <c r="C45">
        <f>VLOOKUP($A45,Initial!$A$1:$J$20,3,0)-C21</f>
        <v>0</v>
      </c>
      <c r="D45">
        <f>VLOOKUP($A45,Initial!$A$1:$J$20,4,0)-D21</f>
        <v>0</v>
      </c>
      <c r="E45">
        <f>VLOOKUP($A45,Initial!$A$1:$J$20,5,0)-E21</f>
        <v>0</v>
      </c>
      <c r="F45">
        <f>VLOOKUP($A45,Initial!$A$1:$J$20,6,0)-F21</f>
        <v>0</v>
      </c>
      <c r="G45">
        <f>VLOOKUP($A45,Initial!$A$1:$J$20,7,0)-G21</f>
        <v>0</v>
      </c>
      <c r="H45">
        <f>VLOOKUP($A45,Initial!$A$1:$J$20,8,0)-H21</f>
        <v>0</v>
      </c>
      <c r="I45">
        <f>VLOOKUP($A45,Initial!$A$1:$J$20,9,0)-I21</f>
        <v>0</v>
      </c>
      <c r="J45">
        <f>VLOOKUP($A45,Initial!$A$1:$J$20,10,0)-J21</f>
        <v>0</v>
      </c>
    </row>
    <row r="46" spans="1:10" x14ac:dyDescent="0.25">
      <c r="A46">
        <f t="shared" si="3"/>
        <v>1275</v>
      </c>
      <c r="B46">
        <f>VLOOKUP($A46,Initial!$A$1:$J$20,2,0)-B22</f>
        <v>0</v>
      </c>
      <c r="C46">
        <f>VLOOKUP($A46,Initial!$A$1:$J$20,3,0)-C22</f>
        <v>0</v>
      </c>
      <c r="D46">
        <f>VLOOKUP($A46,Initial!$A$1:$J$20,4,0)-D22</f>
        <v>0</v>
      </c>
      <c r="E46">
        <f>VLOOKUP($A46,Initial!$A$1:$J$20,5,0)-E22</f>
        <v>0</v>
      </c>
      <c r="F46">
        <f>VLOOKUP($A46,Initial!$A$1:$J$20,6,0)-F22</f>
        <v>0</v>
      </c>
      <c r="G46">
        <f>VLOOKUP($A46,Initial!$A$1:$J$20,7,0)-G22</f>
        <v>0</v>
      </c>
      <c r="H46">
        <f>VLOOKUP($A46,Initial!$A$1:$J$20,8,0)-H22</f>
        <v>0</v>
      </c>
      <c r="I46">
        <f>VLOOKUP($A46,Initial!$A$1:$J$20,9,0)-I22</f>
        <v>0</v>
      </c>
      <c r="J46">
        <f>VLOOKUP($A46,Initial!$A$1:$J$20,10,0)-J22</f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8" zoomScaleNormal="100" workbookViewId="0">
      <selection activeCell="C47" sqref="C47"/>
    </sheetView>
  </sheetViews>
  <sheetFormatPr defaultRowHeight="13.2" x14ac:dyDescent="0.25"/>
  <cols>
    <col min="1" max="1025" width="11.5546875"/>
  </cols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20</v>
      </c>
      <c r="H1" t="s">
        <v>21</v>
      </c>
      <c r="I1" t="s">
        <v>22</v>
      </c>
    </row>
    <row r="2" spans="1:9" x14ac:dyDescent="0.25">
      <c r="A2">
        <v>41</v>
      </c>
      <c r="B2" s="10">
        <v>40500</v>
      </c>
      <c r="C2" s="10">
        <v>51166</v>
      </c>
      <c r="D2" s="10">
        <v>67055</v>
      </c>
      <c r="E2" s="10"/>
      <c r="F2" s="10"/>
      <c r="G2" s="10"/>
      <c r="H2" s="10">
        <v>24611</v>
      </c>
      <c r="I2" s="10"/>
    </row>
    <row r="3" spans="1:9" x14ac:dyDescent="0.25">
      <c r="A3">
        <v>56</v>
      </c>
      <c r="B3" s="10">
        <v>7877700</v>
      </c>
      <c r="C3" s="10">
        <v>2234283.2684999998</v>
      </c>
      <c r="D3" s="10">
        <v>284490.56949999998</v>
      </c>
      <c r="E3" s="10">
        <v>8550000</v>
      </c>
      <c r="F3" s="10">
        <v>25520</v>
      </c>
      <c r="G3" s="10">
        <v>9450</v>
      </c>
      <c r="H3" s="10">
        <v>200005</v>
      </c>
      <c r="I3" s="10">
        <v>215583.102384</v>
      </c>
    </row>
    <row r="4" spans="1:9" x14ac:dyDescent="0.25">
      <c r="A4">
        <v>57</v>
      </c>
      <c r="B4" s="10">
        <v>95680</v>
      </c>
      <c r="C4" s="10">
        <v>65487</v>
      </c>
      <c r="D4" s="10">
        <v>44</v>
      </c>
      <c r="E4" s="10">
        <v>23723</v>
      </c>
      <c r="F4" s="10"/>
      <c r="G4" s="10"/>
      <c r="H4" s="10"/>
      <c r="I4" s="10"/>
    </row>
    <row r="5" spans="1:9" x14ac:dyDescent="0.25">
      <c r="A5">
        <v>58</v>
      </c>
      <c r="B5" s="10">
        <v>897000</v>
      </c>
      <c r="C5" s="10">
        <v>11904</v>
      </c>
      <c r="D5" s="10">
        <v>130611</v>
      </c>
      <c r="E5" s="10"/>
      <c r="F5" s="10"/>
      <c r="G5" s="10"/>
      <c r="H5" s="10">
        <v>170000</v>
      </c>
      <c r="I5" s="10"/>
    </row>
    <row r="6" spans="1:9" x14ac:dyDescent="0.25">
      <c r="A6">
        <v>59</v>
      </c>
      <c r="B6" s="10">
        <v>191360</v>
      </c>
      <c r="C6" s="10">
        <v>2499</v>
      </c>
      <c r="D6" s="10">
        <v>2412</v>
      </c>
      <c r="E6" s="10">
        <v>191447</v>
      </c>
      <c r="F6" s="10"/>
      <c r="G6" s="10"/>
      <c r="H6" s="10"/>
      <c r="I6" s="10"/>
    </row>
    <row r="7" spans="1:9" x14ac:dyDescent="0.25">
      <c r="A7">
        <v>60</v>
      </c>
      <c r="B7" s="10">
        <v>63200</v>
      </c>
      <c r="C7" s="10">
        <v>32845</v>
      </c>
      <c r="D7" s="10">
        <v>17083</v>
      </c>
      <c r="E7" s="10"/>
      <c r="F7" s="10"/>
      <c r="G7" s="10"/>
      <c r="H7" s="10">
        <v>78962</v>
      </c>
      <c r="I7" s="10"/>
    </row>
    <row r="8" spans="1:9" x14ac:dyDescent="0.25">
      <c r="A8">
        <v>61</v>
      </c>
      <c r="B8" s="10">
        <v>56000</v>
      </c>
      <c r="C8" s="10">
        <v>556</v>
      </c>
      <c r="D8" s="10">
        <v>0</v>
      </c>
      <c r="E8" s="10">
        <v>56556</v>
      </c>
      <c r="F8" s="10"/>
      <c r="G8" s="10"/>
      <c r="H8" s="10"/>
      <c r="I8" s="10"/>
    </row>
    <row r="9" spans="1:9" x14ac:dyDescent="0.25">
      <c r="A9">
        <v>63</v>
      </c>
      <c r="B9" s="10">
        <v>90331.510500000004</v>
      </c>
      <c r="C9" s="10">
        <v>21788</v>
      </c>
      <c r="D9" s="10">
        <v>12875</v>
      </c>
      <c r="E9" s="10">
        <v>54078.755499999999</v>
      </c>
      <c r="F9" s="10">
        <v>0</v>
      </c>
      <c r="G9" s="10">
        <v>0</v>
      </c>
      <c r="H9" s="10">
        <v>0</v>
      </c>
      <c r="I9" s="10">
        <v>0</v>
      </c>
    </row>
    <row r="10" spans="1:9" x14ac:dyDescent="0.25">
      <c r="A10">
        <v>64</v>
      </c>
      <c r="B10" s="10">
        <v>481768.05599999998</v>
      </c>
      <c r="C10" s="10">
        <v>15225</v>
      </c>
      <c r="D10" s="10">
        <v>54752</v>
      </c>
      <c r="E10" s="10"/>
      <c r="F10" s="10"/>
      <c r="G10" s="10"/>
      <c r="H10" s="10"/>
      <c r="I10" s="10">
        <v>183241.05600000001</v>
      </c>
    </row>
    <row r="11" spans="1:9" x14ac:dyDescent="0.25">
      <c r="A11">
        <v>66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 x14ac:dyDescent="0.25">
      <c r="A12">
        <v>113</v>
      </c>
      <c r="B12" s="10">
        <v>39000</v>
      </c>
      <c r="C12" s="10">
        <v>12377</v>
      </c>
      <c r="D12" s="10">
        <v>36660</v>
      </c>
      <c r="E12" s="10">
        <v>0</v>
      </c>
      <c r="F12" s="10"/>
      <c r="G12" s="10"/>
      <c r="H12" s="10">
        <v>40017</v>
      </c>
      <c r="I12" s="10"/>
    </row>
    <row r="13" spans="1:9" x14ac:dyDescent="0.25">
      <c r="A13">
        <v>166</v>
      </c>
      <c r="B13" s="10">
        <v>4000</v>
      </c>
      <c r="C13" s="10">
        <v>896</v>
      </c>
      <c r="D13" s="10">
        <v>4345</v>
      </c>
      <c r="E13" s="10"/>
      <c r="F13" s="10"/>
      <c r="G13" s="10"/>
      <c r="H13" s="10">
        <v>551</v>
      </c>
      <c r="I13" s="10"/>
    </row>
    <row r="14" spans="1:9" x14ac:dyDescent="0.25">
      <c r="A14">
        <v>172</v>
      </c>
      <c r="B14" s="10">
        <v>330000</v>
      </c>
      <c r="C14" s="10">
        <v>151957</v>
      </c>
      <c r="D14" s="10">
        <v>247643.75</v>
      </c>
      <c r="E14" s="10">
        <v>0</v>
      </c>
      <c r="F14" s="10">
        <v>0</v>
      </c>
      <c r="G14" s="10">
        <v>0</v>
      </c>
      <c r="H14" s="10">
        <v>123210.21875</v>
      </c>
      <c r="I14" s="10">
        <v>128466.22500000001</v>
      </c>
    </row>
    <row r="15" spans="1:9" x14ac:dyDescent="0.25">
      <c r="A15">
        <v>175</v>
      </c>
      <c r="B15" s="10">
        <v>7716.9750000000004</v>
      </c>
      <c r="C15" s="10">
        <v>31176</v>
      </c>
      <c r="D15" s="10">
        <v>27307</v>
      </c>
      <c r="E15" s="10"/>
      <c r="F15" s="10"/>
      <c r="G15" s="10"/>
      <c r="H15" s="10"/>
      <c r="I15" s="10">
        <v>11585.975</v>
      </c>
    </row>
    <row r="16" spans="1:9" x14ac:dyDescent="0.25">
      <c r="A16">
        <v>632</v>
      </c>
      <c r="B16" s="10">
        <v>132769.73499999999</v>
      </c>
      <c r="C16" s="10">
        <v>170855</v>
      </c>
      <c r="D16" s="10">
        <v>36203</v>
      </c>
      <c r="E16" s="10"/>
      <c r="F16" s="10"/>
      <c r="G16" s="10"/>
      <c r="H16" s="10"/>
      <c r="I16" s="10">
        <v>267421.73499999999</v>
      </c>
    </row>
    <row r="17" spans="1:9" x14ac:dyDescent="0.25">
      <c r="A17">
        <v>634</v>
      </c>
      <c r="B17" s="10">
        <v>270000</v>
      </c>
      <c r="C17" s="10">
        <v>91375</v>
      </c>
      <c r="D17" s="10">
        <v>164870</v>
      </c>
      <c r="E17" s="10"/>
      <c r="F17" s="10"/>
      <c r="G17" s="10"/>
      <c r="H17" s="10">
        <v>55000</v>
      </c>
      <c r="I17" s="10">
        <v>141505</v>
      </c>
    </row>
    <row r="18" spans="1:9" x14ac:dyDescent="0.25">
      <c r="A18">
        <v>654</v>
      </c>
      <c r="B18" s="10">
        <v>260183.13800000001</v>
      </c>
      <c r="C18" s="10">
        <v>148111</v>
      </c>
      <c r="D18" s="10">
        <v>4514</v>
      </c>
      <c r="E18" s="10">
        <v>403780.13799999998</v>
      </c>
      <c r="F18" s="10"/>
      <c r="G18" s="10"/>
      <c r="H18" s="10"/>
      <c r="I18" s="10"/>
    </row>
    <row r="19" spans="1:9" x14ac:dyDescent="0.25">
      <c r="A19">
        <v>846</v>
      </c>
      <c r="B19" s="10">
        <v>90331.510500000004</v>
      </c>
      <c r="C19" s="10">
        <v>43576</v>
      </c>
      <c r="D19" s="10">
        <v>25750</v>
      </c>
      <c r="E19" s="10">
        <v>108157.511</v>
      </c>
      <c r="F19" s="10"/>
      <c r="G19" s="10"/>
      <c r="H19" s="10"/>
      <c r="I19" s="10"/>
    </row>
    <row r="20" spans="1:9" x14ac:dyDescent="0.25">
      <c r="A20">
        <v>1241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x14ac:dyDescent="0.25">
      <c r="A21">
        <v>1242</v>
      </c>
      <c r="B21" s="10">
        <v>132042</v>
      </c>
      <c r="C21" s="10">
        <v>41456</v>
      </c>
      <c r="D21" s="10">
        <v>38834</v>
      </c>
      <c r="E21" s="10"/>
      <c r="F21" s="10"/>
      <c r="G21" s="10"/>
      <c r="H21" s="10">
        <v>134664</v>
      </c>
      <c r="I21" s="10"/>
    </row>
    <row r="22" spans="1:9" x14ac:dyDescent="0.25">
      <c r="A22">
        <v>1275</v>
      </c>
      <c r="B22" s="10"/>
      <c r="C22" s="10">
        <v>72651</v>
      </c>
      <c r="D22" s="10">
        <v>8789</v>
      </c>
      <c r="E22" s="10"/>
      <c r="F22" s="10"/>
      <c r="G22" s="10"/>
      <c r="H22" s="10"/>
      <c r="I22" s="10">
        <v>63862</v>
      </c>
    </row>
    <row r="23" spans="1:9" x14ac:dyDescent="0.25">
      <c r="B23" s="10"/>
      <c r="C23" s="10"/>
      <c r="D23" s="10"/>
      <c r="E23" s="10"/>
      <c r="F23" s="10"/>
      <c r="G23" s="10"/>
      <c r="H23" s="10"/>
      <c r="I23" s="10"/>
    </row>
    <row r="25" spans="1:9" x14ac:dyDescent="0.25">
      <c r="A25" t="s">
        <v>19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20</v>
      </c>
    </row>
    <row r="26" spans="1:9" x14ac:dyDescent="0.25">
      <c r="A26">
        <f t="shared" ref="A26:A46" si="0">A2</f>
        <v>41</v>
      </c>
      <c r="B26">
        <f>VLOOKUP($A26,'After AUPUS'!$A$1:$J$20,4,0)-B2</f>
        <v>0</v>
      </c>
      <c r="C26" s="10">
        <f>VLOOKUP($A26,'After AUPUS'!$A$1:$J$20,5,0)-C2</f>
        <v>0</v>
      </c>
      <c r="D26" s="10">
        <f>VLOOKUP($A26,'After AUPUS'!$A$1:$J$20,6,0)-D2</f>
        <v>0</v>
      </c>
      <c r="E26" s="10">
        <f>VLOOKUP($A26,'After AUPUS'!$A$1:$J$20,7,0)-E2</f>
        <v>0</v>
      </c>
      <c r="F26" s="10">
        <f>VLOOKUP($A26,'After AUPUS'!$A$1:$J$20,8,0)-F2</f>
        <v>0</v>
      </c>
      <c r="G26" s="10">
        <f>VLOOKUP($A26,'After AUPUS'!$A$1:$J$20,9,0)-G2</f>
        <v>0</v>
      </c>
    </row>
    <row r="27" spans="1:9" x14ac:dyDescent="0.25">
      <c r="A27">
        <f t="shared" si="0"/>
        <v>56</v>
      </c>
      <c r="B27">
        <f>VLOOKUP($A27,'After AUPUS'!$A$1:$J$20,4,0)-B3</f>
        <v>0</v>
      </c>
      <c r="C27" s="10">
        <f>VLOOKUP($A27,'After AUPUS'!$A$1:$J$20,5,0)-C3</f>
        <v>-31917.268499999773</v>
      </c>
      <c r="D27" s="10">
        <f>VLOOKUP($A27,'After AUPUS'!$A$1:$J$20,6,0)-D3</f>
        <v>-218079.56949999998</v>
      </c>
      <c r="E27" s="10">
        <f>VLOOKUP($A27,'After AUPUS'!$A$1:$J$20,7,0)-E3</f>
        <v>0</v>
      </c>
      <c r="F27" s="10">
        <f>VLOOKUP($A27,'After AUPUS'!$A$1:$J$20,8,0)-F3</f>
        <v>0</v>
      </c>
      <c r="G27" s="10">
        <f>VLOOKUP($A27,'After AUPUS'!$A$1:$J$20,9,0)-G3</f>
        <v>0</v>
      </c>
    </row>
    <row r="28" spans="1:9" x14ac:dyDescent="0.25">
      <c r="A28">
        <f t="shared" si="0"/>
        <v>57</v>
      </c>
      <c r="B28">
        <f>VLOOKUP($A28,'After AUPUS'!$A$1:$J$20,4,0)-B4</f>
        <v>0</v>
      </c>
      <c r="C28" s="10">
        <f>VLOOKUP($A28,'After AUPUS'!$A$1:$J$20,5,0)-C4</f>
        <v>0</v>
      </c>
      <c r="D28" s="10">
        <f>VLOOKUP($A28,'After AUPUS'!$A$1:$J$20,6,0)-D4</f>
        <v>0</v>
      </c>
      <c r="E28" s="10">
        <f>VLOOKUP($A28,'After AUPUS'!$A$1:$J$20,7,0)-E4</f>
        <v>0</v>
      </c>
      <c r="F28" s="10">
        <f>VLOOKUP($A28,'After AUPUS'!$A$1:$J$20,8,0)-F4</f>
        <v>0</v>
      </c>
      <c r="G28" s="10">
        <f>VLOOKUP($A28,'After AUPUS'!$A$1:$J$20,9,0)-G4</f>
        <v>0</v>
      </c>
    </row>
    <row r="29" spans="1:9" x14ac:dyDescent="0.25">
      <c r="A29">
        <f t="shared" si="0"/>
        <v>58</v>
      </c>
      <c r="B29">
        <f>VLOOKUP($A29,'After AUPUS'!$A$1:$J$20,4,0)-B5</f>
        <v>0</v>
      </c>
      <c r="C29" s="10">
        <f>VLOOKUP($A29,'After AUPUS'!$A$1:$J$20,5,0)-C5</f>
        <v>0</v>
      </c>
      <c r="D29" s="10">
        <f>VLOOKUP($A29,'After AUPUS'!$A$1:$J$20,6,0)-D5</f>
        <v>0</v>
      </c>
      <c r="E29" s="10">
        <f>VLOOKUP($A29,'After AUPUS'!$A$1:$J$20,7,0)-E5</f>
        <v>0</v>
      </c>
      <c r="F29" s="10">
        <f>VLOOKUP($A29,'After AUPUS'!$A$1:$J$20,8,0)-F5</f>
        <v>0</v>
      </c>
      <c r="G29" s="10">
        <f>VLOOKUP($A29,'After AUPUS'!$A$1:$J$20,9,0)-G5</f>
        <v>0</v>
      </c>
    </row>
    <row r="30" spans="1:9" x14ac:dyDescent="0.25">
      <c r="A30">
        <f t="shared" si="0"/>
        <v>59</v>
      </c>
      <c r="B30">
        <f>VLOOKUP($A30,'After AUPUS'!$A$1:$J$20,4,0)-B6</f>
        <v>0</v>
      </c>
      <c r="C30" s="10">
        <f>VLOOKUP($A30,'After AUPUS'!$A$1:$J$20,5,0)-C6</f>
        <v>0</v>
      </c>
      <c r="D30" s="10">
        <f>VLOOKUP($A30,'After AUPUS'!$A$1:$J$20,6,0)-D6</f>
        <v>0</v>
      </c>
      <c r="E30" s="10">
        <f>VLOOKUP($A30,'After AUPUS'!$A$1:$J$20,7,0)-E6</f>
        <v>0</v>
      </c>
      <c r="F30" s="10">
        <f>VLOOKUP($A30,'After AUPUS'!$A$1:$J$20,8,0)-F6</f>
        <v>0</v>
      </c>
      <c r="G30" s="10">
        <f>VLOOKUP($A30,'After AUPUS'!$A$1:$J$20,9,0)-G6</f>
        <v>0</v>
      </c>
    </row>
    <row r="31" spans="1:9" x14ac:dyDescent="0.25">
      <c r="A31">
        <f t="shared" si="0"/>
        <v>60</v>
      </c>
      <c r="B31">
        <f>VLOOKUP($A31,'After AUPUS'!$A$1:$J$20,4,0)-B7</f>
        <v>0</v>
      </c>
      <c r="C31" s="10">
        <f>VLOOKUP($A31,'After AUPUS'!$A$1:$J$20,5,0)-C7</f>
        <v>0</v>
      </c>
      <c r="D31" s="10">
        <f>VLOOKUP($A31,'After AUPUS'!$A$1:$J$20,6,0)-D7</f>
        <v>0</v>
      </c>
      <c r="E31" s="10">
        <f>VLOOKUP($A31,'After AUPUS'!$A$1:$J$20,7,0)-E7</f>
        <v>0</v>
      </c>
      <c r="F31" s="10">
        <f>VLOOKUP($A31,'After AUPUS'!$A$1:$J$20,8,0)-F7</f>
        <v>0</v>
      </c>
      <c r="G31" s="10">
        <f>VLOOKUP($A31,'After AUPUS'!$A$1:$J$20,9,0)-G7</f>
        <v>0</v>
      </c>
    </row>
    <row r="32" spans="1:9" x14ac:dyDescent="0.25">
      <c r="A32">
        <f t="shared" si="0"/>
        <v>61</v>
      </c>
      <c r="B32">
        <f>VLOOKUP($A32,'After AUPUS'!$A$1:$J$20,4,0)-B8</f>
        <v>0</v>
      </c>
      <c r="C32" s="10">
        <f>VLOOKUP($A32,'After AUPUS'!$A$1:$J$20,5,0)-C8</f>
        <v>0</v>
      </c>
      <c r="D32" s="10">
        <f>VLOOKUP($A32,'After AUPUS'!$A$1:$J$20,6,0)-D8</f>
        <v>0</v>
      </c>
      <c r="E32" s="10">
        <f>VLOOKUP($A32,'After AUPUS'!$A$1:$J$20,7,0)-E8</f>
        <v>0</v>
      </c>
      <c r="F32" s="10">
        <f>VLOOKUP($A32,'After AUPUS'!$A$1:$J$20,8,0)-F8</f>
        <v>0</v>
      </c>
      <c r="G32" s="10">
        <f>VLOOKUP($A32,'After AUPUS'!$A$1:$J$20,9,0)-G8</f>
        <v>0</v>
      </c>
    </row>
    <row r="33" spans="1:7" x14ac:dyDescent="0.25">
      <c r="A33">
        <f t="shared" si="0"/>
        <v>63</v>
      </c>
      <c r="B33">
        <f>VLOOKUP($A33,'After AUPUS'!$A$1:$J$20,4,0)-B9</f>
        <v>0</v>
      </c>
      <c r="C33" s="10">
        <f>VLOOKUP($A33,'After AUPUS'!$A$1:$J$20,5,0)-C9</f>
        <v>-21788</v>
      </c>
      <c r="D33" s="10">
        <f>VLOOKUP($A33,'After AUPUS'!$A$1:$J$20,6,0)-D9</f>
        <v>-12875</v>
      </c>
      <c r="E33" s="10">
        <f>VLOOKUP($A33,'After AUPUS'!$A$1:$J$20,7,0)-E9</f>
        <v>-54078.755499999999</v>
      </c>
      <c r="F33" s="10">
        <f>VLOOKUP($A33,'After AUPUS'!$A$1:$J$20,8,0)-F9</f>
        <v>0</v>
      </c>
      <c r="G33" s="10">
        <f>VLOOKUP($A33,'After AUPUS'!$A$1:$J$20,9,0)-G9</f>
        <v>0</v>
      </c>
    </row>
    <row r="34" spans="1:7" x14ac:dyDescent="0.25">
      <c r="A34">
        <f t="shared" si="0"/>
        <v>64</v>
      </c>
      <c r="B34">
        <f>VLOOKUP($A34,'After AUPUS'!$A$1:$J$20,4,0)-B10</f>
        <v>0</v>
      </c>
      <c r="C34" s="10">
        <f>VLOOKUP($A34,'After AUPUS'!$A$1:$J$20,5,0)-C10</f>
        <v>0</v>
      </c>
      <c r="D34" s="10">
        <f>VLOOKUP($A34,'After AUPUS'!$A$1:$J$20,6,0)-D10</f>
        <v>0</v>
      </c>
      <c r="E34" s="10">
        <f>VLOOKUP($A34,'After AUPUS'!$A$1:$J$20,7,0)-E10</f>
        <v>0</v>
      </c>
      <c r="F34" s="10">
        <f>VLOOKUP($A34,'After AUPUS'!$A$1:$J$20,8,0)-F10</f>
        <v>0</v>
      </c>
      <c r="G34" s="10">
        <f>VLOOKUP($A34,'After AUPUS'!$A$1:$J$20,9,0)-G10</f>
        <v>0</v>
      </c>
    </row>
    <row r="35" spans="1:7" x14ac:dyDescent="0.25">
      <c r="A35">
        <f t="shared" si="0"/>
        <v>66</v>
      </c>
      <c r="B35">
        <f>VLOOKUP($A35,'After AUPUS'!$A$1:$J$20,4,0)-B11</f>
        <v>0</v>
      </c>
      <c r="C35" s="10">
        <f>VLOOKUP($A35,'After AUPUS'!$A$1:$J$20,5,0)-C11</f>
        <v>0</v>
      </c>
      <c r="D35" s="10">
        <f>VLOOKUP($A35,'After AUPUS'!$A$1:$J$20,6,0)-D11</f>
        <v>0</v>
      </c>
      <c r="E35" s="10">
        <f>VLOOKUP($A35,'After AUPUS'!$A$1:$J$20,7,0)-E11</f>
        <v>0</v>
      </c>
      <c r="F35" s="10">
        <f>VLOOKUP($A35,'After AUPUS'!$A$1:$J$20,8,0)-F11</f>
        <v>0</v>
      </c>
      <c r="G35" s="10">
        <f>VLOOKUP($A35,'After AUPUS'!$A$1:$J$20,9,0)-G11</f>
        <v>0</v>
      </c>
    </row>
    <row r="36" spans="1:7" x14ac:dyDescent="0.25">
      <c r="A36">
        <f t="shared" si="0"/>
        <v>113</v>
      </c>
      <c r="B36">
        <f>VLOOKUP($A36,'After AUPUS'!$A$1:$J$20,4,0)-B12</f>
        <v>0</v>
      </c>
      <c r="C36" s="10">
        <f>VLOOKUP($A36,'After AUPUS'!$A$1:$J$20,5,0)-C12</f>
        <v>0</v>
      </c>
      <c r="D36" s="10">
        <f>VLOOKUP($A36,'After AUPUS'!$A$1:$J$20,6,0)-D12</f>
        <v>0</v>
      </c>
      <c r="E36" s="10">
        <f>VLOOKUP($A36,'After AUPUS'!$A$1:$J$20,7,0)-E12</f>
        <v>0</v>
      </c>
      <c r="F36" s="10">
        <f>VLOOKUP($A36,'After AUPUS'!$A$1:$J$20,8,0)-F12</f>
        <v>0</v>
      </c>
      <c r="G36" s="10">
        <f>VLOOKUP($A36,'After AUPUS'!$A$1:$J$20,9,0)-G12</f>
        <v>0</v>
      </c>
    </row>
    <row r="37" spans="1:7" x14ac:dyDescent="0.25">
      <c r="A37">
        <f t="shared" si="0"/>
        <v>166</v>
      </c>
      <c r="B37">
        <f>VLOOKUP($A37,'After AUPUS'!$A$1:$J$20,4,0)-B13</f>
        <v>0</v>
      </c>
      <c r="C37" s="10">
        <f>VLOOKUP($A37,'After AUPUS'!$A$1:$J$20,5,0)-C13</f>
        <v>0</v>
      </c>
      <c r="D37" s="10">
        <f>VLOOKUP($A37,'After AUPUS'!$A$1:$J$20,6,0)-D13</f>
        <v>0</v>
      </c>
      <c r="E37" s="10">
        <f>VLOOKUP($A37,'After AUPUS'!$A$1:$J$20,7,0)-E13</f>
        <v>0</v>
      </c>
      <c r="F37" s="10">
        <f>VLOOKUP($A37,'After AUPUS'!$A$1:$J$20,8,0)-F13</f>
        <v>0</v>
      </c>
      <c r="G37" s="10">
        <f>VLOOKUP($A37,'After AUPUS'!$A$1:$J$20,9,0)-G13</f>
        <v>0</v>
      </c>
    </row>
    <row r="38" spans="1:7" x14ac:dyDescent="0.25">
      <c r="A38">
        <f t="shared" si="0"/>
        <v>172</v>
      </c>
      <c r="B38">
        <f>VLOOKUP($A38,'After AUPUS'!$A$1:$J$20,4,0)-B14</f>
        <v>0</v>
      </c>
      <c r="C38" s="10">
        <f>VLOOKUP($A38,'After AUPUS'!$A$1:$J$20,5,0)-C14</f>
        <v>-114482</v>
      </c>
      <c r="D38" s="10">
        <f>VLOOKUP($A38,'After AUPUS'!$A$1:$J$20,6,0)-D14</f>
        <v>-84218.75</v>
      </c>
      <c r="E38" s="10">
        <f>VLOOKUP($A38,'After AUPUS'!$A$1:$J$20,7,0)-E14</f>
        <v>0</v>
      </c>
      <c r="F38" s="10">
        <f>VLOOKUP($A38,'After AUPUS'!$A$1:$J$20,8,0)-F14</f>
        <v>0</v>
      </c>
      <c r="G38" s="10">
        <f>VLOOKUP($A38,'After AUPUS'!$A$1:$J$20,9,0)-G14</f>
        <v>0</v>
      </c>
    </row>
    <row r="39" spans="1:7" x14ac:dyDescent="0.25">
      <c r="A39">
        <f t="shared" si="0"/>
        <v>175</v>
      </c>
      <c r="B39">
        <f>VLOOKUP($A39,'After AUPUS'!$A$1:$J$20,4,0)-B15</f>
        <v>0</v>
      </c>
      <c r="C39" s="10">
        <f>VLOOKUP($A39,'After AUPUS'!$A$1:$J$20,5,0)-C15</f>
        <v>0</v>
      </c>
      <c r="D39" s="10">
        <f>VLOOKUP($A39,'After AUPUS'!$A$1:$J$20,6,0)-D15</f>
        <v>0</v>
      </c>
      <c r="E39" s="10">
        <f>VLOOKUP($A39,'After AUPUS'!$A$1:$J$20,7,0)-E15</f>
        <v>0</v>
      </c>
      <c r="F39" s="10">
        <f>VLOOKUP($A39,'After AUPUS'!$A$1:$J$20,8,0)-F15</f>
        <v>0</v>
      </c>
      <c r="G39" s="10">
        <f>VLOOKUP($A39,'After AUPUS'!$A$1:$J$20,9,0)-G15</f>
        <v>0</v>
      </c>
    </row>
    <row r="40" spans="1:7" x14ac:dyDescent="0.25">
      <c r="A40">
        <f t="shared" si="0"/>
        <v>632</v>
      </c>
      <c r="B40">
        <f>VLOOKUP($A40,'After AUPUS'!$A$1:$J$20,4,0)-B16</f>
        <v>0</v>
      </c>
      <c r="C40" s="10">
        <f>VLOOKUP($A40,'After AUPUS'!$A$1:$J$20,5,0)-C16</f>
        <v>0</v>
      </c>
      <c r="D40" s="10">
        <f>VLOOKUP($A40,'After AUPUS'!$A$1:$J$20,6,0)-D16</f>
        <v>0</v>
      </c>
      <c r="E40" s="10">
        <f>VLOOKUP($A40,'After AUPUS'!$A$1:$J$20,7,0)-E16</f>
        <v>0</v>
      </c>
      <c r="F40" s="10">
        <f>VLOOKUP($A40,'After AUPUS'!$A$1:$J$20,8,0)-F16</f>
        <v>0</v>
      </c>
      <c r="G40" s="10">
        <f>VLOOKUP($A40,'After AUPUS'!$A$1:$J$20,9,0)-G16</f>
        <v>0</v>
      </c>
    </row>
    <row r="41" spans="1:7" x14ac:dyDescent="0.25">
      <c r="A41">
        <f t="shared" si="0"/>
        <v>634</v>
      </c>
      <c r="B41">
        <f>VLOOKUP($A41,'After AUPUS'!$A$1:$J$20,4,0)-B17</f>
        <v>0</v>
      </c>
      <c r="C41" s="10">
        <f>VLOOKUP($A41,'After AUPUS'!$A$1:$J$20,5,0)-C17</f>
        <v>0</v>
      </c>
      <c r="D41" s="10">
        <f>VLOOKUP($A41,'After AUPUS'!$A$1:$J$20,6,0)-D17</f>
        <v>0</v>
      </c>
      <c r="E41" s="10">
        <f>VLOOKUP($A41,'After AUPUS'!$A$1:$J$20,7,0)-E17</f>
        <v>0</v>
      </c>
      <c r="F41" s="10">
        <f>VLOOKUP($A41,'After AUPUS'!$A$1:$J$20,8,0)-F17</f>
        <v>0</v>
      </c>
      <c r="G41" s="10">
        <f>VLOOKUP($A41,'After AUPUS'!$A$1:$J$20,9,0)-G17</f>
        <v>0</v>
      </c>
    </row>
    <row r="42" spans="1:7" x14ac:dyDescent="0.25">
      <c r="A42">
        <f t="shared" si="0"/>
        <v>654</v>
      </c>
      <c r="B42">
        <f>VLOOKUP($A42,'After AUPUS'!$A$1:$J$20,4,0)-B18</f>
        <v>0</v>
      </c>
      <c r="C42" s="10">
        <f>VLOOKUP($A42,'After AUPUS'!$A$1:$J$20,5,0)-C18</f>
        <v>0</v>
      </c>
      <c r="D42" s="10">
        <f>VLOOKUP($A42,'After AUPUS'!$A$1:$J$20,6,0)-D18</f>
        <v>0</v>
      </c>
      <c r="E42" s="10">
        <f>VLOOKUP($A42,'After AUPUS'!$A$1:$J$20,7,0)-E18</f>
        <v>0</v>
      </c>
      <c r="F42" s="10">
        <f>VLOOKUP($A42,'After AUPUS'!$A$1:$J$20,8,0)-F18</f>
        <v>0</v>
      </c>
      <c r="G42" s="10">
        <f>VLOOKUP($A42,'After AUPUS'!$A$1:$J$20,9,0)-G18</f>
        <v>0</v>
      </c>
    </row>
    <row r="43" spans="1:7" x14ac:dyDescent="0.25">
      <c r="A43">
        <f t="shared" si="0"/>
        <v>846</v>
      </c>
      <c r="B43">
        <f>VLOOKUP($A43,'After AUPUS'!$A$1:$J$20,4,0)-B19</f>
        <v>0</v>
      </c>
      <c r="C43" s="10">
        <f>VLOOKUP($A43,'After AUPUS'!$A$1:$J$20,5,0)-C19</f>
        <v>0</v>
      </c>
      <c r="D43" s="10">
        <f>VLOOKUP($A43,'After AUPUS'!$A$1:$J$20,6,0)-D19</f>
        <v>0</v>
      </c>
      <c r="E43" s="10">
        <f>VLOOKUP($A43,'After AUPUS'!$A$1:$J$20,7,0)-E19</f>
        <v>0</v>
      </c>
      <c r="F43" s="10">
        <f>VLOOKUP($A43,'After AUPUS'!$A$1:$J$20,8,0)-F19</f>
        <v>0</v>
      </c>
      <c r="G43" s="10">
        <f>VLOOKUP($A43,'After AUPUS'!$A$1:$J$20,9,0)-G19</f>
        <v>0</v>
      </c>
    </row>
    <row r="44" spans="1:7" x14ac:dyDescent="0.25">
      <c r="A44">
        <f t="shared" si="0"/>
        <v>1241</v>
      </c>
      <c r="B44">
        <f>VLOOKUP($A44,'After AUPUS'!$A$1:$J$20,4,0)-B20</f>
        <v>0</v>
      </c>
      <c r="C44" s="10">
        <f>VLOOKUP($A44,'After AUPUS'!$A$1:$J$20,5,0)-C20</f>
        <v>0</v>
      </c>
      <c r="D44" s="10">
        <f>VLOOKUP($A44,'After AUPUS'!$A$1:$J$20,6,0)-D20</f>
        <v>0</v>
      </c>
      <c r="E44" s="10">
        <f>VLOOKUP($A44,'After AUPUS'!$A$1:$J$20,7,0)-E20</f>
        <v>0</v>
      </c>
      <c r="F44" s="10">
        <f>VLOOKUP($A44,'After AUPUS'!$A$1:$J$20,8,0)-F20</f>
        <v>0</v>
      </c>
      <c r="G44" s="10">
        <f>VLOOKUP($A44,'After AUPUS'!$A$1:$J$20,9,0)-G20</f>
        <v>0</v>
      </c>
    </row>
    <row r="45" spans="1:7" x14ac:dyDescent="0.25">
      <c r="A45">
        <f t="shared" si="0"/>
        <v>1242</v>
      </c>
      <c r="B45" t="e">
        <f>VLOOKUP($A45,'After AUPUS'!$A$1:$J$20,4,0)-B21</f>
        <v>#N/A</v>
      </c>
      <c r="C45" t="e">
        <f>VLOOKUP($A45,'After AUPUS'!$A$1:$J$20,5,0)-C21</f>
        <v>#N/A</v>
      </c>
      <c r="D45" t="e">
        <f>VLOOKUP($A45,'After AUPUS'!$A$1:$J$20,6,0)-D21</f>
        <v>#N/A</v>
      </c>
      <c r="E45" t="e">
        <f>VLOOKUP($A45,'After AUPUS'!$A$1:$J$20,7,0)-E21</f>
        <v>#N/A</v>
      </c>
      <c r="F45" t="e">
        <f>VLOOKUP($A45,'After AUPUS'!$A$1:$J$20,8,0)-F21</f>
        <v>#N/A</v>
      </c>
      <c r="G45" t="e">
        <f>VLOOKUP($A45,'After AUPUS'!$A$1:$J$20,9,0)-G21</f>
        <v>#N/A</v>
      </c>
    </row>
    <row r="46" spans="1:7" x14ac:dyDescent="0.25">
      <c r="A46">
        <f t="shared" si="0"/>
        <v>1275</v>
      </c>
      <c r="B46" t="e">
        <f>VLOOKUP($A46,'After AUPUS'!$A$1:$J$20,4,0)-B22</f>
        <v>#N/A</v>
      </c>
      <c r="C46" t="e">
        <f>VLOOKUP($A46,'After AUPUS'!$A$1:$J$20,5,0)-C22</f>
        <v>#N/A</v>
      </c>
      <c r="D46" t="e">
        <f>VLOOKUP($A46,'After AUPUS'!$A$1:$J$20,6,0)-D22</f>
        <v>#N/A</v>
      </c>
      <c r="E46" t="e">
        <f>VLOOKUP($A46,'After AUPUS'!$A$1:$J$20,7,0)-E22</f>
        <v>#N/A</v>
      </c>
      <c r="F46" t="e">
        <f>VLOOKUP($A46,'After AUPUS'!$A$1:$J$20,8,0)-F22</f>
        <v>#N/A</v>
      </c>
      <c r="G46" t="e">
        <f>VLOOKUP($A46,'After AUPUS'!$A$1:$J$20,9,0)-G22</f>
        <v>#N/A</v>
      </c>
    </row>
    <row r="47" spans="1:7" x14ac:dyDescent="0.25">
      <c r="C47" s="10">
        <f>SUM(C26:C34)</f>
        <v>-53705.268499999773</v>
      </c>
      <c r="D47" s="10">
        <f>SUM(D26:D34)</f>
        <v>-230954.56949999998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I21" sqref="I21"/>
    </sheetView>
  </sheetViews>
  <sheetFormatPr defaultRowHeight="13.2" x14ac:dyDescent="0.25"/>
  <cols>
    <col min="1" max="1025" width="11.5546875"/>
  </cols>
  <sheetData>
    <row r="1" spans="1:9" x14ac:dyDescent="0.25">
      <c r="A1" t="s">
        <v>23</v>
      </c>
    </row>
    <row r="2" spans="1:9" x14ac:dyDescent="0.25">
      <c r="A2" t="s">
        <v>10</v>
      </c>
      <c r="B2" t="s">
        <v>11</v>
      </c>
      <c r="C2" t="s">
        <v>12</v>
      </c>
    </row>
    <row r="3" spans="1:9" x14ac:dyDescent="0.25">
      <c r="A3">
        <v>15</v>
      </c>
      <c r="B3">
        <v>41</v>
      </c>
      <c r="C3" s="10">
        <v>10000</v>
      </c>
      <c r="I3" s="6"/>
    </row>
    <row r="4" spans="1:9" x14ac:dyDescent="0.25">
      <c r="A4">
        <v>56</v>
      </c>
      <c r="B4">
        <v>58</v>
      </c>
      <c r="C4" s="10">
        <v>8499.7875053123698</v>
      </c>
      <c r="I4" s="6"/>
    </row>
    <row r="5" spans="1:9" x14ac:dyDescent="0.25">
      <c r="A5">
        <v>56</v>
      </c>
      <c r="B5">
        <v>64</v>
      </c>
      <c r="C5" s="10">
        <v>8499.7875053123698</v>
      </c>
      <c r="I5" s="6"/>
    </row>
    <row r="6" spans="1:9" x14ac:dyDescent="0.25">
      <c r="A6">
        <v>63</v>
      </c>
      <c r="B6">
        <v>846</v>
      </c>
      <c r="C6" s="10">
        <v>20000</v>
      </c>
      <c r="I6" s="6"/>
    </row>
    <row r="7" spans="1:9" x14ac:dyDescent="0.25">
      <c r="A7">
        <v>108</v>
      </c>
      <c r="B7">
        <v>113</v>
      </c>
      <c r="C7" s="10">
        <v>5999.8800023999502</v>
      </c>
      <c r="I7" s="6"/>
    </row>
    <row r="8" spans="1:9" x14ac:dyDescent="0.25">
      <c r="A8">
        <v>172</v>
      </c>
      <c r="B8">
        <v>175</v>
      </c>
      <c r="C8" s="10">
        <v>10000</v>
      </c>
      <c r="I8" s="6"/>
    </row>
    <row r="9" spans="1:9" x14ac:dyDescent="0.25">
      <c r="A9">
        <v>172</v>
      </c>
      <c r="B9">
        <v>633</v>
      </c>
      <c r="C9" s="10">
        <v>40000</v>
      </c>
      <c r="I9" s="6"/>
    </row>
    <row r="10" spans="1:9" x14ac:dyDescent="0.25">
      <c r="A10">
        <v>340</v>
      </c>
      <c r="B10">
        <v>1241</v>
      </c>
      <c r="C10" s="10">
        <v>10000</v>
      </c>
      <c r="I10" s="6"/>
    </row>
    <row r="11" spans="1:9" x14ac:dyDescent="0.25">
      <c r="A11">
        <v>340</v>
      </c>
      <c r="B11">
        <v>1242</v>
      </c>
      <c r="C11" s="10">
        <v>12000.480019200801</v>
      </c>
      <c r="I11" s="6"/>
    </row>
    <row r="12" spans="1:9" x14ac:dyDescent="0.25">
      <c r="A12">
        <v>340</v>
      </c>
      <c r="B12">
        <v>1275</v>
      </c>
      <c r="C12" s="10">
        <v>12000.480019200801</v>
      </c>
      <c r="I12" s="6"/>
    </row>
    <row r="13" spans="1:9" x14ac:dyDescent="0.25">
      <c r="A13" t="s">
        <v>17</v>
      </c>
      <c r="B13">
        <v>56</v>
      </c>
      <c r="C13" s="10">
        <v>10000</v>
      </c>
      <c r="I13" s="6"/>
    </row>
    <row r="14" spans="1:9" x14ac:dyDescent="0.25">
      <c r="A14" t="s">
        <v>18</v>
      </c>
      <c r="B14">
        <v>60</v>
      </c>
      <c r="C14" s="10">
        <v>10000</v>
      </c>
      <c r="I14" s="6"/>
    </row>
    <row r="16" spans="1:9" x14ac:dyDescent="0.25">
      <c r="A16" t="s">
        <v>24</v>
      </c>
    </row>
    <row r="17" spans="1:8" x14ac:dyDescent="0.25">
      <c r="A17" t="s">
        <v>10</v>
      </c>
      <c r="B17" t="s">
        <v>11</v>
      </c>
      <c r="C17" t="s">
        <v>12</v>
      </c>
      <c r="D17" t="s">
        <v>25</v>
      </c>
    </row>
    <row r="18" spans="1:8" x14ac:dyDescent="0.25">
      <c r="A18">
        <v>56</v>
      </c>
      <c r="B18">
        <v>57</v>
      </c>
      <c r="C18" s="10">
        <v>800</v>
      </c>
      <c r="D18">
        <v>92</v>
      </c>
    </row>
    <row r="19" spans="1:8" x14ac:dyDescent="0.25">
      <c r="A19">
        <v>56</v>
      </c>
      <c r="B19">
        <v>58</v>
      </c>
      <c r="C19" s="10">
        <v>7500</v>
      </c>
      <c r="D19">
        <v>92</v>
      </c>
      <c r="E19">
        <v>51166</v>
      </c>
      <c r="F19">
        <v>67055</v>
      </c>
      <c r="G19">
        <f>-E19+F19</f>
        <v>15889</v>
      </c>
      <c r="H19" s="10">
        <f>G19*D19/C19*100</f>
        <v>19490.506666666668</v>
      </c>
    </row>
    <row r="20" spans="1:8" x14ac:dyDescent="0.25">
      <c r="A20">
        <v>56</v>
      </c>
      <c r="B20">
        <v>59</v>
      </c>
      <c r="C20" s="10">
        <v>1600</v>
      </c>
      <c r="D20">
        <v>92</v>
      </c>
      <c r="E20">
        <v>2202366</v>
      </c>
      <c r="F20">
        <v>66411</v>
      </c>
      <c r="G20">
        <f t="shared" ref="G20:G37" si="0">-E20+F20</f>
        <v>-2135955</v>
      </c>
      <c r="H20" s="10">
        <f t="shared" ref="H20:H37" si="1">G20*D20/C20*100</f>
        <v>-12281741.25</v>
      </c>
    </row>
    <row r="21" spans="1:8" x14ac:dyDescent="0.25">
      <c r="A21">
        <v>56</v>
      </c>
      <c r="B21">
        <v>113</v>
      </c>
      <c r="C21" s="10">
        <v>10000</v>
      </c>
      <c r="D21">
        <v>3</v>
      </c>
      <c r="E21">
        <v>65487</v>
      </c>
      <c r="F21">
        <v>44</v>
      </c>
      <c r="G21">
        <f t="shared" si="0"/>
        <v>-65443</v>
      </c>
      <c r="H21" s="10">
        <f t="shared" si="1"/>
        <v>-1963.29</v>
      </c>
    </row>
    <row r="22" spans="1:8" x14ac:dyDescent="0.25">
      <c r="A22">
        <v>56</v>
      </c>
      <c r="B22">
        <v>632</v>
      </c>
      <c r="C22" s="10">
        <v>2500</v>
      </c>
      <c r="D22">
        <v>0</v>
      </c>
      <c r="E22">
        <v>11904</v>
      </c>
      <c r="F22">
        <v>130611</v>
      </c>
      <c r="G22">
        <f t="shared" si="0"/>
        <v>118707</v>
      </c>
      <c r="H22" s="10">
        <f t="shared" si="1"/>
        <v>0</v>
      </c>
    </row>
    <row r="23" spans="1:8" x14ac:dyDescent="0.25">
      <c r="A23">
        <v>56</v>
      </c>
      <c r="B23">
        <v>634</v>
      </c>
      <c r="C23" s="10">
        <v>3275.21326</v>
      </c>
      <c r="D23">
        <v>5</v>
      </c>
      <c r="E23">
        <v>2499</v>
      </c>
      <c r="F23">
        <v>2412</v>
      </c>
      <c r="G23">
        <f t="shared" si="0"/>
        <v>-87</v>
      </c>
      <c r="H23" s="10">
        <f t="shared" si="1"/>
        <v>-13.281577884183335</v>
      </c>
    </row>
    <row r="24" spans="1:8" x14ac:dyDescent="0.25">
      <c r="A24">
        <v>56</v>
      </c>
      <c r="B24">
        <v>654</v>
      </c>
      <c r="C24" s="10">
        <v>3000</v>
      </c>
      <c r="D24">
        <v>5</v>
      </c>
      <c r="E24">
        <v>32845</v>
      </c>
      <c r="F24">
        <v>17083</v>
      </c>
      <c r="G24">
        <f t="shared" si="0"/>
        <v>-15762</v>
      </c>
      <c r="H24" s="10">
        <f t="shared" si="1"/>
        <v>-2627</v>
      </c>
    </row>
    <row r="25" spans="1:8" x14ac:dyDescent="0.25">
      <c r="A25">
        <v>57</v>
      </c>
      <c r="B25">
        <v>60</v>
      </c>
      <c r="C25" s="10">
        <v>4599.7088800000001</v>
      </c>
      <c r="D25">
        <v>100</v>
      </c>
      <c r="E25">
        <v>556</v>
      </c>
      <c r="F25">
        <v>0</v>
      </c>
      <c r="G25">
        <f t="shared" si="0"/>
        <v>-556</v>
      </c>
      <c r="H25" s="10">
        <f t="shared" si="1"/>
        <v>-1208.7721516845213</v>
      </c>
    </row>
    <row r="26" spans="1:8" x14ac:dyDescent="0.25">
      <c r="A26">
        <v>57</v>
      </c>
      <c r="B26">
        <v>61</v>
      </c>
      <c r="C26" s="10">
        <v>4075.6914099999999</v>
      </c>
      <c r="D26">
        <v>100</v>
      </c>
      <c r="E26">
        <v>0</v>
      </c>
      <c r="F26">
        <v>0</v>
      </c>
      <c r="G26">
        <f t="shared" si="0"/>
        <v>0</v>
      </c>
      <c r="H26" s="10">
        <f t="shared" si="1"/>
        <v>0</v>
      </c>
    </row>
    <row r="27" spans="1:8" x14ac:dyDescent="0.25">
      <c r="A27">
        <v>58</v>
      </c>
      <c r="B27">
        <v>51</v>
      </c>
      <c r="C27" s="10">
        <v>61327.521399999998</v>
      </c>
      <c r="D27">
        <v>1</v>
      </c>
      <c r="E27">
        <v>15225</v>
      </c>
      <c r="F27">
        <v>54752</v>
      </c>
      <c r="G27">
        <f t="shared" si="0"/>
        <v>39527</v>
      </c>
      <c r="H27" s="10">
        <f t="shared" si="1"/>
        <v>64.452303138407942</v>
      </c>
    </row>
    <row r="28" spans="1:8" x14ac:dyDescent="0.25">
      <c r="A28">
        <v>58</v>
      </c>
      <c r="B28">
        <v>63</v>
      </c>
      <c r="C28" s="10">
        <v>1500</v>
      </c>
      <c r="D28">
        <v>99</v>
      </c>
      <c r="E28">
        <v>12377</v>
      </c>
      <c r="F28">
        <v>36660</v>
      </c>
      <c r="G28">
        <f t="shared" si="0"/>
        <v>24283</v>
      </c>
      <c r="H28" s="10">
        <f t="shared" si="1"/>
        <v>160267.80000000002</v>
      </c>
    </row>
    <row r="29" spans="1:8" x14ac:dyDescent="0.25">
      <c r="A29">
        <v>58</v>
      </c>
      <c r="B29">
        <v>64</v>
      </c>
      <c r="C29" s="10">
        <v>8000</v>
      </c>
      <c r="D29">
        <v>99</v>
      </c>
      <c r="E29">
        <v>896</v>
      </c>
      <c r="F29">
        <v>4345</v>
      </c>
      <c r="G29">
        <f t="shared" si="0"/>
        <v>3449</v>
      </c>
      <c r="H29" s="10">
        <f t="shared" si="1"/>
        <v>4268.1375000000007</v>
      </c>
    </row>
    <row r="30" spans="1:8" x14ac:dyDescent="0.25">
      <c r="A30">
        <v>58</v>
      </c>
      <c r="B30">
        <v>654</v>
      </c>
      <c r="C30" s="10">
        <v>3000</v>
      </c>
      <c r="D30">
        <v>1</v>
      </c>
      <c r="E30">
        <v>37475</v>
      </c>
      <c r="F30">
        <v>163425</v>
      </c>
      <c r="G30">
        <f t="shared" si="0"/>
        <v>125950</v>
      </c>
      <c r="H30" s="10">
        <f t="shared" si="1"/>
        <v>4198.333333333333</v>
      </c>
    </row>
    <row r="31" spans="1:8" x14ac:dyDescent="0.25">
      <c r="A31">
        <v>60</v>
      </c>
      <c r="B31">
        <v>1242</v>
      </c>
      <c r="C31" s="10">
        <v>10735.121999999999</v>
      </c>
      <c r="D31">
        <v>0</v>
      </c>
      <c r="E31">
        <v>31176</v>
      </c>
      <c r="F31">
        <v>27307</v>
      </c>
      <c r="G31">
        <f t="shared" si="0"/>
        <v>-3869</v>
      </c>
      <c r="H31" s="10">
        <f t="shared" si="1"/>
        <v>0</v>
      </c>
    </row>
    <row r="32" spans="1:8" x14ac:dyDescent="0.25">
      <c r="A32">
        <v>63</v>
      </c>
      <c r="B32">
        <v>846</v>
      </c>
      <c r="C32" s="10">
        <v>10000</v>
      </c>
      <c r="D32">
        <v>100</v>
      </c>
      <c r="E32">
        <v>170855</v>
      </c>
      <c r="F32">
        <v>36203</v>
      </c>
      <c r="G32">
        <f t="shared" si="0"/>
        <v>-134652</v>
      </c>
      <c r="H32" s="10">
        <f t="shared" si="1"/>
        <v>-134652</v>
      </c>
    </row>
    <row r="33" spans="1:8" x14ac:dyDescent="0.25">
      <c r="A33">
        <v>64</v>
      </c>
      <c r="B33">
        <v>172</v>
      </c>
      <c r="C33" s="10">
        <v>10855.263199999999</v>
      </c>
      <c r="D33">
        <v>100</v>
      </c>
      <c r="E33">
        <v>91375</v>
      </c>
      <c r="F33">
        <v>164870</v>
      </c>
      <c r="G33">
        <f t="shared" si="0"/>
        <v>73495</v>
      </c>
      <c r="H33" s="10">
        <f t="shared" si="1"/>
        <v>67704.484585873506</v>
      </c>
    </row>
    <row r="34" spans="1:8" x14ac:dyDescent="0.25">
      <c r="A34">
        <v>172</v>
      </c>
      <c r="B34">
        <v>168</v>
      </c>
      <c r="C34" s="10">
        <v>10000</v>
      </c>
      <c r="D34">
        <v>0</v>
      </c>
      <c r="E34">
        <v>148111</v>
      </c>
      <c r="F34">
        <v>4514</v>
      </c>
      <c r="G34">
        <f t="shared" si="0"/>
        <v>-143597</v>
      </c>
      <c r="H34" s="10">
        <f t="shared" si="1"/>
        <v>0</v>
      </c>
    </row>
    <row r="35" spans="1:8" x14ac:dyDescent="0.25">
      <c r="A35">
        <v>172</v>
      </c>
      <c r="B35">
        <v>175</v>
      </c>
      <c r="C35" s="10">
        <v>10000</v>
      </c>
      <c r="D35">
        <v>10</v>
      </c>
      <c r="E35">
        <v>43576</v>
      </c>
      <c r="F35">
        <v>25750</v>
      </c>
      <c r="G35">
        <f t="shared" si="0"/>
        <v>-17826</v>
      </c>
      <c r="H35" s="10">
        <f t="shared" si="1"/>
        <v>-1782.6000000000001</v>
      </c>
    </row>
    <row r="36" spans="1:8" x14ac:dyDescent="0.25">
      <c r="A36">
        <v>172</v>
      </c>
      <c r="B36">
        <v>633</v>
      </c>
      <c r="C36" s="10">
        <v>50000</v>
      </c>
      <c r="D36">
        <v>90</v>
      </c>
      <c r="E36">
        <v>41456</v>
      </c>
      <c r="F36">
        <v>38834</v>
      </c>
      <c r="G36">
        <f t="shared" si="0"/>
        <v>-2622</v>
      </c>
      <c r="H36" s="10">
        <f t="shared" si="1"/>
        <v>-471.96</v>
      </c>
    </row>
    <row r="37" spans="1:8" x14ac:dyDescent="0.25">
      <c r="A37">
        <v>1275</v>
      </c>
      <c r="B37">
        <v>1242</v>
      </c>
      <c r="C37" s="10">
        <v>10735.121999999999</v>
      </c>
      <c r="D37">
        <v>100</v>
      </c>
      <c r="E37">
        <v>72651</v>
      </c>
      <c r="F37">
        <v>8789</v>
      </c>
      <c r="G37">
        <f t="shared" si="0"/>
        <v>-63862</v>
      </c>
      <c r="H37" s="10">
        <f t="shared" si="1"/>
        <v>-59488.844188263531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After AUPUS</vt:lpstr>
      <vt:lpstr>After Standardization</vt:lpstr>
      <vt:lpstr>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Browning</dc:creator>
  <cp:lastModifiedBy>JS</cp:lastModifiedBy>
  <cp:revision>0</cp:revision>
  <dcterms:created xsi:type="dcterms:W3CDTF">2015-06-04T03:58:11Z</dcterms:created>
  <dcterms:modified xsi:type="dcterms:W3CDTF">2015-06-07T11:41:56Z</dcterms:modified>
  <dc:language>en-US</dc:language>
</cp:coreProperties>
</file>