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580"/>
  </bookViews>
  <sheets>
    <sheet name="Abilities" sheetId="4" r:id="rId1"/>
    <sheet name="Level Table" sheetId="3" r:id="rId2"/>
    <sheet name="Annihilation" sheetId="7" r:id="rId3"/>
    <sheet name="Carnage" sheetId="9" r:id="rId4"/>
    <sheet name="Rage" sheetId="11" r:id="rId5"/>
  </sheets>
  <calcPr calcId="125725"/>
</workbook>
</file>

<file path=xl/calcChain.xml><?xml version="1.0" encoding="utf-8"?>
<calcChain xmlns="http://schemas.openxmlformats.org/spreadsheetml/2006/main">
  <c r="N26" i="9"/>
  <c r="N25"/>
  <c r="N24"/>
  <c r="N23"/>
  <c r="N21"/>
  <c r="N20"/>
  <c r="N17"/>
  <c r="N15"/>
  <c r="N10"/>
  <c r="N8"/>
  <c r="N9" s="1"/>
  <c r="N7"/>
  <c r="N6"/>
  <c r="N5"/>
  <c r="N4"/>
  <c r="N3"/>
  <c r="D6"/>
  <c r="C19"/>
  <c r="C28"/>
  <c r="C27"/>
  <c r="C26"/>
  <c r="C25"/>
  <c r="C24"/>
  <c r="C23"/>
  <c r="C21"/>
  <c r="C20"/>
  <c r="C18"/>
  <c r="C17"/>
  <c r="C16"/>
  <c r="C15"/>
  <c r="C14"/>
  <c r="C13"/>
  <c r="C12"/>
  <c r="C11"/>
  <c r="C10"/>
  <c r="C9"/>
  <c r="C8"/>
  <c r="C7"/>
  <c r="C6"/>
  <c r="C5"/>
  <c r="C4"/>
  <c r="C3"/>
  <c r="C22"/>
  <c r="F13"/>
  <c r="C3" i="7"/>
  <c r="F13"/>
  <c r="N41"/>
  <c r="N39"/>
  <c r="N40" s="1"/>
  <c r="N38"/>
  <c r="N37"/>
  <c r="N35"/>
  <c r="N32"/>
  <c r="N33" s="1"/>
  <c r="N31"/>
  <c r="N29"/>
  <c r="N28"/>
  <c r="N27"/>
  <c r="N26"/>
  <c r="N25"/>
  <c r="N22"/>
  <c r="N23" s="1"/>
  <c r="N24" s="1"/>
  <c r="N21"/>
  <c r="N20"/>
  <c r="N19"/>
  <c r="N17"/>
  <c r="N16"/>
  <c r="N15"/>
  <c r="N14"/>
  <c r="N12"/>
  <c r="N10"/>
  <c r="N11" s="1"/>
  <c r="N9"/>
  <c r="N8"/>
  <c r="N7"/>
  <c r="N6"/>
  <c r="N5"/>
  <c r="N3"/>
  <c r="N4"/>
  <c r="H18"/>
  <c r="H13"/>
  <c r="M47" i="4"/>
  <c r="M46"/>
  <c r="M78"/>
  <c r="M63"/>
  <c r="M62"/>
  <c r="M53"/>
  <c r="M48"/>
  <c r="M45"/>
  <c r="M44"/>
  <c r="M80"/>
  <c r="M79"/>
  <c r="M77"/>
  <c r="M76"/>
  <c r="M75"/>
  <c r="M74"/>
  <c r="M73"/>
  <c r="M72"/>
  <c r="M71"/>
  <c r="M70"/>
  <c r="M69"/>
  <c r="M68"/>
  <c r="M67"/>
  <c r="M66"/>
  <c r="M65"/>
  <c r="M64"/>
  <c r="M61"/>
  <c r="M60"/>
  <c r="M59"/>
  <c r="M58"/>
  <c r="M57"/>
  <c r="M56"/>
  <c r="M55"/>
  <c r="M54"/>
  <c r="M52"/>
  <c r="M51"/>
  <c r="M50"/>
  <c r="M49"/>
  <c r="M43"/>
  <c r="M42"/>
  <c r="M39"/>
  <c r="M38"/>
  <c r="M37"/>
  <c r="M36"/>
  <c r="M35"/>
  <c r="M34"/>
  <c r="M33"/>
  <c r="M32"/>
  <c r="M31"/>
  <c r="M30"/>
  <c r="C20" i="7"/>
  <c r="C21"/>
  <c r="C22"/>
  <c r="C23"/>
  <c r="C24"/>
  <c r="C25"/>
  <c r="C26"/>
  <c r="C27"/>
  <c r="C28"/>
  <c r="C15"/>
  <c r="C16"/>
  <c r="C17"/>
  <c r="C19"/>
  <c r="C14"/>
  <c r="C4"/>
  <c r="C5"/>
  <c r="C6"/>
  <c r="C7"/>
  <c r="C8"/>
  <c r="C9"/>
  <c r="C10"/>
  <c r="C11"/>
  <c r="C12"/>
  <c r="C18"/>
  <c r="C13"/>
  <c r="I41" i="4"/>
  <c r="H41"/>
  <c r="G41"/>
  <c r="M41" s="1"/>
  <c r="I40"/>
  <c r="H40"/>
  <c r="G40"/>
  <c r="M40" s="1"/>
  <c r="L78"/>
  <c r="L80"/>
  <c r="L79"/>
  <c r="L77"/>
  <c r="L76"/>
  <c r="L75"/>
  <c r="L74"/>
  <c r="L73"/>
  <c r="L72"/>
  <c r="L71"/>
  <c r="L70"/>
  <c r="N11" i="9" l="1"/>
  <c r="N12" s="1"/>
  <c r="N13" s="1"/>
  <c r="N14" s="1"/>
  <c r="N18" i="7"/>
  <c r="N16" i="9" l="1"/>
  <c r="N13" i="7"/>
  <c r="N18" i="9" l="1"/>
  <c r="N19" s="1"/>
  <c r="J80" i="4"/>
  <c r="N80" s="1"/>
  <c r="J79"/>
  <c r="N79" s="1"/>
  <c r="J78"/>
  <c r="N78" s="1"/>
  <c r="J77"/>
  <c r="N77" s="1"/>
  <c r="J76"/>
  <c r="N76" s="1"/>
  <c r="J75"/>
  <c r="N75" s="1"/>
  <c r="J74"/>
  <c r="N74" s="1"/>
  <c r="J73"/>
  <c r="N73" s="1"/>
  <c r="J72"/>
  <c r="N72" s="1"/>
  <c r="J71"/>
  <c r="N71" s="1"/>
  <c r="J70"/>
  <c r="N70" s="1"/>
  <c r="L69"/>
  <c r="J69"/>
  <c r="N69" s="1"/>
  <c r="L68"/>
  <c r="J68"/>
  <c r="N68" s="1"/>
  <c r="L67"/>
  <c r="J67"/>
  <c r="N67" s="1"/>
  <c r="L66"/>
  <c r="J66"/>
  <c r="N66" s="1"/>
  <c r="L65"/>
  <c r="J65"/>
  <c r="N65" s="1"/>
  <c r="L64"/>
  <c r="J64"/>
  <c r="N64" s="1"/>
  <c r="L63"/>
  <c r="J63"/>
  <c r="N63" s="1"/>
  <c r="L62"/>
  <c r="J62"/>
  <c r="N62" s="1"/>
  <c r="L61"/>
  <c r="J61"/>
  <c r="N61" s="1"/>
  <c r="L60"/>
  <c r="J60"/>
  <c r="N60" s="1"/>
  <c r="L59"/>
  <c r="J59"/>
  <c r="N59" s="1"/>
  <c r="L58"/>
  <c r="J58"/>
  <c r="N58" s="1"/>
  <c r="L57"/>
  <c r="J57"/>
  <c r="N57" s="1"/>
  <c r="L56"/>
  <c r="J56"/>
  <c r="N56" s="1"/>
  <c r="L55"/>
  <c r="J55"/>
  <c r="N55" s="1"/>
  <c r="L54"/>
  <c r="J54"/>
  <c r="N54" s="1"/>
  <c r="L53"/>
  <c r="J53"/>
  <c r="N53" s="1"/>
  <c r="L52"/>
  <c r="J52"/>
  <c r="N52" s="1"/>
  <c r="L51"/>
  <c r="J51"/>
  <c r="N51" s="1"/>
  <c r="L50"/>
  <c r="J50"/>
  <c r="N50" s="1"/>
  <c r="L49"/>
  <c r="J49"/>
  <c r="N49" s="1"/>
  <c r="L48"/>
  <c r="J48"/>
  <c r="N48" s="1"/>
  <c r="L47"/>
  <c r="J47"/>
  <c r="N47" s="1"/>
  <c r="L46"/>
  <c r="J46"/>
  <c r="N46" s="1"/>
  <c r="L45"/>
  <c r="J45"/>
  <c r="N45" s="1"/>
  <c r="L44"/>
  <c r="J44"/>
  <c r="N44" s="1"/>
  <c r="J43"/>
  <c r="J42"/>
  <c r="J41"/>
  <c r="J40"/>
  <c r="L39"/>
  <c r="J39"/>
  <c r="N39" s="1"/>
  <c r="L38"/>
  <c r="J38"/>
  <c r="N38" s="1"/>
  <c r="L37"/>
  <c r="J37"/>
  <c r="N37" s="1"/>
  <c r="L36"/>
  <c r="J36"/>
  <c r="N36" s="1"/>
  <c r="L35"/>
  <c r="J35"/>
  <c r="N35" s="1"/>
  <c r="L34"/>
  <c r="J34"/>
  <c r="N34" s="1"/>
  <c r="L33"/>
  <c r="J33"/>
  <c r="N33" s="1"/>
  <c r="L32"/>
  <c r="J32"/>
  <c r="N32" s="1"/>
  <c r="L31"/>
  <c r="J31"/>
  <c r="N31" s="1"/>
  <c r="L30"/>
  <c r="J30"/>
  <c r="N30" s="1"/>
  <c r="B10"/>
  <c r="B8"/>
  <c r="B6"/>
  <c r="B4"/>
  <c r="B3"/>
  <c r="N22" i="9" l="1"/>
  <c r="N27" s="1"/>
  <c r="N28" s="1"/>
  <c r="N29" s="1"/>
  <c r="N30" s="1"/>
  <c r="N31" s="1"/>
  <c r="N32" s="1"/>
  <c r="N33" s="1"/>
  <c r="N34" s="1"/>
  <c r="N35" s="1"/>
  <c r="L41" i="4"/>
  <c r="N42"/>
  <c r="N43"/>
  <c r="B24"/>
  <c r="K80" s="1"/>
  <c r="B25"/>
  <c r="N40"/>
  <c r="N41"/>
  <c r="L43"/>
  <c r="K68"/>
  <c r="O68" s="1"/>
  <c r="P68" s="1"/>
  <c r="K66"/>
  <c r="O66" s="1"/>
  <c r="P66" s="1"/>
  <c r="K64"/>
  <c r="O64" s="1"/>
  <c r="P64" s="1"/>
  <c r="K60"/>
  <c r="O60" s="1"/>
  <c r="P60" s="1"/>
  <c r="K42"/>
  <c r="O42" s="1"/>
  <c r="K40"/>
  <c r="O40" s="1"/>
  <c r="K38"/>
  <c r="O38" s="1"/>
  <c r="P38" s="1"/>
  <c r="K34"/>
  <c r="O34" s="1"/>
  <c r="P34" s="1"/>
  <c r="O80"/>
  <c r="P80" s="1"/>
  <c r="K79"/>
  <c r="O79" s="1"/>
  <c r="P79" s="1"/>
  <c r="K69"/>
  <c r="O69" s="1"/>
  <c r="P69" s="1"/>
  <c r="K67"/>
  <c r="O67" s="1"/>
  <c r="P67" s="1"/>
  <c r="K65"/>
  <c r="O65" s="1"/>
  <c r="P65" s="1"/>
  <c r="K61"/>
  <c r="O61" s="1"/>
  <c r="P61" s="1"/>
  <c r="K57"/>
  <c r="O57" s="1"/>
  <c r="P57" s="1"/>
  <c r="K56"/>
  <c r="O56" s="1"/>
  <c r="P56" s="1"/>
  <c r="K55"/>
  <c r="O55" s="1"/>
  <c r="P55" s="1"/>
  <c r="K54"/>
  <c r="O54" s="1"/>
  <c r="P54" s="1"/>
  <c r="K52"/>
  <c r="O52" s="1"/>
  <c r="P52" s="1"/>
  <c r="K51"/>
  <c r="O51" s="1"/>
  <c r="P51" s="1"/>
  <c r="K50"/>
  <c r="O50" s="1"/>
  <c r="P50" s="1"/>
  <c r="K49"/>
  <c r="O49" s="1"/>
  <c r="P49" s="1"/>
  <c r="K47"/>
  <c r="O47" s="1"/>
  <c r="P47" s="1"/>
  <c r="K46"/>
  <c r="O46" s="1"/>
  <c r="P46" s="1"/>
  <c r="K45"/>
  <c r="O45" s="1"/>
  <c r="P45" s="1"/>
  <c r="K44"/>
  <c r="O44" s="1"/>
  <c r="P44" s="1"/>
  <c r="K43"/>
  <c r="O43" s="1"/>
  <c r="K41"/>
  <c r="O41" s="1"/>
  <c r="K39"/>
  <c r="O39" s="1"/>
  <c r="P39" s="1"/>
  <c r="K35"/>
  <c r="O35" s="1"/>
  <c r="P35" s="1"/>
  <c r="K31"/>
  <c r="O31" s="1"/>
  <c r="P31" s="1"/>
  <c r="B20"/>
  <c r="K30"/>
  <c r="O30" s="1"/>
  <c r="P30" s="1"/>
  <c r="B21"/>
  <c r="K62"/>
  <c r="O62" s="1"/>
  <c r="P62" s="1"/>
  <c r="Q62" s="1"/>
  <c r="B18" i="9" s="1"/>
  <c r="G18" s="1"/>
  <c r="K58" i="4"/>
  <c r="O58" s="1"/>
  <c r="P58" s="1"/>
  <c r="K48"/>
  <c r="O48" s="1"/>
  <c r="P48" s="1"/>
  <c r="K36"/>
  <c r="O36" s="1"/>
  <c r="P36" s="1"/>
  <c r="K32"/>
  <c r="O32" s="1"/>
  <c r="P32" s="1"/>
  <c r="K78"/>
  <c r="O78" s="1"/>
  <c r="P78" s="1"/>
  <c r="Q78" s="1"/>
  <c r="K77"/>
  <c r="O77" s="1"/>
  <c r="P77" s="1"/>
  <c r="K76"/>
  <c r="O76" s="1"/>
  <c r="P76" s="1"/>
  <c r="K75"/>
  <c r="O75" s="1"/>
  <c r="P75" s="1"/>
  <c r="K74"/>
  <c r="O74" s="1"/>
  <c r="P74" s="1"/>
  <c r="K73"/>
  <c r="O73" s="1"/>
  <c r="P73" s="1"/>
  <c r="K72"/>
  <c r="O72" s="1"/>
  <c r="P72" s="1"/>
  <c r="K71"/>
  <c r="O71" s="1"/>
  <c r="P71" s="1"/>
  <c r="K70"/>
  <c r="O70" s="1"/>
  <c r="P70" s="1"/>
  <c r="K63"/>
  <c r="O63" s="1"/>
  <c r="K59"/>
  <c r="O59" s="1"/>
  <c r="P59" s="1"/>
  <c r="K53"/>
  <c r="O53" s="1"/>
  <c r="P53" s="1"/>
  <c r="K37"/>
  <c r="O37" s="1"/>
  <c r="P37" s="1"/>
  <c r="K33"/>
  <c r="O33" s="1"/>
  <c r="P33" s="1"/>
  <c r="L40"/>
  <c r="P40" s="1"/>
  <c r="L42"/>
  <c r="P42" l="1"/>
  <c r="B27" i="7"/>
  <c r="G27" s="1"/>
  <c r="B27" i="9"/>
  <c r="G27" s="1"/>
  <c r="Q70" i="4"/>
  <c r="Q72"/>
  <c r="Q74"/>
  <c r="Q76"/>
  <c r="N30" i="7"/>
  <c r="B18"/>
  <c r="G18" s="1"/>
  <c r="Q79" i="4"/>
  <c r="B22"/>
  <c r="B23"/>
  <c r="P43"/>
  <c r="Q48"/>
  <c r="Q30"/>
  <c r="P41"/>
  <c r="P63"/>
  <c r="Q63" s="1"/>
  <c r="Q44"/>
  <c r="Q46"/>
  <c r="Q49"/>
  <c r="Q51"/>
  <c r="B13" i="9" s="1"/>
  <c r="G13" s="1"/>
  <c r="Q54" i="4"/>
  <c r="Q56"/>
  <c r="Q36"/>
  <c r="Q34"/>
  <c r="Q32"/>
  <c r="Q38"/>
  <c r="Q68"/>
  <c r="Q66"/>
  <c r="Q64"/>
  <c r="Q60"/>
  <c r="Q58"/>
  <c r="Q40" l="1"/>
  <c r="B17" i="7"/>
  <c r="G17" s="1"/>
  <c r="B17" i="9"/>
  <c r="G17" s="1"/>
  <c r="B7" i="7"/>
  <c r="G7" s="1"/>
  <c r="B7" i="9"/>
  <c r="G7" s="1"/>
  <c r="B16" i="7"/>
  <c r="G16" s="1"/>
  <c r="B16" i="9"/>
  <c r="G16" s="1"/>
  <c r="B20" i="7"/>
  <c r="G20" s="1"/>
  <c r="B20" i="9"/>
  <c r="G20" s="1"/>
  <c r="B22" i="7"/>
  <c r="G22" s="1"/>
  <c r="B22" i="9"/>
  <c r="B4" i="7"/>
  <c r="G4" s="1"/>
  <c r="B4" i="9"/>
  <c r="G4" s="1"/>
  <c r="B6" i="7"/>
  <c r="G6" s="1"/>
  <c r="B6" i="9"/>
  <c r="G6" s="1"/>
  <c r="B14" i="7"/>
  <c r="G14" s="1"/>
  <c r="B14" i="9"/>
  <c r="G14" s="1"/>
  <c r="B12" i="7"/>
  <c r="G12" s="1"/>
  <c r="B12" i="9"/>
  <c r="G12" s="1"/>
  <c r="B9" i="7"/>
  <c r="G9" s="1"/>
  <c r="B9" i="9"/>
  <c r="G9" s="1"/>
  <c r="B8" i="7"/>
  <c r="G8" s="1"/>
  <c r="B8" i="9"/>
  <c r="G8" s="1"/>
  <c r="B11" i="7"/>
  <c r="G11" s="1"/>
  <c r="B11" i="9"/>
  <c r="G11" s="1"/>
  <c r="B28" i="7"/>
  <c r="G28" s="1"/>
  <c r="B28" i="9"/>
  <c r="G28" s="1"/>
  <c r="B25" i="7"/>
  <c r="G25" s="1"/>
  <c r="B25" i="9"/>
  <c r="G25" s="1"/>
  <c r="B23" i="7"/>
  <c r="G23" s="1"/>
  <c r="B23" i="9"/>
  <c r="G23" s="1"/>
  <c r="B21" i="7"/>
  <c r="G21" s="1"/>
  <c r="B21" i="9"/>
  <c r="G21" s="1"/>
  <c r="B5" i="7"/>
  <c r="G5" s="1"/>
  <c r="B5" i="9"/>
  <c r="G5" s="1"/>
  <c r="B15" i="7"/>
  <c r="G15" s="1"/>
  <c r="B15" i="9"/>
  <c r="G15" s="1"/>
  <c r="B10" i="7"/>
  <c r="G10" s="1"/>
  <c r="B10" i="9"/>
  <c r="G10" s="1"/>
  <c r="B19" i="7"/>
  <c r="G19" s="1"/>
  <c r="B19" i="9"/>
  <c r="G19" s="1"/>
  <c r="G22" s="1"/>
  <c r="B3" i="7"/>
  <c r="G3" s="1"/>
  <c r="B3" i="9"/>
  <c r="G3" s="1"/>
  <c r="B30" s="1"/>
  <c r="K20" s="1"/>
  <c r="B26" i="7"/>
  <c r="G26" s="1"/>
  <c r="B26" i="9"/>
  <c r="G26" s="1"/>
  <c r="B24" i="7"/>
  <c r="G24" s="1"/>
  <c r="B24" i="9"/>
  <c r="G24" s="1"/>
  <c r="K24" s="1"/>
  <c r="B30" i="7"/>
  <c r="K27" s="1"/>
  <c r="B13"/>
  <c r="G13" s="1"/>
  <c r="K26" i="9" l="1"/>
  <c r="K27"/>
  <c r="K13"/>
  <c r="K22"/>
  <c r="K15"/>
  <c r="K5"/>
  <c r="K21"/>
  <c r="K23"/>
  <c r="K25"/>
  <c r="K28"/>
  <c r="K8"/>
  <c r="K12"/>
  <c r="K14"/>
  <c r="K6"/>
  <c r="K4"/>
  <c r="E30"/>
  <c r="K16"/>
  <c r="K7"/>
  <c r="K17"/>
  <c r="K14" i="7"/>
  <c r="K6"/>
  <c r="K20"/>
  <c r="K4"/>
  <c r="K8"/>
  <c r="K16"/>
  <c r="K24"/>
  <c r="K22"/>
  <c r="K28"/>
  <c r="K26"/>
  <c r="K7"/>
  <c r="K5"/>
  <c r="K15"/>
  <c r="K21"/>
  <c r="K25"/>
  <c r="K12"/>
  <c r="K17"/>
  <c r="K23"/>
  <c r="E30"/>
  <c r="K13"/>
  <c r="N36"/>
</calcChain>
</file>

<file path=xl/comments1.xml><?xml version="1.0" encoding="utf-8"?>
<comments xmlns="http://schemas.openxmlformats.org/spreadsheetml/2006/main">
  <authors>
    <author>Administrator</author>
  </authors>
  <commentList>
    <comment ref="B29" authorId="0">
      <text>
        <r>
          <rPr>
            <b/>
            <sz val="8"/>
            <color indexed="81"/>
            <rFont val="Tahoma"/>
            <family val="2"/>
          </rPr>
          <t>This is the level the ability is first avaliable, NOT the character level</t>
        </r>
      </text>
    </comment>
    <comment ref="C29" authorId="0">
      <text>
        <r>
          <rPr>
            <b/>
            <sz val="8"/>
            <color indexed="81"/>
            <rFont val="Tahoma"/>
            <family val="2"/>
          </rPr>
          <t>Does this attack use the main hand? 1 or 0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Does this attack use the off hand? 1 or 0</t>
        </r>
      </text>
    </comment>
    <comment ref="E29" authorId="0">
      <text>
        <r>
          <rPr>
            <b/>
            <sz val="8"/>
            <color indexed="81"/>
            <rFont val="Tahoma"/>
            <family val="2"/>
          </rPr>
          <t>A tooptip may show X damage over Y seconds, but the coefficients are always per tick</t>
        </r>
      </text>
    </comment>
    <comment ref="F29" authorId="0">
      <text>
        <r>
          <rPr>
            <b/>
            <sz val="8"/>
            <color indexed="81"/>
            <rFont val="Tahoma"/>
            <family val="2"/>
          </rPr>
          <t>I the attack melee or force?</t>
        </r>
      </text>
    </comment>
    <comment ref="J29" authorId="0">
      <text>
        <r>
          <rPr>
            <b/>
            <sz val="8"/>
            <color indexed="81"/>
            <rFont val="Tahoma"/>
            <family val="2"/>
          </rPr>
          <t>This value is lookup up on the damage per level table in the next tab</t>
        </r>
      </text>
    </comment>
    <comment ref="M29" authorId="0">
      <text>
        <r>
          <rPr>
            <b/>
            <sz val="8"/>
            <color indexed="81"/>
            <rFont val="Tahoma"/>
            <charset val="1"/>
          </rPr>
          <t>I've calculated the off-hand values with the dual-weilding specialisation talent and +20% accuracy</t>
        </r>
      </text>
    </comment>
    <comment ref="P29" authorId="0">
      <text>
        <r>
          <rPr>
            <b/>
            <sz val="8"/>
            <color indexed="81"/>
            <rFont val="Tahoma"/>
            <family val="2"/>
          </rPr>
          <t>This damage is not modified by crit, armor or anything else. The wont match tooptip damage because I've added accuracy and the dual-weild specialistation talent to the off-hand damage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b/>
            <sz val="8"/>
            <color indexed="81"/>
            <rFont val="Tahoma"/>
            <charset val="1"/>
          </rPr>
          <t>I've put in the 3% accuracy from Ataru form as a 3% damage bonus, which is lazy I admit</t>
        </r>
      </text>
    </comment>
  </commentList>
</comments>
</file>

<file path=xl/sharedStrings.xml><?xml version="1.0" encoding="utf-8"?>
<sst xmlns="http://schemas.openxmlformats.org/spreadsheetml/2006/main" count="348" uniqueCount="164">
  <si>
    <t>Force Power</t>
  </si>
  <si>
    <t>Force Power Force Damage Bonus</t>
  </si>
  <si>
    <t>Buffs and Skills</t>
  </si>
  <si>
    <t>Damage (Primary) Min</t>
  </si>
  <si>
    <t>Damage (Primary) Max</t>
  </si>
  <si>
    <t>LvL Trained</t>
  </si>
  <si>
    <t>Damage Type</t>
  </si>
  <si>
    <t>StdHealth</t>
  </si>
  <si>
    <t>Coef</t>
  </si>
  <si>
    <t>Force</t>
  </si>
  <si>
    <t>Melee</t>
  </si>
  <si>
    <t>-</t>
  </si>
  <si>
    <t>Main Hand Weapon Min</t>
  </si>
  <si>
    <t>Main Hand Weapon Max</t>
  </si>
  <si>
    <t>Off Hand Weapon Min</t>
  </si>
  <si>
    <t>Off Hand Weapon Max</t>
  </si>
  <si>
    <t>Main Hand Weapon Force Power</t>
  </si>
  <si>
    <t>Main Hand Rating</t>
  </si>
  <si>
    <t>Off Hand Weapon Force Power</t>
  </si>
  <si>
    <t>Off Hand Rating</t>
  </si>
  <si>
    <t>Damage (Secondary) Min</t>
  </si>
  <si>
    <t>Damage (Secondary) Max</t>
  </si>
  <si>
    <t>Assault Min</t>
  </si>
  <si>
    <t>Assault Max</t>
  </si>
  <si>
    <t>Force Choke</t>
  </si>
  <si>
    <t>Annihilate Min</t>
  </si>
  <si>
    <t>Annihilate Max</t>
  </si>
  <si>
    <t>Deadly Saber</t>
  </si>
  <si>
    <t>Ataru Form</t>
  </si>
  <si>
    <t>Gore Min</t>
  </si>
  <si>
    <t>Gore Max</t>
  </si>
  <si>
    <t>Obliterate Min</t>
  </si>
  <si>
    <t>Obliterate Max</t>
  </si>
  <si>
    <t>Force Crush DoT</t>
  </si>
  <si>
    <t>AMod</t>
  </si>
  <si>
    <t>Bonus</t>
  </si>
  <si>
    <t>MH?</t>
  </si>
  <si>
    <t>OH?</t>
  </si>
  <si>
    <t>MH Dam</t>
  </si>
  <si>
    <t>OH Dam</t>
  </si>
  <si>
    <t>Std Dam</t>
  </si>
  <si>
    <t>Bonus Dam</t>
  </si>
  <si>
    <t>Total</t>
  </si>
  <si>
    <t>Force Crush End</t>
  </si>
  <si>
    <t>Ticks</t>
  </si>
  <si>
    <t>Massacre</t>
  </si>
  <si>
    <t>Vicious Slash 10 Min</t>
  </si>
  <si>
    <t>Vicious Slash 10 Max</t>
  </si>
  <si>
    <t>Force Charge 9 Min</t>
  </si>
  <si>
    <t>Force Charge 9 Max</t>
  </si>
  <si>
    <t>Smash 8 Min</t>
  </si>
  <si>
    <t>Smash 8 Max</t>
  </si>
  <si>
    <t>Retaliation 8 Min</t>
  </si>
  <si>
    <t>Retaliation 8 Max</t>
  </si>
  <si>
    <t>Force Scream 8 Min</t>
  </si>
  <si>
    <t xml:space="preserve">Force Scream 8 Max </t>
  </si>
  <si>
    <t>Ravage 7 Min 1</t>
  </si>
  <si>
    <t>Ravage 7 Min 2</t>
  </si>
  <si>
    <t>Ravage 7 Max 1</t>
  </si>
  <si>
    <t>Ravage 7 Max 2</t>
  </si>
  <si>
    <t>Force Choke 4</t>
  </si>
  <si>
    <t>Pomel Strike 3 Weak Min</t>
  </si>
  <si>
    <t>Pomel Strike 3 Weak Max</t>
  </si>
  <si>
    <t>Pomel Strike 3 Strong Min</t>
  </si>
  <si>
    <t>Pomel Strike 3 Strong Max</t>
  </si>
  <si>
    <t>Sweeping Slash 3 Min</t>
  </si>
  <si>
    <t>Sweeping Slash 3 Max</t>
  </si>
  <si>
    <t>Savage Kick 2 Weak Min</t>
  </si>
  <si>
    <t>Savage Kick 2 Weak Max</t>
  </si>
  <si>
    <t>Savage Kick 2 Strong Min</t>
  </si>
  <si>
    <t>Savage Kick 2 Strong Max</t>
  </si>
  <si>
    <t>Vicious Throw 2 Min</t>
  </si>
  <si>
    <t>Vicious Throw 2 Max</t>
  </si>
  <si>
    <t>Battering Assault 7 Min</t>
  </si>
  <si>
    <t>Battering Assault 7 Max</t>
  </si>
  <si>
    <t>Cloak of Pain 7</t>
  </si>
  <si>
    <t>Rupture 5 Min</t>
  </si>
  <si>
    <t>Rupture 5 Max</t>
  </si>
  <si>
    <t>Rupture 5 DoT</t>
  </si>
  <si>
    <t>Wounding Throw 4 Min</t>
  </si>
  <si>
    <t>Wounding Throw 4 Max</t>
  </si>
  <si>
    <t>Crippling Slash 4 Min</t>
  </si>
  <si>
    <t>Crippling Slash 4 Max</t>
  </si>
  <si>
    <t>Crit %</t>
  </si>
  <si>
    <t>Crit Bonus</t>
  </si>
  <si>
    <t>Cooldown</t>
  </si>
  <si>
    <t>Rage</t>
  </si>
  <si>
    <t>Duration</t>
  </si>
  <si>
    <t>Force Charge</t>
  </si>
  <si>
    <t>Smash</t>
  </si>
  <si>
    <t>Vicious Slash</t>
  </si>
  <si>
    <t>Force Scream</t>
  </si>
  <si>
    <t>Retaliation</t>
  </si>
  <si>
    <t>Ravage</t>
  </si>
  <si>
    <t>Assault</t>
  </si>
  <si>
    <t>Battering Assault</t>
  </si>
  <si>
    <t>Sweeping Slash</t>
  </si>
  <si>
    <t>Rupture</t>
  </si>
  <si>
    <t>Vicious Throw</t>
  </si>
  <si>
    <t>Crippling Slash</t>
  </si>
  <si>
    <t>Force Crush</t>
  </si>
  <si>
    <t>Annihilate</t>
  </si>
  <si>
    <t>Gore</t>
  </si>
  <si>
    <t>Obliterate</t>
  </si>
  <si>
    <t>Charge</t>
  </si>
  <si>
    <t>Scream</t>
  </si>
  <si>
    <t>BA</t>
  </si>
  <si>
    <t>Av D/GCD</t>
  </si>
  <si>
    <t>D/GCD</t>
  </si>
  <si>
    <t>DS</t>
  </si>
  <si>
    <t>VS</t>
  </si>
  <si>
    <t>Yes</t>
  </si>
  <si>
    <t>No</t>
  </si>
  <si>
    <t>D Bonus</t>
  </si>
  <si>
    <t>Crit Damage Bonus</t>
  </si>
  <si>
    <t>DR</t>
  </si>
  <si>
    <t>D/Rage</t>
  </si>
  <si>
    <t>Pomel Strike</t>
  </si>
  <si>
    <t>Savage Kick</t>
  </si>
  <si>
    <t>Cloak of Pain</t>
  </si>
  <si>
    <t>Wounding Throw</t>
  </si>
  <si>
    <t>0 Rage D/GCD</t>
  </si>
  <si>
    <t>Rupture + DS</t>
  </si>
  <si>
    <t>VS + DS</t>
  </si>
  <si>
    <t>Assault + DS</t>
  </si>
  <si>
    <t>DPS</t>
  </si>
  <si>
    <t>Melee/Ranged Damage Bonus</t>
  </si>
  <si>
    <t>Force/Tech Damage Bonus</t>
  </si>
  <si>
    <t>Berserk</t>
  </si>
  <si>
    <t>Annihilation Marauder</t>
  </si>
  <si>
    <t>Carnage Marauder</t>
  </si>
  <si>
    <t>Gore + Berserk</t>
  </si>
  <si>
    <t>The represent the best gear he found there, i.e. Top level raid gear.</t>
  </si>
  <si>
    <t>Total Damage</t>
  </si>
  <si>
    <t>Made a mistake here because DS is not on the GCD, so I added an extra VS into the total damage. I know that's cheating but I couldn't be assed redoing the whole rotation</t>
  </si>
  <si>
    <t>To be completed!</t>
  </si>
  <si>
    <t>Level</t>
  </si>
  <si>
    <t>Damage</t>
  </si>
  <si>
    <t>Level 50 theoretical Marauder</t>
  </si>
  <si>
    <t>These character stats were assembled by roofie using gear in the game client</t>
  </si>
  <si>
    <t>Strength</t>
  </si>
  <si>
    <t>Melee Damage Bonus</t>
  </si>
  <si>
    <t>Force Damage Bonus</t>
  </si>
  <si>
    <t>Willpower</t>
  </si>
  <si>
    <t>Attack Power</t>
  </si>
  <si>
    <t>Attack Power Damage Bonus</t>
  </si>
  <si>
    <t>The purpose of this spreadhseet is to compile accurate ability data and then</t>
  </si>
  <si>
    <t>make rough calculations from it. I've fudged the off-hand damage a bit to represent</t>
  </si>
  <si>
    <t>with *0.66*0.77 and instead put *0.3, the Total Damage column should exactly match</t>
  </si>
  <si>
    <t>it's accuracy after gear and talents. If you change those formulas from ending</t>
  </si>
  <si>
    <t>The tabs used to work out rotations are rough, just to give me an idea of the damage</t>
  </si>
  <si>
    <t>not calculate it to the point.</t>
  </si>
  <si>
    <t>tooltip damage of the ability (or the tooltip damage divided by the number of ticks).</t>
  </si>
  <si>
    <t>Ravage, Assault and Battering Assault are a bit more confusing than</t>
  </si>
  <si>
    <t>the average attack so I'm only 80% certain they are accurate.</t>
  </si>
  <si>
    <t>coefficient for the second two, but that results in much higher</t>
  </si>
  <si>
    <t>damage than the observed amount. This coefficient over 3 ticks</t>
  </si>
  <si>
    <t>gives the primary + secondary damage from the character sheet,</t>
  </si>
  <si>
    <t>which I believe is standard for free flurry attacks</t>
  </si>
  <si>
    <r>
      <rPr>
        <b/>
        <sz val="11"/>
        <rFont val="Calibri"/>
        <family val="2"/>
        <scheme val="minor"/>
      </rPr>
      <t>Assault</t>
    </r>
    <r>
      <rPr>
        <sz val="11"/>
        <rFont val="Calibri"/>
        <family val="2"/>
        <scheme val="minor"/>
      </rPr>
      <t xml:space="preserve"> show's this coefficient for 1 attack and then a much higher</t>
    </r>
  </si>
  <si>
    <r>
      <t>Batting Assault</t>
    </r>
    <r>
      <rPr>
        <sz val="11"/>
        <rFont val="Calibri"/>
        <family val="2"/>
        <scheme val="minor"/>
      </rPr>
      <t xml:space="preserve"> seems to have a higher amountmodifierpercent for</t>
    </r>
  </si>
  <si>
    <t>the off-hand than it does for the main hand, which I have not seen on</t>
  </si>
  <si>
    <t>which seems logical.</t>
  </si>
  <si>
    <t>any other attack. This does however make it's damage match Assault's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</si>
</sst>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right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right"/>
    </xf>
    <xf numFmtId="0" fontId="0" fillId="7" borderId="0" xfId="0" applyFill="1" applyAlignment="1">
      <alignment horizontal="center"/>
    </xf>
    <xf numFmtId="0" fontId="1" fillId="8" borderId="0" xfId="0" applyFont="1" applyFill="1" applyAlignment="1">
      <alignment horizontal="righ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9" borderId="0" xfId="0" applyNumberFormat="1" applyFill="1" applyAlignment="1">
      <alignment horizontal="center"/>
    </xf>
    <xf numFmtId="0" fontId="1" fillId="10" borderId="0" xfId="0" applyFont="1" applyFill="1" applyAlignment="1">
      <alignment horizontal="right"/>
    </xf>
    <xf numFmtId="0" fontId="0" fillId="10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0" borderId="0" xfId="0" applyNumberFormat="1" applyFill="1" applyAlignment="1">
      <alignment horizontal="center"/>
    </xf>
    <xf numFmtId="0" fontId="3" fillId="9" borderId="0" xfId="0" applyFont="1" applyFill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9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64" fontId="3" fillId="10" borderId="1" xfId="0" applyNumberFormat="1" applyFont="1" applyFill="1" applyBorder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10" borderId="1" xfId="0" quotePrefix="1" applyNumberFormat="1" applyFont="1" applyFill="1" applyBorder="1" applyAlignment="1">
      <alignment horizontal="center"/>
    </xf>
    <xf numFmtId="164" fontId="3" fillId="9" borderId="1" xfId="0" quotePrefix="1" applyNumberFormat="1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64" fontId="3" fillId="9" borderId="0" xfId="0" quotePrefix="1" applyNumberFormat="1" applyFont="1" applyFill="1" applyAlignment="1">
      <alignment horizontal="center"/>
    </xf>
    <xf numFmtId="164" fontId="3" fillId="10" borderId="0" xfId="0" quotePrefix="1" applyNumberFormat="1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1" fillId="11" borderId="0" xfId="0" applyFont="1" applyFill="1" applyAlignment="1">
      <alignment horizontal="right"/>
    </xf>
    <xf numFmtId="0" fontId="0" fillId="11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4" fillId="9" borderId="0" xfId="0" applyFont="1" applyFill="1" applyAlignment="1">
      <alignment horizontal="right"/>
    </xf>
    <xf numFmtId="0" fontId="4" fillId="10" borderId="0" xfId="0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3" fillId="0" borderId="0" xfId="0" quotePrefix="1" applyNumberFormat="1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Fill="1" applyBorder="1" applyAlignment="1">
      <alignment horizontal="center"/>
    </xf>
    <xf numFmtId="0" fontId="3" fillId="0" borderId="0" xfId="0" applyFont="1" applyFill="1"/>
    <xf numFmtId="0" fontId="0" fillId="10" borderId="1" xfId="0" applyNumberFormat="1" applyFill="1" applyBorder="1" applyAlignment="1">
      <alignment horizontal="center"/>
    </xf>
    <xf numFmtId="165" fontId="0" fillId="10" borderId="0" xfId="0" applyNumberFormat="1" applyFill="1" applyAlignment="1">
      <alignment horizontal="center"/>
    </xf>
    <xf numFmtId="2" fontId="0" fillId="10" borderId="1" xfId="0" applyNumberFormat="1" applyFill="1" applyBorder="1" applyAlignment="1">
      <alignment horizontal="center"/>
    </xf>
    <xf numFmtId="2" fontId="0" fillId="10" borderId="0" xfId="0" applyNumberFormat="1" applyFill="1" applyAlignment="1">
      <alignment horizontal="center"/>
    </xf>
    <xf numFmtId="0" fontId="0" fillId="9" borderId="1" xfId="0" applyNumberFormat="1" applyFill="1" applyBorder="1" applyAlignment="1">
      <alignment horizontal="center"/>
    </xf>
    <xf numFmtId="165" fontId="0" fillId="9" borderId="0" xfId="0" applyNumberFormat="1" applyFill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9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Fill="1" applyAlignment="1">
      <alignment horizontal="right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8" fillId="10" borderId="0" xfId="0" applyFont="1" applyFill="1" applyAlignment="1">
      <alignment horizontal="right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8" fillId="9" borderId="0" xfId="0" applyFont="1" applyFill="1" applyAlignment="1">
      <alignment horizontal="right"/>
    </xf>
    <xf numFmtId="0" fontId="7" fillId="13" borderId="0" xfId="2" applyAlignment="1">
      <alignment horizontal="center"/>
    </xf>
    <xf numFmtId="0" fontId="6" fillId="12" borderId="0" xfId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10" fillId="12" borderId="0" xfId="1" applyFont="1" applyAlignment="1">
      <alignment horizontal="left"/>
    </xf>
    <xf numFmtId="0" fontId="0" fillId="0" borderId="0" xfId="0" applyFont="1" applyAlignment="1">
      <alignment horizontal="right"/>
    </xf>
    <xf numFmtId="165" fontId="10" fillId="12" borderId="0" xfId="1" applyNumberFormat="1" applyFont="1" applyAlignment="1">
      <alignment horizontal="right"/>
    </xf>
    <xf numFmtId="0" fontId="11" fillId="0" borderId="0" xfId="0" applyFont="1"/>
    <xf numFmtId="1" fontId="0" fillId="10" borderId="1" xfId="0" applyNumberFormat="1" applyFill="1" applyBorder="1" applyAlignment="1">
      <alignment horizontal="center"/>
    </xf>
    <xf numFmtId="1" fontId="0" fillId="10" borderId="0" xfId="0" applyNumberFormat="1" applyFill="1" applyAlignment="1">
      <alignment horizontal="center"/>
    </xf>
    <xf numFmtId="0" fontId="0" fillId="10" borderId="0" xfId="0" applyFill="1"/>
    <xf numFmtId="0" fontId="11" fillId="0" borderId="0" xfId="0" applyFont="1" applyAlignment="1">
      <alignment horizontal="left"/>
    </xf>
    <xf numFmtId="1" fontId="0" fillId="9" borderId="1" xfId="0" applyNumberFormat="1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/>
    <xf numFmtId="0" fontId="3" fillId="0" borderId="0" xfId="0" applyFont="1"/>
    <xf numFmtId="164" fontId="3" fillId="0" borderId="0" xfId="0" applyNumberFormat="1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0"/>
  <sheetViews>
    <sheetView tabSelected="1" zoomScaleNormal="100" workbookViewId="0"/>
  </sheetViews>
  <sheetFormatPr defaultRowHeight="15"/>
  <cols>
    <col min="1" max="1" width="31.42578125" bestFit="1" customWidth="1"/>
    <col min="2" max="2" width="10.5703125" customWidth="1"/>
    <col min="3" max="4" width="4.85546875" customWidth="1"/>
    <col min="5" max="5" width="5.28515625" bestFit="1" customWidth="1"/>
    <col min="6" max="6" width="12.85546875" style="16" bestFit="1" customWidth="1"/>
    <col min="7" max="7" width="7.7109375" customWidth="1"/>
    <col min="8" max="8" width="9.7109375" bestFit="1" customWidth="1"/>
    <col min="9" max="9" width="5.5703125" bestFit="1" customWidth="1"/>
    <col min="10" max="10" width="9.7109375" bestFit="1" customWidth="1"/>
    <col min="11" max="11" width="8.42578125" bestFit="1" customWidth="1"/>
    <col min="12" max="12" width="8.5703125" bestFit="1" customWidth="1"/>
    <col min="13" max="13" width="8.140625" bestFit="1" customWidth="1"/>
    <col min="14" max="14" width="8.28515625" bestFit="1" customWidth="1"/>
    <col min="15" max="15" width="10.85546875" bestFit="1" customWidth="1"/>
    <col min="16" max="16" width="13.140625" bestFit="1" customWidth="1"/>
    <col min="18" max="18" width="9.7109375" bestFit="1" customWidth="1"/>
    <col min="19" max="19" width="22" bestFit="1" customWidth="1"/>
    <col min="21" max="21" width="10" bestFit="1" customWidth="1"/>
  </cols>
  <sheetData>
    <row r="1" spans="1:10">
      <c r="A1" s="43" t="s">
        <v>138</v>
      </c>
      <c r="B1" s="1"/>
    </row>
    <row r="2" spans="1:10">
      <c r="A2" s="2" t="s">
        <v>140</v>
      </c>
      <c r="B2" s="3">
        <v>1850</v>
      </c>
      <c r="D2" s="94" t="s">
        <v>139</v>
      </c>
    </row>
    <row r="3" spans="1:10">
      <c r="A3" s="2" t="s">
        <v>141</v>
      </c>
      <c r="B3" s="3">
        <f>B2*0.2</f>
        <v>370</v>
      </c>
      <c r="D3" s="94" t="s">
        <v>132</v>
      </c>
    </row>
    <row r="4" spans="1:10">
      <c r="A4" s="2" t="s">
        <v>142</v>
      </c>
      <c r="B4" s="3">
        <f>B2*0.2</f>
        <v>370</v>
      </c>
    </row>
    <row r="5" spans="1:10">
      <c r="A5" s="4" t="s">
        <v>143</v>
      </c>
      <c r="B5" s="5">
        <v>245</v>
      </c>
      <c r="D5" t="s">
        <v>146</v>
      </c>
    </row>
    <row r="6" spans="1:10">
      <c r="A6" s="4" t="s">
        <v>142</v>
      </c>
      <c r="B6" s="5">
        <f>B5*0.2</f>
        <v>49</v>
      </c>
      <c r="D6" t="s">
        <v>147</v>
      </c>
    </row>
    <row r="7" spans="1:10">
      <c r="A7" s="6" t="s">
        <v>144</v>
      </c>
      <c r="B7" s="7">
        <v>561</v>
      </c>
      <c r="D7" t="s">
        <v>149</v>
      </c>
    </row>
    <row r="8" spans="1:10">
      <c r="A8" s="6" t="s">
        <v>145</v>
      </c>
      <c r="B8" s="7">
        <f>B7*0.24</f>
        <v>134.63999999999999</v>
      </c>
      <c r="D8" t="s">
        <v>148</v>
      </c>
    </row>
    <row r="9" spans="1:10">
      <c r="A9" s="8" t="s">
        <v>0</v>
      </c>
      <c r="B9" s="9">
        <v>1014</v>
      </c>
      <c r="D9" t="s">
        <v>152</v>
      </c>
    </row>
    <row r="10" spans="1:10">
      <c r="A10" s="8" t="s">
        <v>1</v>
      </c>
      <c r="B10" s="9">
        <f>B9*0.23</f>
        <v>233.22</v>
      </c>
      <c r="D10" t="s">
        <v>150</v>
      </c>
    </row>
    <row r="11" spans="1:10">
      <c r="A11" s="10" t="s">
        <v>2</v>
      </c>
      <c r="B11" s="11">
        <v>0</v>
      </c>
      <c r="D11" t="s">
        <v>151</v>
      </c>
    </row>
    <row r="12" spans="1:10">
      <c r="A12" s="12" t="s">
        <v>12</v>
      </c>
      <c r="B12" s="13">
        <v>300</v>
      </c>
    </row>
    <row r="13" spans="1:10">
      <c r="A13" s="12" t="s">
        <v>13</v>
      </c>
      <c r="B13" s="13">
        <v>422</v>
      </c>
    </row>
    <row r="14" spans="1:10" hidden="1">
      <c r="A14" s="12" t="s">
        <v>16</v>
      </c>
      <c r="B14" s="13"/>
    </row>
    <row r="15" spans="1:10" hidden="1">
      <c r="A15" s="12" t="s">
        <v>17</v>
      </c>
      <c r="B15" s="13"/>
    </row>
    <row r="16" spans="1:10">
      <c r="A16" s="41" t="s">
        <v>14</v>
      </c>
      <c r="B16" s="42">
        <v>300</v>
      </c>
      <c r="I16" s="39"/>
      <c r="J16" s="40"/>
    </row>
    <row r="17" spans="1:24">
      <c r="A17" s="41" t="s">
        <v>15</v>
      </c>
      <c r="B17" s="42">
        <v>422</v>
      </c>
      <c r="I17" s="39"/>
      <c r="J17" s="40"/>
    </row>
    <row r="18" spans="1:24" hidden="1">
      <c r="A18" s="41" t="s">
        <v>18</v>
      </c>
      <c r="B18" s="42"/>
    </row>
    <row r="19" spans="1:24" hidden="1">
      <c r="A19" s="41" t="s">
        <v>19</v>
      </c>
      <c r="B19" s="42"/>
    </row>
    <row r="20" spans="1:24">
      <c r="A20" s="14" t="s">
        <v>3</v>
      </c>
      <c r="B20" s="15">
        <f>B12+B24</f>
        <v>804.64</v>
      </c>
    </row>
    <row r="21" spans="1:24">
      <c r="A21" s="14" t="s">
        <v>4</v>
      </c>
      <c r="B21" s="15">
        <f>B13+B24</f>
        <v>926.64</v>
      </c>
    </row>
    <row r="22" spans="1:24">
      <c r="A22" s="14" t="s">
        <v>20</v>
      </c>
      <c r="B22" s="15">
        <f>(B16+B24)*0.3</f>
        <v>241.392</v>
      </c>
      <c r="R22" s="52"/>
      <c r="S22" s="52"/>
    </row>
    <row r="23" spans="1:24">
      <c r="A23" s="14" t="s">
        <v>21</v>
      </c>
      <c r="B23" s="15">
        <f>(B17+B24)*0.3</f>
        <v>277.99199999999996</v>
      </c>
      <c r="R23" s="52"/>
      <c r="S23" s="52"/>
    </row>
    <row r="24" spans="1:24">
      <c r="A24" s="14" t="s">
        <v>126</v>
      </c>
      <c r="B24" s="15">
        <f>B3+B8</f>
        <v>504.64</v>
      </c>
      <c r="R24" s="52"/>
      <c r="S24" s="52"/>
    </row>
    <row r="25" spans="1:24">
      <c r="A25" s="14" t="s">
        <v>127</v>
      </c>
      <c r="B25" s="15">
        <f>B4+B6+B8+B10</f>
        <v>786.86</v>
      </c>
      <c r="R25" s="52"/>
      <c r="S25" s="52"/>
    </row>
    <row r="26" spans="1:24">
      <c r="A26" s="14" t="s">
        <v>83</v>
      </c>
      <c r="B26" s="15">
        <v>26.16</v>
      </c>
      <c r="R26" s="52"/>
      <c r="S26" s="52"/>
    </row>
    <row r="27" spans="1:24">
      <c r="A27" s="14" t="s">
        <v>84</v>
      </c>
      <c r="B27" s="15">
        <v>0.5</v>
      </c>
      <c r="R27" s="52"/>
      <c r="S27" s="52"/>
    </row>
    <row r="28" spans="1:24">
      <c r="I28" s="16"/>
      <c r="R28" s="52"/>
      <c r="S28" s="52"/>
    </row>
    <row r="29" spans="1:24">
      <c r="A29" s="67"/>
      <c r="B29" s="50" t="s">
        <v>5</v>
      </c>
      <c r="C29" s="50" t="s">
        <v>36</v>
      </c>
      <c r="D29" s="1" t="s">
        <v>37</v>
      </c>
      <c r="E29" s="1" t="s">
        <v>44</v>
      </c>
      <c r="F29" s="1" t="s">
        <v>6</v>
      </c>
      <c r="G29" s="1" t="s">
        <v>34</v>
      </c>
      <c r="H29" s="1" t="s">
        <v>7</v>
      </c>
      <c r="I29" s="1" t="s">
        <v>8</v>
      </c>
      <c r="J29" s="49" t="s">
        <v>7</v>
      </c>
      <c r="K29" s="51" t="s">
        <v>35</v>
      </c>
      <c r="L29" s="51" t="s">
        <v>38</v>
      </c>
      <c r="M29" s="51" t="s">
        <v>39</v>
      </c>
      <c r="N29" s="51" t="s">
        <v>40</v>
      </c>
      <c r="O29" s="51" t="s">
        <v>41</v>
      </c>
      <c r="P29" s="51" t="s">
        <v>133</v>
      </c>
      <c r="Q29" s="51" t="s">
        <v>107</v>
      </c>
    </row>
    <row r="30" spans="1:24">
      <c r="A30" s="45" t="s">
        <v>48</v>
      </c>
      <c r="B30" s="24">
        <v>49</v>
      </c>
      <c r="C30" s="24">
        <v>1</v>
      </c>
      <c r="D30" s="24">
        <v>0</v>
      </c>
      <c r="E30" s="24">
        <v>1</v>
      </c>
      <c r="F30" s="23" t="s">
        <v>10</v>
      </c>
      <c r="G30" s="25">
        <v>-0.38999998600000002</v>
      </c>
      <c r="H30" s="26">
        <v>9.0999999999999998E-2</v>
      </c>
      <c r="I30" s="26">
        <v>0.91000002599999996</v>
      </c>
      <c r="J30" s="53">
        <f>VLOOKUP($B30, 'Level Table'!$A$2:$B$51, 2)</f>
        <v>1575</v>
      </c>
      <c r="K30" s="54">
        <f t="shared" ref="K30:K59" si="0">IF($F30="melee",$B$24,$B$25)</f>
        <v>504.64</v>
      </c>
      <c r="L30" s="55">
        <f>$C30*$B$12*(1+$G30)</f>
        <v>183.00000419999998</v>
      </c>
      <c r="M30" s="56">
        <f>$D30*$B$16*(1+$G30)*0.66*0.77</f>
        <v>0</v>
      </c>
      <c r="N30" s="56">
        <f t="shared" ref="N30:N80" si="1">$J30*$H30</f>
        <v>143.32499999999999</v>
      </c>
      <c r="O30" s="56">
        <f t="shared" ref="O30:O80" si="2">$K30*$I30</f>
        <v>459.22241312063994</v>
      </c>
      <c r="P30" s="87">
        <f>(L30+M30+N30+O30)*E30</f>
        <v>785.54741732063985</v>
      </c>
      <c r="Q30" s="88">
        <f>(P30+P31)/2</f>
        <v>822.75741817463984</v>
      </c>
      <c r="R30" s="47"/>
      <c r="S30" s="62"/>
      <c r="T30" s="63"/>
      <c r="U30" s="46"/>
      <c r="V30" s="46"/>
      <c r="W30" s="46"/>
      <c r="X30" s="46"/>
    </row>
    <row r="31" spans="1:24">
      <c r="A31" s="45" t="s">
        <v>49</v>
      </c>
      <c r="B31" s="24">
        <v>49</v>
      </c>
      <c r="C31" s="24">
        <v>1</v>
      </c>
      <c r="D31" s="24">
        <v>0</v>
      </c>
      <c r="E31" s="24">
        <v>1</v>
      </c>
      <c r="F31" s="23" t="s">
        <v>10</v>
      </c>
      <c r="G31" s="25">
        <v>-0.38999998600000002</v>
      </c>
      <c r="H31" s="26">
        <v>9.0999999999999998E-2</v>
      </c>
      <c r="I31" s="26">
        <v>0.91000002599999996</v>
      </c>
      <c r="J31" s="53">
        <f>VLOOKUP($B31, 'Level Table'!$A$2:$B$51, 2)</f>
        <v>1575</v>
      </c>
      <c r="K31" s="54">
        <f t="shared" si="0"/>
        <v>504.64</v>
      </c>
      <c r="L31" s="55">
        <f>$C31*$B$13*(1+$G31)</f>
        <v>257.42000590799995</v>
      </c>
      <c r="M31" s="56">
        <f>$D31*$B$17*(1+$G31)*0.66*0.77</f>
        <v>0</v>
      </c>
      <c r="N31" s="56">
        <f t="shared" si="1"/>
        <v>143.32499999999999</v>
      </c>
      <c r="O31" s="56">
        <f t="shared" si="2"/>
        <v>459.22241312063994</v>
      </c>
      <c r="P31" s="87">
        <f t="shared" ref="P31:P80" si="3">(L31+M31+N31+O31)*E31</f>
        <v>859.96741902863982</v>
      </c>
      <c r="Q31" s="89"/>
      <c r="R31" s="47"/>
      <c r="S31" s="62"/>
      <c r="T31" s="63"/>
      <c r="U31" s="46"/>
      <c r="V31" s="46"/>
      <c r="W31" s="46"/>
      <c r="X31" s="46"/>
    </row>
    <row r="32" spans="1:24">
      <c r="A32" s="44" t="s">
        <v>50</v>
      </c>
      <c r="B32" s="18">
        <v>50</v>
      </c>
      <c r="C32" s="18">
        <v>0</v>
      </c>
      <c r="D32" s="18">
        <v>0</v>
      </c>
      <c r="E32" s="18">
        <v>1</v>
      </c>
      <c r="F32" s="18" t="s">
        <v>9</v>
      </c>
      <c r="G32" s="20">
        <v>9.9999997799999994E-3</v>
      </c>
      <c r="H32" s="21">
        <v>0.115000002</v>
      </c>
      <c r="I32" s="21">
        <v>1.35000002</v>
      </c>
      <c r="J32" s="57">
        <f>VLOOKUP($B32, 'Level Table'!$A$2:$B$51, 2)</f>
        <v>1610</v>
      </c>
      <c r="K32" s="58">
        <f t="shared" si="0"/>
        <v>786.86</v>
      </c>
      <c r="L32" s="59">
        <f>$C32*$B$12*(1+$G32)</f>
        <v>0</v>
      </c>
      <c r="M32" s="60">
        <f>$D32*$B$16*(1+$G32)*0.66*0.77</f>
        <v>0</v>
      </c>
      <c r="N32" s="60">
        <f t="shared" si="1"/>
        <v>185.15000322</v>
      </c>
      <c r="O32" s="60">
        <f t="shared" si="2"/>
        <v>1062.2610157372001</v>
      </c>
      <c r="P32" s="91">
        <f t="shared" si="3"/>
        <v>1247.4110189572</v>
      </c>
      <c r="Q32" s="92">
        <f>(P32+P33)/2</f>
        <v>1279.6110181521999</v>
      </c>
      <c r="R32" s="47"/>
      <c r="S32" s="62"/>
      <c r="T32" s="63"/>
      <c r="U32" s="46"/>
      <c r="V32" s="46"/>
      <c r="W32" s="46"/>
      <c r="X32" s="46"/>
    </row>
    <row r="33" spans="1:24">
      <c r="A33" s="44" t="s">
        <v>51</v>
      </c>
      <c r="B33" s="18">
        <v>50</v>
      </c>
      <c r="C33" s="18">
        <v>0</v>
      </c>
      <c r="D33" s="18">
        <v>0</v>
      </c>
      <c r="E33" s="18">
        <v>1</v>
      </c>
      <c r="F33" s="18" t="s">
        <v>9</v>
      </c>
      <c r="G33" s="20">
        <v>9.9999997799999994E-3</v>
      </c>
      <c r="H33" s="21">
        <v>0.155000001</v>
      </c>
      <c r="I33" s="21">
        <v>1.35000002</v>
      </c>
      <c r="J33" s="57">
        <f>VLOOKUP($B33, 'Level Table'!$A$2:$B$51, 2)</f>
        <v>1610</v>
      </c>
      <c r="K33" s="58">
        <f t="shared" si="0"/>
        <v>786.86</v>
      </c>
      <c r="L33" s="59">
        <f>$C33*$B$13*(1+$G33)</f>
        <v>0</v>
      </c>
      <c r="M33" s="60">
        <f>$D33*$B$17*(1+$G33)*0.66*0.77</f>
        <v>0</v>
      </c>
      <c r="N33" s="60">
        <f t="shared" si="1"/>
        <v>249.55000161000001</v>
      </c>
      <c r="O33" s="60">
        <f t="shared" si="2"/>
        <v>1062.2610157372001</v>
      </c>
      <c r="P33" s="91">
        <f t="shared" si="3"/>
        <v>1311.8110173472</v>
      </c>
      <c r="Q33" s="93"/>
      <c r="R33" s="47"/>
      <c r="S33" s="62"/>
      <c r="T33" s="63"/>
      <c r="U33" s="46"/>
      <c r="V33" s="46"/>
      <c r="W33" s="46"/>
      <c r="X33" s="46"/>
    </row>
    <row r="34" spans="1:24">
      <c r="A34" s="45" t="s">
        <v>46</v>
      </c>
      <c r="B34" s="23">
        <v>50</v>
      </c>
      <c r="C34" s="23">
        <v>1</v>
      </c>
      <c r="D34" s="23">
        <v>1</v>
      </c>
      <c r="E34" s="23">
        <v>1</v>
      </c>
      <c r="F34" s="23" t="s">
        <v>10</v>
      </c>
      <c r="G34" s="25">
        <v>0.02</v>
      </c>
      <c r="H34" s="26">
        <v>0.153</v>
      </c>
      <c r="I34" s="26">
        <v>1.54</v>
      </c>
      <c r="J34" s="53">
        <f>VLOOKUP($B34, 'Level Table'!$A$2:$B$51, 2)</f>
        <v>1610</v>
      </c>
      <c r="K34" s="54">
        <f t="shared" si="0"/>
        <v>504.64</v>
      </c>
      <c r="L34" s="55">
        <f>$C34*$B$12*(1+$G34)</f>
        <v>306</v>
      </c>
      <c r="M34" s="56">
        <f>$D34*$B$16*(1+$G34)*0.66*0.77</f>
        <v>155.50920000000002</v>
      </c>
      <c r="N34" s="56">
        <f t="shared" si="1"/>
        <v>246.32999999999998</v>
      </c>
      <c r="O34" s="56">
        <f t="shared" si="2"/>
        <v>777.14559999999994</v>
      </c>
      <c r="P34" s="87">
        <f t="shared" si="3"/>
        <v>1484.9848</v>
      </c>
      <c r="Q34" s="88">
        <f>(P34+P35)/2</f>
        <v>1578.8250039999998</v>
      </c>
      <c r="R34" s="47"/>
      <c r="S34" s="62"/>
      <c r="T34" s="63"/>
      <c r="U34" s="46"/>
      <c r="V34" s="46"/>
      <c r="W34" s="46"/>
      <c r="X34" s="46"/>
    </row>
    <row r="35" spans="1:24">
      <c r="A35" s="45" t="s">
        <v>47</v>
      </c>
      <c r="B35" s="23">
        <v>50</v>
      </c>
      <c r="C35" s="23">
        <v>1</v>
      </c>
      <c r="D35" s="23">
        <v>1</v>
      </c>
      <c r="E35" s="23">
        <v>1</v>
      </c>
      <c r="F35" s="23" t="s">
        <v>10</v>
      </c>
      <c r="G35" s="25">
        <v>0.02</v>
      </c>
      <c r="H35" s="26">
        <v>0.153</v>
      </c>
      <c r="I35" s="26">
        <v>1.54</v>
      </c>
      <c r="J35" s="53">
        <f>VLOOKUP($B35, 'Level Table'!$A$2:$B$51, 2)</f>
        <v>1610</v>
      </c>
      <c r="K35" s="54">
        <f t="shared" si="0"/>
        <v>504.64</v>
      </c>
      <c r="L35" s="55">
        <f>$C35*$B$13*(1+$G35)</f>
        <v>430.44</v>
      </c>
      <c r="M35" s="56">
        <f>$D35*$B$17*(1+$G35)*0.66*0.77</f>
        <v>218.74960799999999</v>
      </c>
      <c r="N35" s="56">
        <f t="shared" si="1"/>
        <v>246.32999999999998</v>
      </c>
      <c r="O35" s="56">
        <f t="shared" si="2"/>
        <v>777.14559999999994</v>
      </c>
      <c r="P35" s="87">
        <f t="shared" si="3"/>
        <v>1672.6652079999999</v>
      </c>
      <c r="Q35" s="89"/>
      <c r="R35" s="47"/>
      <c r="S35" s="62"/>
      <c r="T35" s="63"/>
      <c r="U35" s="46"/>
      <c r="V35" s="46"/>
      <c r="W35" s="46"/>
      <c r="X35" s="46"/>
    </row>
    <row r="36" spans="1:24">
      <c r="A36" s="44" t="s">
        <v>54</v>
      </c>
      <c r="B36" s="18">
        <v>50</v>
      </c>
      <c r="C36" s="18">
        <v>0</v>
      </c>
      <c r="D36" s="18">
        <v>0</v>
      </c>
      <c r="E36" s="18">
        <v>1</v>
      </c>
      <c r="F36" s="18" t="s">
        <v>9</v>
      </c>
      <c r="G36" s="20">
        <v>9.9999997799999994E-3</v>
      </c>
      <c r="H36" s="21">
        <v>0.16699999600000001</v>
      </c>
      <c r="I36" s="21">
        <v>1.87</v>
      </c>
      <c r="J36" s="57">
        <f>VLOOKUP($B36, 'Level Table'!$A$2:$B$51, 2)</f>
        <v>1610</v>
      </c>
      <c r="K36" s="58">
        <f t="shared" si="0"/>
        <v>786.86</v>
      </c>
      <c r="L36" s="59">
        <f>$C36*$B$12*(1+$G36)</f>
        <v>0</v>
      </c>
      <c r="M36" s="60">
        <f>$D36*$B$16*(1+$G36)*0.66*0.77</f>
        <v>0</v>
      </c>
      <c r="N36" s="60">
        <f t="shared" si="1"/>
        <v>268.86999356000001</v>
      </c>
      <c r="O36" s="60">
        <f t="shared" si="2"/>
        <v>1471.4282000000001</v>
      </c>
      <c r="P36" s="91">
        <f t="shared" si="3"/>
        <v>1740.2981935600001</v>
      </c>
      <c r="Q36" s="92">
        <f>(P36+P37)/2</f>
        <v>1772.4981983900002</v>
      </c>
      <c r="R36" s="47"/>
      <c r="S36" s="62"/>
      <c r="T36" s="63"/>
      <c r="U36" s="46"/>
      <c r="V36" s="46"/>
      <c r="W36" s="46"/>
      <c r="X36" s="46"/>
    </row>
    <row r="37" spans="1:24">
      <c r="A37" s="44" t="s">
        <v>55</v>
      </c>
      <c r="B37" s="18">
        <v>50</v>
      </c>
      <c r="C37" s="18">
        <v>0</v>
      </c>
      <c r="D37" s="18">
        <v>0</v>
      </c>
      <c r="E37" s="18">
        <v>1</v>
      </c>
      <c r="F37" s="18" t="s">
        <v>9</v>
      </c>
      <c r="G37" s="20">
        <v>9.9999997799999994E-3</v>
      </c>
      <c r="H37" s="21">
        <v>0.20700000199999999</v>
      </c>
      <c r="I37" s="21">
        <v>1.87</v>
      </c>
      <c r="J37" s="57">
        <f>VLOOKUP($B37, 'Level Table'!$A$2:$B$51, 2)</f>
        <v>1610</v>
      </c>
      <c r="K37" s="58">
        <f t="shared" si="0"/>
        <v>786.86</v>
      </c>
      <c r="L37" s="59">
        <f>$C37*$B$13*(1+$G37)</f>
        <v>0</v>
      </c>
      <c r="M37" s="60">
        <f>$D37*$B$17*(1+$G37)*0.66*0.77</f>
        <v>0</v>
      </c>
      <c r="N37" s="60">
        <f t="shared" si="1"/>
        <v>333.27000321999998</v>
      </c>
      <c r="O37" s="60">
        <f t="shared" si="2"/>
        <v>1471.4282000000001</v>
      </c>
      <c r="P37" s="91">
        <f t="shared" si="3"/>
        <v>1804.6982032200001</v>
      </c>
      <c r="Q37" s="93"/>
      <c r="R37" s="47"/>
      <c r="S37" s="62"/>
      <c r="T37" s="63"/>
      <c r="U37" s="46"/>
      <c r="V37" s="46"/>
      <c r="W37" s="46"/>
      <c r="X37" s="46"/>
    </row>
    <row r="38" spans="1:24">
      <c r="A38" s="45" t="s">
        <v>52</v>
      </c>
      <c r="B38" s="30">
        <v>50</v>
      </c>
      <c r="C38" s="30">
        <v>1</v>
      </c>
      <c r="D38" s="30">
        <v>1</v>
      </c>
      <c r="E38" s="30">
        <v>1</v>
      </c>
      <c r="F38" s="30" t="s">
        <v>10</v>
      </c>
      <c r="G38" s="31">
        <v>-0.13</v>
      </c>
      <c r="H38" s="32">
        <v>0.13</v>
      </c>
      <c r="I38" s="32">
        <v>1.3</v>
      </c>
      <c r="J38" s="53">
        <f>VLOOKUP($B38, 'Level Table'!$A$2:$B$51, 2)</f>
        <v>1610</v>
      </c>
      <c r="K38" s="54">
        <f t="shared" si="0"/>
        <v>504.64</v>
      </c>
      <c r="L38" s="55">
        <f>$C38*$B$12*(1+$G38)</f>
        <v>261</v>
      </c>
      <c r="M38" s="56">
        <f>$D38*$B$16*(1+$G38)*0.66*0.77</f>
        <v>132.64020000000002</v>
      </c>
      <c r="N38" s="56">
        <f t="shared" si="1"/>
        <v>209.3</v>
      </c>
      <c r="O38" s="56">
        <f t="shared" si="2"/>
        <v>656.03200000000004</v>
      </c>
      <c r="P38" s="87">
        <f t="shared" si="3"/>
        <v>1258.9722000000002</v>
      </c>
      <c r="Q38" s="88">
        <f>(P38+P39)/2</f>
        <v>1339.0123740000001</v>
      </c>
      <c r="R38" s="47"/>
      <c r="S38" s="62"/>
      <c r="T38" s="63"/>
      <c r="U38" s="47"/>
      <c r="V38" s="47"/>
      <c r="W38" s="47"/>
      <c r="X38" s="47"/>
    </row>
    <row r="39" spans="1:24">
      <c r="A39" s="45" t="s">
        <v>53</v>
      </c>
      <c r="B39" s="30">
        <v>50</v>
      </c>
      <c r="C39" s="30">
        <v>1</v>
      </c>
      <c r="D39" s="30">
        <v>1</v>
      </c>
      <c r="E39" s="30">
        <v>1</v>
      </c>
      <c r="F39" s="30" t="s">
        <v>10</v>
      </c>
      <c r="G39" s="31">
        <v>-0.13</v>
      </c>
      <c r="H39" s="32">
        <v>0.13</v>
      </c>
      <c r="I39" s="32">
        <v>1.3</v>
      </c>
      <c r="J39" s="53">
        <f>VLOOKUP($B39, 'Level Table'!$A$2:$B$51, 2)</f>
        <v>1610</v>
      </c>
      <c r="K39" s="54">
        <f t="shared" si="0"/>
        <v>504.64</v>
      </c>
      <c r="L39" s="55">
        <f>$C39*$B$13*(1+$G39)</f>
        <v>367.14</v>
      </c>
      <c r="M39" s="56">
        <f>$D39*$B$17*(1+$G39)*0.66*0.77</f>
        <v>186.58054799999999</v>
      </c>
      <c r="N39" s="56">
        <f t="shared" si="1"/>
        <v>209.3</v>
      </c>
      <c r="O39" s="56">
        <f t="shared" si="2"/>
        <v>656.03200000000004</v>
      </c>
      <c r="P39" s="87">
        <f t="shared" si="3"/>
        <v>1419.0525480000001</v>
      </c>
      <c r="Q39" s="89"/>
      <c r="R39" s="47"/>
      <c r="S39" s="62"/>
      <c r="T39" s="63"/>
      <c r="U39" s="47"/>
      <c r="V39" s="47"/>
      <c r="W39" s="47"/>
      <c r="X39" s="47"/>
    </row>
    <row r="40" spans="1:24">
      <c r="A40" s="44" t="s">
        <v>56</v>
      </c>
      <c r="B40" s="27">
        <v>50</v>
      </c>
      <c r="C40" s="27">
        <v>1</v>
      </c>
      <c r="D40" s="27">
        <v>1</v>
      </c>
      <c r="E40" s="27">
        <v>2</v>
      </c>
      <c r="F40" s="27" t="s">
        <v>10</v>
      </c>
      <c r="G40" s="34">
        <f>-0.3825</f>
        <v>-0.38250000000000001</v>
      </c>
      <c r="H40" s="29">
        <f>0.129999995</f>
        <v>0.12999999500000001</v>
      </c>
      <c r="I40" s="29">
        <f>1.29999995</f>
        <v>1.2999999499999999</v>
      </c>
      <c r="J40" s="57">
        <f>VLOOKUP($B40, 'Level Table'!$A$2:$B$51, 2)</f>
        <v>1610</v>
      </c>
      <c r="K40" s="58">
        <f t="shared" si="0"/>
        <v>504.64</v>
      </c>
      <c r="L40" s="59">
        <f>$C40*$B$12*(1+$G40)</f>
        <v>185.24999999999997</v>
      </c>
      <c r="M40" s="60">
        <f>$D40*$B$16*(1+$G40)*0.66*0.77</f>
        <v>94.144049999999993</v>
      </c>
      <c r="N40" s="60">
        <f t="shared" si="1"/>
        <v>209.29999195000002</v>
      </c>
      <c r="O40" s="60">
        <f t="shared" si="2"/>
        <v>656.03197476799994</v>
      </c>
      <c r="P40" s="91">
        <f t="shared" si="3"/>
        <v>2289.452033436</v>
      </c>
      <c r="Q40" s="92">
        <f>SUM(P40:P43)/4</f>
        <v>2403.0723137180003</v>
      </c>
      <c r="R40" s="95" t="s">
        <v>153</v>
      </c>
      <c r="S40" s="62"/>
      <c r="T40" s="63"/>
      <c r="U40" s="47"/>
      <c r="V40" s="47"/>
      <c r="W40" s="47"/>
      <c r="X40" s="47"/>
    </row>
    <row r="41" spans="1:24">
      <c r="A41" s="44" t="s">
        <v>57</v>
      </c>
      <c r="B41" s="27">
        <v>50</v>
      </c>
      <c r="C41" s="27">
        <v>1</v>
      </c>
      <c r="D41" s="27">
        <v>1</v>
      </c>
      <c r="E41" s="27">
        <v>2</v>
      </c>
      <c r="F41" s="27" t="s">
        <v>10</v>
      </c>
      <c r="G41" s="34">
        <f>-0.3825</f>
        <v>-0.38250000000000001</v>
      </c>
      <c r="H41" s="29">
        <f>0.129999995</f>
        <v>0.12999999500000001</v>
      </c>
      <c r="I41" s="29">
        <f>1.29999995</f>
        <v>1.2999999499999999</v>
      </c>
      <c r="J41" s="57">
        <f>VLOOKUP($B41, 'Level Table'!$A$2:$B$51, 2)</f>
        <v>1610</v>
      </c>
      <c r="K41" s="58">
        <f t="shared" si="0"/>
        <v>504.64</v>
      </c>
      <c r="L41" s="59">
        <f>$C41*$B$12*(1+$G41)</f>
        <v>185.24999999999997</v>
      </c>
      <c r="M41" s="60">
        <f>$D41*$B$17*(1+$G41)*0.66*0.77</f>
        <v>132.42929699999999</v>
      </c>
      <c r="N41" s="60">
        <f t="shared" si="1"/>
        <v>209.29999195000002</v>
      </c>
      <c r="O41" s="60">
        <f t="shared" si="2"/>
        <v>656.03197476799994</v>
      </c>
      <c r="P41" s="91">
        <f t="shared" si="3"/>
        <v>2366.022527436</v>
      </c>
      <c r="Q41" s="93"/>
      <c r="R41" s="95" t="s">
        <v>154</v>
      </c>
      <c r="S41" s="62"/>
      <c r="T41" s="63"/>
      <c r="U41" s="47"/>
      <c r="V41" s="47"/>
      <c r="W41" s="47"/>
      <c r="X41" s="47"/>
    </row>
    <row r="42" spans="1:24">
      <c r="A42" s="44" t="s">
        <v>58</v>
      </c>
      <c r="B42" s="27">
        <v>50</v>
      </c>
      <c r="C42" s="27">
        <v>1</v>
      </c>
      <c r="D42" s="27">
        <v>1</v>
      </c>
      <c r="E42" s="27">
        <v>1</v>
      </c>
      <c r="F42" s="27" t="s">
        <v>10</v>
      </c>
      <c r="G42" s="34">
        <v>0.23499999999999999</v>
      </c>
      <c r="H42" s="29">
        <v>0.26</v>
      </c>
      <c r="I42" s="29">
        <v>2.6</v>
      </c>
      <c r="J42" s="57">
        <f>VLOOKUP($B42, 'Level Table'!$A$2:$B$51, 2)</f>
        <v>1610</v>
      </c>
      <c r="K42" s="58">
        <f t="shared" si="0"/>
        <v>504.64</v>
      </c>
      <c r="L42" s="59">
        <f>$C42*$B$13*(1+$G42)</f>
        <v>521.16999999999996</v>
      </c>
      <c r="M42" s="60">
        <f>$D42*$B$16*(1+$G42)*0.66*0.77</f>
        <v>188.28809999999999</v>
      </c>
      <c r="N42" s="60">
        <f t="shared" si="1"/>
        <v>418.6</v>
      </c>
      <c r="O42" s="60">
        <f t="shared" si="2"/>
        <v>1312.0640000000001</v>
      </c>
      <c r="P42" s="91">
        <f t="shared" si="3"/>
        <v>2440.1221</v>
      </c>
      <c r="Q42" s="93"/>
      <c r="R42" s="95" t="s">
        <v>159</v>
      </c>
      <c r="S42" s="62"/>
      <c r="T42" s="63"/>
      <c r="U42" s="47"/>
      <c r="V42" s="47"/>
      <c r="W42" s="47"/>
      <c r="X42" s="47"/>
    </row>
    <row r="43" spans="1:24">
      <c r="A43" s="44" t="s">
        <v>59</v>
      </c>
      <c r="B43" s="27">
        <v>50</v>
      </c>
      <c r="C43" s="27">
        <v>1</v>
      </c>
      <c r="D43" s="27">
        <v>1</v>
      </c>
      <c r="E43" s="27">
        <v>1</v>
      </c>
      <c r="F43" s="27" t="s">
        <v>10</v>
      </c>
      <c r="G43" s="34">
        <v>0.23499999999999999</v>
      </c>
      <c r="H43" s="29">
        <v>0.26</v>
      </c>
      <c r="I43" s="29">
        <v>2.6</v>
      </c>
      <c r="J43" s="57">
        <f>VLOOKUP($B43, 'Level Table'!$A$2:$B$51, 2)</f>
        <v>1610</v>
      </c>
      <c r="K43" s="58">
        <f t="shared" si="0"/>
        <v>504.64</v>
      </c>
      <c r="L43" s="59">
        <f>$C43*$B$13*(1+$G43)</f>
        <v>521.16999999999996</v>
      </c>
      <c r="M43" s="60">
        <f>$D43*$B$17*(1+$G43)*0.66*0.77</f>
        <v>264.85859399999998</v>
      </c>
      <c r="N43" s="60">
        <f t="shared" si="1"/>
        <v>418.6</v>
      </c>
      <c r="O43" s="60">
        <f t="shared" si="2"/>
        <v>1312.0640000000001</v>
      </c>
      <c r="P43" s="91">
        <f t="shared" si="3"/>
        <v>2516.6925940000001</v>
      </c>
      <c r="Q43" s="93"/>
      <c r="R43" s="95" t="s">
        <v>155</v>
      </c>
      <c r="S43" s="62"/>
      <c r="T43" s="63"/>
      <c r="U43" s="47"/>
      <c r="V43" s="47"/>
      <c r="W43" s="47"/>
      <c r="X43" s="47"/>
    </row>
    <row r="44" spans="1:24">
      <c r="A44" s="45" t="s">
        <v>22</v>
      </c>
      <c r="B44" s="30">
        <v>1</v>
      </c>
      <c r="C44" s="30">
        <v>1</v>
      </c>
      <c r="D44" s="30">
        <v>1</v>
      </c>
      <c r="E44" s="30">
        <v>3</v>
      </c>
      <c r="F44" s="30" t="s">
        <v>10</v>
      </c>
      <c r="G44" s="31">
        <v>-0.66</v>
      </c>
      <c r="H44" s="32">
        <v>0</v>
      </c>
      <c r="I44" s="32">
        <v>0.33</v>
      </c>
      <c r="J44" s="53">
        <f>VLOOKUP($B44, 'Level Table'!$A$2:$B$51, 2)</f>
        <v>180</v>
      </c>
      <c r="K44" s="54">
        <f t="shared" si="0"/>
        <v>504.64</v>
      </c>
      <c r="L44" s="55">
        <f>$C44*$B$12*(1+$G44)</f>
        <v>101.99999999999999</v>
      </c>
      <c r="M44" s="56">
        <f>$D44*$B$16*(1+$G44)*0.66*0.67</f>
        <v>45.104399999999998</v>
      </c>
      <c r="N44" s="56">
        <f t="shared" si="1"/>
        <v>0</v>
      </c>
      <c r="O44" s="56">
        <f t="shared" si="2"/>
        <v>166.53120000000001</v>
      </c>
      <c r="P44" s="87">
        <f t="shared" si="3"/>
        <v>940.90679999999998</v>
      </c>
      <c r="Q44" s="88">
        <f>(P44+P45)/2</f>
        <v>1030.640484</v>
      </c>
      <c r="R44" s="95" t="s">
        <v>156</v>
      </c>
      <c r="S44" s="62"/>
      <c r="T44" s="63"/>
      <c r="U44" s="47"/>
      <c r="V44" s="47"/>
      <c r="W44" s="47"/>
      <c r="X44" s="47"/>
    </row>
    <row r="45" spans="1:24">
      <c r="A45" s="45" t="s">
        <v>23</v>
      </c>
      <c r="B45" s="30">
        <v>1</v>
      </c>
      <c r="C45" s="30">
        <v>1</v>
      </c>
      <c r="D45" s="30">
        <v>1</v>
      </c>
      <c r="E45" s="30">
        <v>3</v>
      </c>
      <c r="F45" s="30" t="s">
        <v>10</v>
      </c>
      <c r="G45" s="31">
        <v>-0.66</v>
      </c>
      <c r="H45" s="32">
        <v>0</v>
      </c>
      <c r="I45" s="32">
        <v>0.33</v>
      </c>
      <c r="J45" s="53">
        <f>VLOOKUP($B45, 'Level Table'!$A$2:$B$51, 2)</f>
        <v>180</v>
      </c>
      <c r="K45" s="54">
        <f t="shared" si="0"/>
        <v>504.64</v>
      </c>
      <c r="L45" s="55">
        <f>$C45*$B$13*(1+$G45)</f>
        <v>143.47999999999999</v>
      </c>
      <c r="M45" s="56">
        <f>$D45*$B$17*(1+$G45)*0.66*0.67</f>
        <v>63.446856000000004</v>
      </c>
      <c r="N45" s="56">
        <f t="shared" si="1"/>
        <v>0</v>
      </c>
      <c r="O45" s="56">
        <f t="shared" si="2"/>
        <v>166.53120000000001</v>
      </c>
      <c r="P45" s="87">
        <f t="shared" si="3"/>
        <v>1120.3741680000001</v>
      </c>
      <c r="Q45" s="89"/>
      <c r="R45" s="95" t="s">
        <v>157</v>
      </c>
      <c r="S45" s="62"/>
      <c r="T45" s="63"/>
      <c r="U45" s="47"/>
      <c r="V45" s="47"/>
      <c r="W45" s="47"/>
      <c r="X45" s="47"/>
    </row>
    <row r="46" spans="1:24">
      <c r="A46" s="44" t="s">
        <v>73</v>
      </c>
      <c r="B46" s="27">
        <v>50</v>
      </c>
      <c r="C46" s="27">
        <v>1</v>
      </c>
      <c r="D46" s="27">
        <v>1</v>
      </c>
      <c r="E46" s="27">
        <v>2</v>
      </c>
      <c r="F46" s="27" t="s">
        <v>10</v>
      </c>
      <c r="G46" s="28">
        <v>-0.83499999999999996</v>
      </c>
      <c r="H46" s="29">
        <v>0.05</v>
      </c>
      <c r="I46" s="29">
        <v>0.5</v>
      </c>
      <c r="J46" s="57">
        <f>VLOOKUP($B46, 'Level Table'!$A$2:$B$51, 2)</f>
        <v>1610</v>
      </c>
      <c r="K46" s="58">
        <f t="shared" si="0"/>
        <v>504.64</v>
      </c>
      <c r="L46" s="59">
        <f>$C46*$B$12*(1+$G46)</f>
        <v>49.500000000000014</v>
      </c>
      <c r="M46" s="60">
        <f>$D46*$B$16*(1-0.33)*0.66*0.77</f>
        <v>102.1482</v>
      </c>
      <c r="N46" s="60">
        <f t="shared" si="1"/>
        <v>80.5</v>
      </c>
      <c r="O46" s="60">
        <f t="shared" si="2"/>
        <v>252.32</v>
      </c>
      <c r="P46" s="91">
        <f t="shared" si="3"/>
        <v>968.93640000000005</v>
      </c>
      <c r="Q46" s="92">
        <f>(P46+P47)/2</f>
        <v>1030.6066679999999</v>
      </c>
      <c r="R46" s="95" t="s">
        <v>158</v>
      </c>
      <c r="S46" s="62"/>
      <c r="T46" s="63"/>
      <c r="U46" s="47"/>
      <c r="V46" s="47"/>
      <c r="W46" s="47"/>
      <c r="X46" s="47"/>
    </row>
    <row r="47" spans="1:24">
      <c r="A47" s="44" t="s">
        <v>74</v>
      </c>
      <c r="B47" s="27">
        <v>50</v>
      </c>
      <c r="C47" s="27">
        <v>1</v>
      </c>
      <c r="D47" s="27">
        <v>1</v>
      </c>
      <c r="E47" s="27">
        <v>2</v>
      </c>
      <c r="F47" s="27" t="s">
        <v>10</v>
      </c>
      <c r="G47" s="28">
        <v>-0.83499999999999996</v>
      </c>
      <c r="H47" s="29">
        <v>0.05</v>
      </c>
      <c r="I47" s="29">
        <v>0.5</v>
      </c>
      <c r="J47" s="57">
        <f>VLOOKUP($B47, 'Level Table'!$A$2:$B$51, 2)</f>
        <v>1610</v>
      </c>
      <c r="K47" s="58">
        <f t="shared" si="0"/>
        <v>504.64</v>
      </c>
      <c r="L47" s="59">
        <f>$C47*$B$13*(1+$G47)</f>
        <v>69.63000000000001</v>
      </c>
      <c r="M47" s="60">
        <f>$D47*$B$17*(1-0.33)*0.66*0.77</f>
        <v>143.688468</v>
      </c>
      <c r="N47" s="60">
        <f t="shared" si="1"/>
        <v>80.5</v>
      </c>
      <c r="O47" s="60">
        <f t="shared" si="2"/>
        <v>252.32</v>
      </c>
      <c r="P47" s="91">
        <f t="shared" si="3"/>
        <v>1092.276936</v>
      </c>
      <c r="Q47" s="93"/>
      <c r="R47" s="96" t="s">
        <v>160</v>
      </c>
      <c r="S47" s="62"/>
      <c r="T47" s="63"/>
      <c r="U47" s="47"/>
      <c r="V47" s="47"/>
      <c r="W47" s="47"/>
      <c r="X47" s="47"/>
    </row>
    <row r="48" spans="1:24">
      <c r="A48" s="45" t="s">
        <v>60</v>
      </c>
      <c r="B48" s="36">
        <v>50</v>
      </c>
      <c r="C48" s="36">
        <v>0</v>
      </c>
      <c r="D48" s="36">
        <v>0</v>
      </c>
      <c r="E48" s="36">
        <v>3</v>
      </c>
      <c r="F48" s="30" t="s">
        <v>9</v>
      </c>
      <c r="G48" s="31">
        <v>9.9999997799999994E-3</v>
      </c>
      <c r="H48" s="32">
        <v>6.8000003700000006E-2</v>
      </c>
      <c r="I48" s="32">
        <v>0.68000000699999996</v>
      </c>
      <c r="J48" s="53">
        <f>VLOOKUP($B48, 'Level Table'!$A$2:$B$51, 2)</f>
        <v>1610</v>
      </c>
      <c r="K48" s="54">
        <f t="shared" si="0"/>
        <v>786.86</v>
      </c>
      <c r="L48" s="55">
        <f>$C48*$B$12*(1+$G48)</f>
        <v>0</v>
      </c>
      <c r="M48" s="56">
        <f>$D48*$B$16*(1+$G48)*0.66*0.77</f>
        <v>0</v>
      </c>
      <c r="N48" s="56">
        <f t="shared" si="1"/>
        <v>109.480005957</v>
      </c>
      <c r="O48" s="56">
        <f t="shared" si="2"/>
        <v>535.06480550801996</v>
      </c>
      <c r="P48" s="87">
        <f t="shared" si="3"/>
        <v>1933.63443439506</v>
      </c>
      <c r="Q48" s="88">
        <f>P48/2</f>
        <v>966.81721719753</v>
      </c>
      <c r="R48" s="95" t="s">
        <v>161</v>
      </c>
      <c r="S48" s="62"/>
      <c r="T48" s="63"/>
      <c r="U48" s="47"/>
      <c r="V48" s="47"/>
      <c r="W48" s="47"/>
      <c r="X48" s="47"/>
    </row>
    <row r="49" spans="1:24">
      <c r="A49" s="44" t="s">
        <v>65</v>
      </c>
      <c r="B49" s="35">
        <v>50</v>
      </c>
      <c r="C49" s="35">
        <v>1</v>
      </c>
      <c r="D49" s="35">
        <v>1</v>
      </c>
      <c r="E49" s="35">
        <v>1</v>
      </c>
      <c r="F49" s="27" t="s">
        <v>10</v>
      </c>
      <c r="G49" s="28">
        <v>-0.40999999599999998</v>
      </c>
      <c r="H49" s="29">
        <v>8.7999999499999995E-2</v>
      </c>
      <c r="I49" s="29">
        <v>0.87999999500000003</v>
      </c>
      <c r="J49" s="57">
        <f>VLOOKUP($B49, 'Level Table'!$A$2:$B$51, 2)</f>
        <v>1610</v>
      </c>
      <c r="K49" s="58">
        <f t="shared" si="0"/>
        <v>504.64</v>
      </c>
      <c r="L49" s="59">
        <f>$C49*$B$12*(1+$G49)</f>
        <v>177.00000119999999</v>
      </c>
      <c r="M49" s="60">
        <f>$D49*$B$16*(1+$G49)*0.66*0.77</f>
        <v>89.951400609840007</v>
      </c>
      <c r="N49" s="60">
        <f t="shared" si="1"/>
        <v>141.67999919499999</v>
      </c>
      <c r="O49" s="60">
        <f t="shared" si="2"/>
        <v>444.08319747680002</v>
      </c>
      <c r="P49" s="91">
        <f t="shared" si="3"/>
        <v>852.71459848164</v>
      </c>
      <c r="Q49" s="92">
        <f>(P49+P50)/2</f>
        <v>906.99471684964078</v>
      </c>
      <c r="R49" s="95" t="s">
        <v>163</v>
      </c>
      <c r="S49" s="62"/>
      <c r="T49" s="63"/>
      <c r="U49" s="47"/>
      <c r="V49" s="47"/>
      <c r="W49" s="47"/>
      <c r="X49" s="47"/>
    </row>
    <row r="50" spans="1:24">
      <c r="A50" s="44" t="s">
        <v>66</v>
      </c>
      <c r="B50" s="35">
        <v>50</v>
      </c>
      <c r="C50" s="35">
        <v>1</v>
      </c>
      <c r="D50" s="35">
        <v>1</v>
      </c>
      <c r="E50" s="35">
        <v>1</v>
      </c>
      <c r="F50" s="27" t="s">
        <v>10</v>
      </c>
      <c r="G50" s="28">
        <v>-0.40999999599999998</v>
      </c>
      <c r="H50" s="29">
        <v>8.7999999499999995E-2</v>
      </c>
      <c r="I50" s="29">
        <v>0.87999999500000003</v>
      </c>
      <c r="J50" s="57">
        <f>VLOOKUP($B50, 'Level Table'!$A$2:$B$51, 2)</f>
        <v>1610</v>
      </c>
      <c r="K50" s="58">
        <f t="shared" si="0"/>
        <v>504.64</v>
      </c>
      <c r="L50" s="59">
        <f>$C50*$B$13*(1+$G50)</f>
        <v>248.98000168799999</v>
      </c>
      <c r="M50" s="60">
        <f>$D50*$B$17*(1+$G50)*0.66*0.77</f>
        <v>126.53163685784162</v>
      </c>
      <c r="N50" s="60">
        <f t="shared" si="1"/>
        <v>141.67999919499999</v>
      </c>
      <c r="O50" s="60">
        <f t="shared" si="2"/>
        <v>444.08319747680002</v>
      </c>
      <c r="P50" s="91">
        <f t="shared" si="3"/>
        <v>961.27483521764157</v>
      </c>
      <c r="Q50" s="93"/>
      <c r="R50" s="95" t="s">
        <v>162</v>
      </c>
      <c r="S50" s="62"/>
      <c r="T50" s="63"/>
      <c r="U50" s="47"/>
      <c r="V50" s="47"/>
      <c r="W50" s="47"/>
      <c r="X50" s="47"/>
    </row>
    <row r="51" spans="1:24">
      <c r="A51" s="44" t="s">
        <v>76</v>
      </c>
      <c r="B51" s="35">
        <v>50</v>
      </c>
      <c r="C51" s="35">
        <v>1</v>
      </c>
      <c r="D51" s="35">
        <v>0</v>
      </c>
      <c r="E51" s="35">
        <v>1</v>
      </c>
      <c r="F51" s="27" t="s">
        <v>10</v>
      </c>
      <c r="G51" s="34">
        <v>-0.60000002399999997</v>
      </c>
      <c r="H51" s="37">
        <v>5.9999998700000001E-2</v>
      </c>
      <c r="I51" s="37">
        <v>0.60000002399999997</v>
      </c>
      <c r="J51" s="57">
        <f>VLOOKUP($B51, 'Level Table'!$A$2:$B$51, 2)</f>
        <v>1610</v>
      </c>
      <c r="K51" s="58">
        <f t="shared" si="0"/>
        <v>504.64</v>
      </c>
      <c r="L51" s="59">
        <f>$C51*$B$12*(1+$G51)</f>
        <v>119.99999280000002</v>
      </c>
      <c r="M51" s="60">
        <f>$D51*$B$16*(1+$G51)*0.66*0.77</f>
        <v>0</v>
      </c>
      <c r="N51" s="60">
        <f t="shared" si="1"/>
        <v>96.599997907000002</v>
      </c>
      <c r="O51" s="60">
        <f t="shared" si="2"/>
        <v>302.78401211135997</v>
      </c>
      <c r="P51" s="91">
        <f t="shared" si="3"/>
        <v>519.38400281835993</v>
      </c>
      <c r="Q51" s="92">
        <f>SUM(P51:P52)/2+P53</f>
        <v>1681.2160013543598</v>
      </c>
      <c r="R51" s="47"/>
      <c r="S51" s="62"/>
      <c r="T51" s="63"/>
      <c r="U51" s="48"/>
      <c r="V51" s="48"/>
      <c r="W51" s="48"/>
      <c r="X51" s="48"/>
    </row>
    <row r="52" spans="1:24">
      <c r="A52" s="44" t="s">
        <v>77</v>
      </c>
      <c r="B52" s="35">
        <v>50</v>
      </c>
      <c r="C52" s="35">
        <v>1</v>
      </c>
      <c r="D52" s="35">
        <v>0</v>
      </c>
      <c r="E52" s="35">
        <v>1</v>
      </c>
      <c r="F52" s="27" t="s">
        <v>10</v>
      </c>
      <c r="G52" s="34">
        <v>-0.60000002399999997</v>
      </c>
      <c r="H52" s="37">
        <v>5.9999998700000001E-2</v>
      </c>
      <c r="I52" s="37">
        <v>0.60000002399999997</v>
      </c>
      <c r="J52" s="57">
        <f>VLOOKUP($B52, 'Level Table'!$A$2:$B$51, 2)</f>
        <v>1610</v>
      </c>
      <c r="K52" s="58">
        <f t="shared" si="0"/>
        <v>504.64</v>
      </c>
      <c r="L52" s="59">
        <f>$C52*$B$13*(1+$G52)</f>
        <v>168.79998987200003</v>
      </c>
      <c r="M52" s="60">
        <f>$D52*$B$17*(1+$G52)*0.66*0.77</f>
        <v>0</v>
      </c>
      <c r="N52" s="60">
        <f t="shared" si="1"/>
        <v>96.599997907000002</v>
      </c>
      <c r="O52" s="60">
        <f t="shared" si="2"/>
        <v>302.78401211135997</v>
      </c>
      <c r="P52" s="91">
        <f t="shared" si="3"/>
        <v>568.18399989035993</v>
      </c>
      <c r="Q52" s="93"/>
      <c r="R52" s="47"/>
      <c r="U52" s="48"/>
      <c r="V52" s="48"/>
      <c r="W52" s="48"/>
      <c r="X52" s="48"/>
    </row>
    <row r="53" spans="1:24">
      <c r="A53" s="44" t="s">
        <v>78</v>
      </c>
      <c r="B53" s="35">
        <v>50</v>
      </c>
      <c r="C53" s="35">
        <v>0</v>
      </c>
      <c r="D53" s="35">
        <v>0</v>
      </c>
      <c r="E53" s="35">
        <v>6</v>
      </c>
      <c r="F53" s="27" t="s">
        <v>9</v>
      </c>
      <c r="G53" s="34">
        <v>9.9999997799999994E-3</v>
      </c>
      <c r="H53" s="37">
        <v>0.02</v>
      </c>
      <c r="I53" s="37">
        <v>0.2</v>
      </c>
      <c r="J53" s="57">
        <f>VLOOKUP($B53, 'Level Table'!$A$2:$B$51, 2)</f>
        <v>1610</v>
      </c>
      <c r="K53" s="58">
        <f t="shared" si="0"/>
        <v>786.86</v>
      </c>
      <c r="L53" s="59">
        <f>$C53*$B$12*(1+$G53)</f>
        <v>0</v>
      </c>
      <c r="M53" s="60">
        <f>$D53*$B$16*(1+$G53)*0.66*0.77</f>
        <v>0</v>
      </c>
      <c r="N53" s="60">
        <f t="shared" si="1"/>
        <v>32.200000000000003</v>
      </c>
      <c r="O53" s="60">
        <f t="shared" si="2"/>
        <v>157.37200000000001</v>
      </c>
      <c r="P53" s="91">
        <f t="shared" si="3"/>
        <v>1137.432</v>
      </c>
      <c r="Q53" s="93"/>
      <c r="R53" s="47"/>
      <c r="U53" s="48"/>
      <c r="V53" s="48"/>
      <c r="W53" s="48"/>
      <c r="X53" s="48"/>
    </row>
    <row r="54" spans="1:24">
      <c r="A54" s="45" t="s">
        <v>71</v>
      </c>
      <c r="B54" s="36">
        <v>50</v>
      </c>
      <c r="C54" s="36">
        <v>1</v>
      </c>
      <c r="D54" s="36">
        <v>0</v>
      </c>
      <c r="E54" s="36">
        <v>1</v>
      </c>
      <c r="F54" s="30" t="s">
        <v>10</v>
      </c>
      <c r="G54" s="33">
        <v>0.89999997600000003</v>
      </c>
      <c r="H54" s="38">
        <v>0.26499998600000002</v>
      </c>
      <c r="I54" s="38">
        <v>2.8499998999999998</v>
      </c>
      <c r="J54" s="53">
        <f>VLOOKUP($B54, 'Level Table'!$A$2:$B$51, 2)</f>
        <v>1610</v>
      </c>
      <c r="K54" s="54">
        <f t="shared" si="0"/>
        <v>504.64</v>
      </c>
      <c r="L54" s="55">
        <f>$C54*$B$12*(1+$G54)</f>
        <v>569.99999280000009</v>
      </c>
      <c r="M54" s="56">
        <f>$D54*$B$16*(1+$G54)*0.66*0.77</f>
        <v>0</v>
      </c>
      <c r="N54" s="56">
        <f t="shared" si="1"/>
        <v>426.64997746000006</v>
      </c>
      <c r="O54" s="56">
        <f t="shared" si="2"/>
        <v>1438.223949536</v>
      </c>
      <c r="P54" s="87">
        <f t="shared" si="3"/>
        <v>2434.8739197960003</v>
      </c>
      <c r="Q54" s="88">
        <f>(P54+P55)/2</f>
        <v>2582.9739352370002</v>
      </c>
      <c r="R54" s="47"/>
      <c r="U54" s="48"/>
      <c r="V54" s="48"/>
      <c r="W54" s="48"/>
      <c r="X54" s="48"/>
    </row>
    <row r="55" spans="1:24">
      <c r="A55" s="45" t="s">
        <v>72</v>
      </c>
      <c r="B55" s="36">
        <v>50</v>
      </c>
      <c r="C55" s="36">
        <v>1</v>
      </c>
      <c r="D55" s="36">
        <v>0</v>
      </c>
      <c r="E55" s="36">
        <v>1</v>
      </c>
      <c r="F55" s="30" t="s">
        <v>10</v>
      </c>
      <c r="G55" s="33">
        <v>0.89999997600000003</v>
      </c>
      <c r="H55" s="38">
        <v>0.30500000700000002</v>
      </c>
      <c r="I55" s="38">
        <v>2.8499998999999998</v>
      </c>
      <c r="J55" s="53">
        <f>VLOOKUP($B55, 'Level Table'!$A$2:$B$51, 2)</f>
        <v>1610</v>
      </c>
      <c r="K55" s="54">
        <f t="shared" si="0"/>
        <v>504.64</v>
      </c>
      <c r="L55" s="55">
        <f>$C55*$B$13*(1+$G55)</f>
        <v>801.79998987200008</v>
      </c>
      <c r="M55" s="56">
        <f>$D55*$B$17*(1+$G55)*0.66*0.77</f>
        <v>0</v>
      </c>
      <c r="N55" s="56">
        <f t="shared" si="1"/>
        <v>491.05001127000003</v>
      </c>
      <c r="O55" s="56">
        <f t="shared" si="2"/>
        <v>1438.223949536</v>
      </c>
      <c r="P55" s="87">
        <f t="shared" si="3"/>
        <v>2731.0739506780001</v>
      </c>
      <c r="Q55" s="89"/>
      <c r="R55" s="47"/>
      <c r="S55" s="62"/>
      <c r="T55" s="63"/>
      <c r="U55" s="48"/>
      <c r="V55" s="48"/>
      <c r="W55" s="48"/>
      <c r="X55" s="48"/>
    </row>
    <row r="56" spans="1:24">
      <c r="A56" s="44" t="s">
        <v>81</v>
      </c>
      <c r="B56" s="35">
        <v>48</v>
      </c>
      <c r="C56" s="35">
        <v>1</v>
      </c>
      <c r="D56" s="35">
        <v>1</v>
      </c>
      <c r="E56" s="35">
        <v>1</v>
      </c>
      <c r="F56" s="27" t="s">
        <v>10</v>
      </c>
      <c r="G56" s="34">
        <v>-0.670000017</v>
      </c>
      <c r="H56" s="37">
        <v>5.0000000699999998E-2</v>
      </c>
      <c r="I56" s="37">
        <v>0.5</v>
      </c>
      <c r="J56" s="57">
        <f>VLOOKUP($B56, 'Level Table'!$A$2:$B$51, 2)</f>
        <v>1560</v>
      </c>
      <c r="K56" s="58">
        <f t="shared" si="0"/>
        <v>504.64</v>
      </c>
      <c r="L56" s="59">
        <f>$C56*$B$12*(1+$G56)</f>
        <v>98.999994900000004</v>
      </c>
      <c r="M56" s="60">
        <f>$D56*$B$16*(1+$G56)*0.66*0.77</f>
        <v>50.311797408180006</v>
      </c>
      <c r="N56" s="60">
        <f t="shared" si="1"/>
        <v>78.000001091999991</v>
      </c>
      <c r="O56" s="60">
        <f t="shared" si="2"/>
        <v>252.32</v>
      </c>
      <c r="P56" s="91">
        <f t="shared" si="3"/>
        <v>479.63179340017996</v>
      </c>
      <c r="Q56" s="92">
        <f>(P56+P57)/2</f>
        <v>509.99185783617656</v>
      </c>
      <c r="R56" s="47"/>
      <c r="U56" s="48"/>
      <c r="V56" s="48"/>
      <c r="W56" s="48"/>
      <c r="X56" s="48"/>
    </row>
    <row r="57" spans="1:24">
      <c r="A57" s="44" t="s">
        <v>82</v>
      </c>
      <c r="B57" s="19">
        <v>48</v>
      </c>
      <c r="C57" s="19">
        <v>1</v>
      </c>
      <c r="D57" s="19">
        <v>1</v>
      </c>
      <c r="E57" s="19">
        <v>1</v>
      </c>
      <c r="F57" s="18" t="s">
        <v>10</v>
      </c>
      <c r="G57" s="34">
        <v>-0.670000017</v>
      </c>
      <c r="H57" s="37">
        <v>5.0000000699999998E-2</v>
      </c>
      <c r="I57" s="37">
        <v>0.5</v>
      </c>
      <c r="J57" s="57">
        <f>VLOOKUP($B57, 'Level Table'!$A$2:$B$51, 2)</f>
        <v>1560</v>
      </c>
      <c r="K57" s="58">
        <f t="shared" si="0"/>
        <v>504.64</v>
      </c>
      <c r="L57" s="59">
        <f>$C57*$B$13*(1+$G57)</f>
        <v>139.259992826</v>
      </c>
      <c r="M57" s="60">
        <f>$D57*$B$17*(1+$G57)*0.66*0.77</f>
        <v>70.771928354173198</v>
      </c>
      <c r="N57" s="60">
        <f t="shared" si="1"/>
        <v>78.000001091999991</v>
      </c>
      <c r="O57" s="60">
        <f t="shared" si="2"/>
        <v>252.32</v>
      </c>
      <c r="P57" s="91">
        <f t="shared" si="3"/>
        <v>540.35192227217317</v>
      </c>
      <c r="Q57" s="93"/>
      <c r="R57" s="47"/>
      <c r="S57" s="62"/>
      <c r="T57" s="63"/>
      <c r="U57" s="48"/>
      <c r="V57" s="48"/>
      <c r="W57" s="48"/>
      <c r="X57" s="48"/>
    </row>
    <row r="58" spans="1:24">
      <c r="A58" s="45" t="s">
        <v>33</v>
      </c>
      <c r="B58" s="24">
        <v>40</v>
      </c>
      <c r="C58" s="24">
        <v>0</v>
      </c>
      <c r="D58" s="24">
        <v>0</v>
      </c>
      <c r="E58" s="24">
        <v>5</v>
      </c>
      <c r="F58" s="23" t="s">
        <v>9</v>
      </c>
      <c r="G58" s="25">
        <v>9.9999997799999994E-3</v>
      </c>
      <c r="H58" s="26">
        <v>4.4999999999999998E-2</v>
      </c>
      <c r="I58" s="26">
        <v>0.45200000000000001</v>
      </c>
      <c r="J58" s="53">
        <f>VLOOKUP($B58, 'Level Table'!$A$2:$B$51, 2)</f>
        <v>1380</v>
      </c>
      <c r="K58" s="54">
        <f t="shared" si="0"/>
        <v>786.86</v>
      </c>
      <c r="L58" s="55">
        <f>$C58*$B$12*(1+$G58)</f>
        <v>0</v>
      </c>
      <c r="M58" s="56">
        <f>$D58*$B$16*(1+$G58)*0.66*0.77</f>
        <v>0</v>
      </c>
      <c r="N58" s="56">
        <f t="shared" si="1"/>
        <v>62.099999999999994</v>
      </c>
      <c r="O58" s="56">
        <f t="shared" si="2"/>
        <v>355.66072000000003</v>
      </c>
      <c r="P58" s="87">
        <f t="shared" si="3"/>
        <v>2088.8036000000002</v>
      </c>
      <c r="Q58" s="88">
        <f>P58+P59</f>
        <v>3198.6356000000001</v>
      </c>
      <c r="R58" s="47"/>
      <c r="U58" s="46"/>
      <c r="V58" s="46"/>
      <c r="W58" s="46"/>
      <c r="X58" s="46"/>
    </row>
    <row r="59" spans="1:24">
      <c r="A59" s="22" t="s">
        <v>43</v>
      </c>
      <c r="B59" s="24">
        <v>40</v>
      </c>
      <c r="C59" s="24">
        <v>0</v>
      </c>
      <c r="D59" s="24">
        <v>0</v>
      </c>
      <c r="E59" s="24">
        <v>1</v>
      </c>
      <c r="F59" s="23" t="s">
        <v>9</v>
      </c>
      <c r="G59" s="25">
        <v>9.9999997799999994E-3</v>
      </c>
      <c r="H59" s="26">
        <v>0.12</v>
      </c>
      <c r="I59" s="26">
        <v>1.2</v>
      </c>
      <c r="J59" s="53">
        <f>VLOOKUP($B59, 'Level Table'!$A$2:$B$51, 2)</f>
        <v>1380</v>
      </c>
      <c r="K59" s="54">
        <f t="shared" si="0"/>
        <v>786.86</v>
      </c>
      <c r="L59" s="55">
        <f>$C59*$B$13*(1+$G59)</f>
        <v>0</v>
      </c>
      <c r="M59" s="56">
        <f>$D59*$B$17*(1+$G59)*0.66*0.77</f>
        <v>0</v>
      </c>
      <c r="N59" s="56">
        <f t="shared" si="1"/>
        <v>165.6</v>
      </c>
      <c r="O59" s="56">
        <f t="shared" si="2"/>
        <v>944.23199999999997</v>
      </c>
      <c r="P59" s="87">
        <f t="shared" si="3"/>
        <v>1109.8319999999999</v>
      </c>
      <c r="Q59" s="89"/>
      <c r="R59" s="47"/>
      <c r="U59" s="46"/>
      <c r="V59" s="46"/>
      <c r="W59" s="46"/>
      <c r="X59" s="46"/>
    </row>
    <row r="60" spans="1:24">
      <c r="A60" s="17" t="s">
        <v>25</v>
      </c>
      <c r="B60" s="35">
        <v>40</v>
      </c>
      <c r="C60" s="35">
        <v>1</v>
      </c>
      <c r="D60" s="35">
        <v>1</v>
      </c>
      <c r="E60" s="35">
        <v>1</v>
      </c>
      <c r="F60" s="27" t="s">
        <v>10</v>
      </c>
      <c r="G60" s="34">
        <v>0.89999997600000003</v>
      </c>
      <c r="H60" s="37">
        <v>0.28499999599999998</v>
      </c>
      <c r="I60" s="37">
        <v>2.8499998999999998</v>
      </c>
      <c r="J60" s="57">
        <f>VLOOKUP($B60, 'Level Table'!$A$2:$B$51, 2)</f>
        <v>1380</v>
      </c>
      <c r="K60" s="58">
        <f t="shared" ref="K60:K79" si="4">IF($F60="melee",$B$24,$B$25)</f>
        <v>504.64</v>
      </c>
      <c r="L60" s="59">
        <f>$C60*$B$12*(1+$G60)</f>
        <v>569.99999280000009</v>
      </c>
      <c r="M60" s="60">
        <f>$D60*$B$16*(1+$G60)*0.66*0.77</f>
        <v>289.67399634096006</v>
      </c>
      <c r="N60" s="60">
        <f t="shared" si="1"/>
        <v>393.29999447999995</v>
      </c>
      <c r="O60" s="60">
        <f t="shared" si="2"/>
        <v>1438.223949536</v>
      </c>
      <c r="P60" s="91">
        <f t="shared" si="3"/>
        <v>2691.1979331569601</v>
      </c>
      <c r="Q60" s="92">
        <f>(P60+P61)/2</f>
        <v>2865.9983109489553</v>
      </c>
      <c r="R60" s="47"/>
      <c r="U60" s="48"/>
      <c r="V60" s="48"/>
      <c r="W60" s="48"/>
      <c r="X60" s="48"/>
    </row>
    <row r="61" spans="1:24">
      <c r="A61" s="17" t="s">
        <v>26</v>
      </c>
      <c r="B61" s="19">
        <v>40</v>
      </c>
      <c r="C61" s="19">
        <v>1</v>
      </c>
      <c r="D61" s="19">
        <v>1</v>
      </c>
      <c r="E61" s="19">
        <v>1</v>
      </c>
      <c r="F61" s="18" t="s">
        <v>10</v>
      </c>
      <c r="G61" s="34">
        <v>0.89999997600000003</v>
      </c>
      <c r="H61" s="37">
        <v>0.28499999599999998</v>
      </c>
      <c r="I61" s="37">
        <v>2.8499998999999998</v>
      </c>
      <c r="J61" s="57">
        <f>VLOOKUP($B61, 'Level Table'!$A$2:$B$51, 2)</f>
        <v>1380</v>
      </c>
      <c r="K61" s="58">
        <f t="shared" si="4"/>
        <v>504.64</v>
      </c>
      <c r="L61" s="59">
        <f>$C61*$B$13*(1+$G61)</f>
        <v>801.79998987200008</v>
      </c>
      <c r="M61" s="60">
        <f>$D61*$B$17*(1+$G61)*0.66*0.77</f>
        <v>407.47475485295047</v>
      </c>
      <c r="N61" s="60">
        <f t="shared" si="1"/>
        <v>393.29999447999995</v>
      </c>
      <c r="O61" s="60">
        <f t="shared" si="2"/>
        <v>1438.223949536</v>
      </c>
      <c r="P61" s="91">
        <f t="shared" si="3"/>
        <v>3040.7986887409506</v>
      </c>
      <c r="Q61" s="93"/>
      <c r="R61" s="47"/>
      <c r="U61" s="48"/>
      <c r="V61" s="48"/>
      <c r="W61" s="48"/>
      <c r="X61" s="48"/>
    </row>
    <row r="62" spans="1:24">
      <c r="A62" s="22" t="s">
        <v>27</v>
      </c>
      <c r="B62" s="24">
        <v>20</v>
      </c>
      <c r="C62" s="24">
        <v>0</v>
      </c>
      <c r="D62" s="24">
        <v>0</v>
      </c>
      <c r="E62" s="24">
        <v>2</v>
      </c>
      <c r="F62" s="23" t="s">
        <v>9</v>
      </c>
      <c r="G62" s="33">
        <v>9.9999997799999994E-3</v>
      </c>
      <c r="H62" s="38">
        <v>1.9999999599999999E-2</v>
      </c>
      <c r="I62" s="38">
        <v>0.20000000300000001</v>
      </c>
      <c r="J62" s="53">
        <f>VLOOKUP($B62, 'Level Table'!$A$2:$B$51, 2)</f>
        <v>790</v>
      </c>
      <c r="K62" s="54">
        <f t="shared" si="4"/>
        <v>786.86</v>
      </c>
      <c r="L62" s="55">
        <f>$C62*$B$12*(1+$G62)</f>
        <v>0</v>
      </c>
      <c r="M62" s="56">
        <f>$D62*$B$16*(1+$G62)*0.66*0.77</f>
        <v>0</v>
      </c>
      <c r="N62" s="56">
        <f t="shared" si="1"/>
        <v>15.799999683999999</v>
      </c>
      <c r="O62" s="56">
        <f t="shared" si="2"/>
        <v>157.37200236058001</v>
      </c>
      <c r="P62" s="87">
        <f t="shared" si="3"/>
        <v>346.34400408916002</v>
      </c>
      <c r="Q62" s="88">
        <f>P62*3</f>
        <v>1039.03201226748</v>
      </c>
      <c r="R62" s="47"/>
      <c r="U62" s="48"/>
      <c r="V62" s="48"/>
      <c r="W62" s="48"/>
      <c r="X62" s="48"/>
    </row>
    <row r="63" spans="1:24">
      <c r="A63" s="17" t="s">
        <v>28</v>
      </c>
      <c r="B63" s="35">
        <v>20</v>
      </c>
      <c r="C63" s="35">
        <v>0</v>
      </c>
      <c r="D63" s="35">
        <v>0</v>
      </c>
      <c r="E63" s="35">
        <v>1</v>
      </c>
      <c r="F63" s="27" t="s">
        <v>9</v>
      </c>
      <c r="G63" s="34">
        <v>9.9999997799999994E-3</v>
      </c>
      <c r="H63" s="37">
        <v>3.4000001799999999E-2</v>
      </c>
      <c r="I63" s="37">
        <v>0.342999995</v>
      </c>
      <c r="J63" s="57">
        <f>VLOOKUP($B63, 'Level Table'!$A$2:$B$51, 2)</f>
        <v>790</v>
      </c>
      <c r="K63" s="58">
        <f t="shared" si="4"/>
        <v>786.86</v>
      </c>
      <c r="L63" s="59">
        <f>$C63*$B$12*(1+$G63)</f>
        <v>0</v>
      </c>
      <c r="M63" s="60">
        <f>$D63*$B$16*(1+$G63)*0.66*0.77</f>
        <v>0</v>
      </c>
      <c r="N63" s="60">
        <f t="shared" si="1"/>
        <v>26.860001422</v>
      </c>
      <c r="O63" s="60">
        <f t="shared" si="2"/>
        <v>269.8929760657</v>
      </c>
      <c r="P63" s="91">
        <f t="shared" si="3"/>
        <v>296.75297748769998</v>
      </c>
      <c r="Q63" s="92">
        <f>P63</f>
        <v>296.75297748769998</v>
      </c>
      <c r="R63" s="47"/>
      <c r="U63" s="48"/>
      <c r="V63" s="48"/>
      <c r="W63" s="48"/>
      <c r="X63" s="48"/>
    </row>
    <row r="64" spans="1:24">
      <c r="A64" s="22" t="s">
        <v>29</v>
      </c>
      <c r="B64" s="24">
        <v>30</v>
      </c>
      <c r="C64" s="24">
        <v>1</v>
      </c>
      <c r="D64" s="24">
        <v>1</v>
      </c>
      <c r="E64" s="24">
        <v>1</v>
      </c>
      <c r="F64" s="23" t="s">
        <v>10</v>
      </c>
      <c r="G64" s="33">
        <v>-9.0000003600000003E-2</v>
      </c>
      <c r="H64" s="38">
        <v>0.13699999500000001</v>
      </c>
      <c r="I64" s="38">
        <v>1.37</v>
      </c>
      <c r="J64" s="53">
        <f>VLOOKUP($B64, 'Level Table'!$A$2:$B$51, 2)</f>
        <v>1130</v>
      </c>
      <c r="K64" s="54">
        <f t="shared" si="4"/>
        <v>504.64</v>
      </c>
      <c r="L64" s="55">
        <f>$C64*$B$12*(1+$G64)</f>
        <v>272.99999892</v>
      </c>
      <c r="M64" s="56">
        <f>$D64*$B$16*(1+$G64)*0.66*0.77</f>
        <v>138.73859945114401</v>
      </c>
      <c r="N64" s="56">
        <f t="shared" si="1"/>
        <v>154.80999435000001</v>
      </c>
      <c r="O64" s="56">
        <f t="shared" si="2"/>
        <v>691.35680000000002</v>
      </c>
      <c r="P64" s="87">
        <f t="shared" si="3"/>
        <v>1257.9053927211439</v>
      </c>
      <c r="Q64" s="88">
        <f>(P64+P65)/2</f>
        <v>1341.6255743899433</v>
      </c>
      <c r="R64" s="47"/>
      <c r="U64" s="48"/>
      <c r="V64" s="48"/>
      <c r="W64" s="48"/>
      <c r="X64" s="48"/>
    </row>
    <row r="65" spans="1:24">
      <c r="A65" s="22" t="s">
        <v>30</v>
      </c>
      <c r="B65" s="24">
        <v>30</v>
      </c>
      <c r="C65" s="24">
        <v>1</v>
      </c>
      <c r="D65" s="24">
        <v>1</v>
      </c>
      <c r="E65" s="24">
        <v>1</v>
      </c>
      <c r="F65" s="23" t="s">
        <v>10</v>
      </c>
      <c r="G65" s="33">
        <v>-9.0000003600000003E-2</v>
      </c>
      <c r="H65" s="38">
        <v>0.13699999500000001</v>
      </c>
      <c r="I65" s="38">
        <v>1.37</v>
      </c>
      <c r="J65" s="53">
        <f>VLOOKUP($B65, 'Level Table'!$A$2:$B$51, 2)</f>
        <v>1130</v>
      </c>
      <c r="K65" s="54">
        <f t="shared" si="4"/>
        <v>504.64</v>
      </c>
      <c r="L65" s="55">
        <f>$C65*$B$13*(1+$G65)</f>
        <v>384.01999848079998</v>
      </c>
      <c r="M65" s="56">
        <f>$D65*$B$17*(1+$G65)*0.66*0.77</f>
        <v>195.15896322794256</v>
      </c>
      <c r="N65" s="56">
        <f t="shared" si="1"/>
        <v>154.80999435000001</v>
      </c>
      <c r="O65" s="56">
        <f t="shared" si="2"/>
        <v>691.35680000000002</v>
      </c>
      <c r="P65" s="87">
        <f t="shared" si="3"/>
        <v>1425.3457560587426</v>
      </c>
      <c r="Q65" s="89"/>
      <c r="R65" s="47"/>
      <c r="U65" s="48"/>
      <c r="V65" s="48"/>
      <c r="W65" s="48"/>
      <c r="X65" s="48"/>
    </row>
    <row r="66" spans="1:24">
      <c r="A66" s="17" t="s">
        <v>31</v>
      </c>
      <c r="B66" s="19">
        <v>20</v>
      </c>
      <c r="C66" s="19">
        <v>1</v>
      </c>
      <c r="D66" s="19">
        <v>0</v>
      </c>
      <c r="E66" s="19">
        <v>1</v>
      </c>
      <c r="F66" s="18" t="s">
        <v>10</v>
      </c>
      <c r="G66" s="20">
        <v>0.23000000400000001</v>
      </c>
      <c r="H66" s="21">
        <v>0.184</v>
      </c>
      <c r="I66" s="21">
        <v>1.8400000299999999</v>
      </c>
      <c r="J66" s="57">
        <f>VLOOKUP($B66, 'Level Table'!$A$2:$B$51, 2)</f>
        <v>790</v>
      </c>
      <c r="K66" s="58">
        <f t="shared" si="4"/>
        <v>504.64</v>
      </c>
      <c r="L66" s="59">
        <f>$C66*$B$12*(1+$G66)</f>
        <v>369.00000120000004</v>
      </c>
      <c r="M66" s="60">
        <f>$D66*$B$16*(1+$G66)*0.66*0.77</f>
        <v>0</v>
      </c>
      <c r="N66" s="60">
        <f t="shared" si="1"/>
        <v>145.35999999999999</v>
      </c>
      <c r="O66" s="60">
        <f t="shared" si="2"/>
        <v>928.53761513919994</v>
      </c>
      <c r="P66" s="91">
        <f t="shared" si="3"/>
        <v>1442.8976163391999</v>
      </c>
      <c r="Q66" s="92">
        <f>(P66+P67)/2</f>
        <v>1517.9276165832</v>
      </c>
      <c r="R66" s="47"/>
      <c r="U66" s="46"/>
      <c r="V66" s="46"/>
      <c r="W66" s="46"/>
      <c r="X66" s="46"/>
    </row>
    <row r="67" spans="1:24">
      <c r="A67" s="17" t="s">
        <v>32</v>
      </c>
      <c r="B67" s="19">
        <v>20</v>
      </c>
      <c r="C67" s="19">
        <v>1</v>
      </c>
      <c r="D67" s="19">
        <v>0</v>
      </c>
      <c r="E67" s="19">
        <v>1</v>
      </c>
      <c r="F67" s="18" t="s">
        <v>10</v>
      </c>
      <c r="G67" s="20">
        <v>0.23000000400000001</v>
      </c>
      <c r="H67" s="21">
        <v>0.184</v>
      </c>
      <c r="I67" s="21">
        <v>1.8400000299999999</v>
      </c>
      <c r="J67" s="57">
        <f>VLOOKUP($B67, 'Level Table'!$A$2:$B$51, 2)</f>
        <v>790</v>
      </c>
      <c r="K67" s="58">
        <f t="shared" si="4"/>
        <v>504.64</v>
      </c>
      <c r="L67" s="59">
        <f>$C67*$B$13*(1+$G67)</f>
        <v>519.06000168800006</v>
      </c>
      <c r="M67" s="60">
        <f>$D67*$B$17*(1+$G67)*0.66*0.77</f>
        <v>0</v>
      </c>
      <c r="N67" s="60">
        <f t="shared" si="1"/>
        <v>145.35999999999999</v>
      </c>
      <c r="O67" s="60">
        <f t="shared" si="2"/>
        <v>928.53761513919994</v>
      </c>
      <c r="P67" s="91">
        <f t="shared" si="3"/>
        <v>1592.9576168272001</v>
      </c>
      <c r="Q67" s="93"/>
      <c r="R67" s="47"/>
      <c r="U67" s="46"/>
      <c r="V67" s="46"/>
      <c r="W67" s="46"/>
      <c r="X67" s="46"/>
    </row>
    <row r="68" spans="1:24">
      <c r="A68" s="22" t="s">
        <v>45</v>
      </c>
      <c r="B68" s="36">
        <v>40</v>
      </c>
      <c r="C68" s="36">
        <v>1</v>
      </c>
      <c r="D68" s="36">
        <v>1</v>
      </c>
      <c r="E68" s="36">
        <v>1</v>
      </c>
      <c r="F68" s="30" t="s">
        <v>10</v>
      </c>
      <c r="G68" s="33">
        <v>-0.11</v>
      </c>
      <c r="H68" s="38">
        <v>0.13400000000000001</v>
      </c>
      <c r="I68" s="38">
        <v>1.34</v>
      </c>
      <c r="J68" s="53">
        <f>VLOOKUP($B68, 'Level Table'!$A$2:$B$51, 2)</f>
        <v>1380</v>
      </c>
      <c r="K68" s="54">
        <f t="shared" si="4"/>
        <v>504.64</v>
      </c>
      <c r="L68" s="55">
        <f>$C68*$B$12*(1+$G68)</f>
        <v>267</v>
      </c>
      <c r="M68" s="56">
        <f>$D68*$B$16*(1+$G68)*0.66*0.77</f>
        <v>135.68940000000001</v>
      </c>
      <c r="N68" s="56">
        <f t="shared" si="1"/>
        <v>184.92000000000002</v>
      </c>
      <c r="O68" s="56">
        <f t="shared" si="2"/>
        <v>676.21760000000006</v>
      </c>
      <c r="P68" s="87">
        <f t="shared" si="3"/>
        <v>1263.8270000000002</v>
      </c>
      <c r="Q68" s="88">
        <f>(P68+P69)/2</f>
        <v>1345.7071780000001</v>
      </c>
      <c r="R68" s="47"/>
      <c r="S68" s="66"/>
      <c r="U68" s="48"/>
      <c r="V68" s="48"/>
      <c r="W68" s="48"/>
      <c r="X68" s="48"/>
    </row>
    <row r="69" spans="1:24">
      <c r="A69" s="22" t="s">
        <v>45</v>
      </c>
      <c r="B69" s="36">
        <v>40</v>
      </c>
      <c r="C69" s="24">
        <v>1</v>
      </c>
      <c r="D69" s="24">
        <v>1</v>
      </c>
      <c r="E69" s="24">
        <v>1</v>
      </c>
      <c r="F69" s="23" t="s">
        <v>10</v>
      </c>
      <c r="G69" s="33">
        <v>-0.11</v>
      </c>
      <c r="H69" s="38">
        <v>0.13400000000000001</v>
      </c>
      <c r="I69" s="38">
        <v>1.34</v>
      </c>
      <c r="J69" s="53">
        <f>VLOOKUP($B69, 'Level Table'!$A$2:$B$51, 2)</f>
        <v>1380</v>
      </c>
      <c r="K69" s="54">
        <f t="shared" si="4"/>
        <v>504.64</v>
      </c>
      <c r="L69" s="55">
        <f>$C69*$B$13*(1+$G69)</f>
        <v>375.58</v>
      </c>
      <c r="M69" s="56">
        <f>$D69*$B$17*(1+$G69)*0.66*0.77</f>
        <v>190.869756</v>
      </c>
      <c r="N69" s="56">
        <f t="shared" si="1"/>
        <v>184.92000000000002</v>
      </c>
      <c r="O69" s="56">
        <f t="shared" si="2"/>
        <v>676.21760000000006</v>
      </c>
      <c r="P69" s="87">
        <f t="shared" si="3"/>
        <v>1427.587356</v>
      </c>
      <c r="Q69" s="89"/>
      <c r="R69" s="47"/>
      <c r="S69" s="48"/>
      <c r="T69" s="48"/>
      <c r="U69" s="48"/>
      <c r="V69" s="48"/>
      <c r="W69" s="48"/>
      <c r="X69" s="48"/>
    </row>
    <row r="70" spans="1:24">
      <c r="A70" s="17" t="s">
        <v>61</v>
      </c>
      <c r="B70" s="35">
        <v>49</v>
      </c>
      <c r="C70" s="35">
        <v>0</v>
      </c>
      <c r="D70" s="35">
        <v>0</v>
      </c>
      <c r="E70" s="35">
        <v>1</v>
      </c>
      <c r="F70" s="27" t="s">
        <v>9</v>
      </c>
      <c r="G70" s="34">
        <v>0</v>
      </c>
      <c r="H70" s="37">
        <v>0.24199999999999999</v>
      </c>
      <c r="I70" s="37">
        <v>2.52</v>
      </c>
      <c r="J70" s="57">
        <f>VLOOKUP($B70, 'Level Table'!$A$2:$B$51, 2)</f>
        <v>1575</v>
      </c>
      <c r="K70" s="58">
        <f t="shared" si="4"/>
        <v>786.86</v>
      </c>
      <c r="L70" s="59">
        <f>$C70*$B$12*(1+$G70)</f>
        <v>0</v>
      </c>
      <c r="M70" s="60">
        <f>$D70*$B$16*(1+$G70)*0.66*0.77</f>
        <v>0</v>
      </c>
      <c r="N70" s="60">
        <f t="shared" si="1"/>
        <v>381.15</v>
      </c>
      <c r="O70" s="60">
        <f t="shared" si="2"/>
        <v>1982.8872000000001</v>
      </c>
      <c r="P70" s="91">
        <f t="shared" si="3"/>
        <v>2364.0372000000002</v>
      </c>
      <c r="Q70" s="92">
        <f>(P70+P71)/2</f>
        <v>2379.7872000000002</v>
      </c>
      <c r="R70" s="48"/>
      <c r="S70" s="48"/>
      <c r="T70" s="48"/>
      <c r="U70" s="48"/>
      <c r="V70" s="48"/>
      <c r="W70" s="48"/>
      <c r="X70" s="48"/>
    </row>
    <row r="71" spans="1:24">
      <c r="A71" s="17" t="s">
        <v>62</v>
      </c>
      <c r="B71" s="35">
        <v>49</v>
      </c>
      <c r="C71" s="35">
        <v>0</v>
      </c>
      <c r="D71" s="35">
        <v>0</v>
      </c>
      <c r="E71" s="35">
        <v>1</v>
      </c>
      <c r="F71" s="27" t="s">
        <v>9</v>
      </c>
      <c r="G71" s="34">
        <v>0</v>
      </c>
      <c r="H71" s="37">
        <v>0.26200000000000001</v>
      </c>
      <c r="I71" s="37">
        <v>2.52</v>
      </c>
      <c r="J71" s="57">
        <f>VLOOKUP($B71, 'Level Table'!$A$2:$B$51, 2)</f>
        <v>1575</v>
      </c>
      <c r="K71" s="58">
        <f t="shared" si="4"/>
        <v>786.86</v>
      </c>
      <c r="L71" s="59">
        <f>$C71*$B$13*(1+$G71)</f>
        <v>0</v>
      </c>
      <c r="M71" s="60">
        <f>$D71*$B$17*(1+$G71)*0.66*0.77</f>
        <v>0</v>
      </c>
      <c r="N71" s="60">
        <f t="shared" si="1"/>
        <v>412.65000000000003</v>
      </c>
      <c r="O71" s="60">
        <f t="shared" si="2"/>
        <v>1982.8872000000001</v>
      </c>
      <c r="P71" s="91">
        <f t="shared" si="3"/>
        <v>2395.5372000000002</v>
      </c>
      <c r="Q71" s="93"/>
      <c r="R71" s="48"/>
      <c r="S71" s="48"/>
      <c r="T71" s="48"/>
      <c r="U71" s="48"/>
      <c r="V71" s="48"/>
      <c r="W71" s="48"/>
      <c r="X71" s="48"/>
    </row>
    <row r="72" spans="1:24">
      <c r="A72" s="17" t="s">
        <v>63</v>
      </c>
      <c r="B72" s="35">
        <v>49</v>
      </c>
      <c r="C72" s="35">
        <v>0</v>
      </c>
      <c r="D72" s="35">
        <v>0</v>
      </c>
      <c r="E72" s="35">
        <v>1</v>
      </c>
      <c r="F72" s="27" t="s">
        <v>9</v>
      </c>
      <c r="G72" s="34">
        <v>0</v>
      </c>
      <c r="H72" s="37">
        <v>0.33300000000000002</v>
      </c>
      <c r="I72" s="37">
        <v>3.43</v>
      </c>
      <c r="J72" s="57">
        <f>VLOOKUP($B72, 'Level Table'!$A$2:$B$51, 2)</f>
        <v>1575</v>
      </c>
      <c r="K72" s="58">
        <f t="shared" si="4"/>
        <v>786.86</v>
      </c>
      <c r="L72" s="59">
        <f>$C72*$B$12*(1+$G72)</f>
        <v>0</v>
      </c>
      <c r="M72" s="60">
        <f>$D72*$B$16*(1+$G72)*0.66*0.77</f>
        <v>0</v>
      </c>
      <c r="N72" s="60">
        <f t="shared" si="1"/>
        <v>524.47500000000002</v>
      </c>
      <c r="O72" s="60">
        <f t="shared" si="2"/>
        <v>2698.9298000000003</v>
      </c>
      <c r="P72" s="91">
        <f t="shared" si="3"/>
        <v>3223.4048000000003</v>
      </c>
      <c r="Q72" s="92">
        <f>(P72+P73)/2</f>
        <v>3239.1548000000003</v>
      </c>
      <c r="R72" s="48"/>
      <c r="S72" s="48"/>
      <c r="T72" s="48"/>
      <c r="U72" s="48"/>
      <c r="V72" s="48"/>
      <c r="W72" s="48"/>
      <c r="X72" s="48"/>
    </row>
    <row r="73" spans="1:24">
      <c r="A73" s="17" t="s">
        <v>64</v>
      </c>
      <c r="B73" s="35">
        <v>49</v>
      </c>
      <c r="C73" s="35">
        <v>0</v>
      </c>
      <c r="D73" s="35">
        <v>0</v>
      </c>
      <c r="E73" s="35">
        <v>1</v>
      </c>
      <c r="F73" s="27" t="s">
        <v>9</v>
      </c>
      <c r="G73" s="34">
        <v>0</v>
      </c>
      <c r="H73" s="37">
        <v>0.35299999999999998</v>
      </c>
      <c r="I73" s="37">
        <v>3.43</v>
      </c>
      <c r="J73" s="57">
        <f>VLOOKUP($B73, 'Level Table'!$A$2:$B$51, 2)</f>
        <v>1575</v>
      </c>
      <c r="K73" s="58">
        <f t="shared" si="4"/>
        <v>786.86</v>
      </c>
      <c r="L73" s="59">
        <f>$C73*$B$13*(1+$G73)</f>
        <v>0</v>
      </c>
      <c r="M73" s="60">
        <f>$D73*$B$17*(1+$G73)*0.66*0.77</f>
        <v>0</v>
      </c>
      <c r="N73" s="60">
        <f t="shared" si="1"/>
        <v>555.97500000000002</v>
      </c>
      <c r="O73" s="60">
        <f t="shared" si="2"/>
        <v>2698.9298000000003</v>
      </c>
      <c r="P73" s="91">
        <f t="shared" si="3"/>
        <v>3254.9048000000003</v>
      </c>
      <c r="Q73" s="93"/>
      <c r="R73" s="48"/>
      <c r="S73" s="48"/>
      <c r="T73" s="48"/>
      <c r="U73" s="48"/>
      <c r="V73" s="48"/>
      <c r="W73" s="48"/>
      <c r="X73" s="48"/>
    </row>
    <row r="74" spans="1:24">
      <c r="A74" s="22" t="s">
        <v>67</v>
      </c>
      <c r="B74" s="36">
        <v>47</v>
      </c>
      <c r="C74" s="36">
        <v>0</v>
      </c>
      <c r="D74" s="36">
        <v>0</v>
      </c>
      <c r="E74" s="36">
        <v>1</v>
      </c>
      <c r="F74" s="30" t="s">
        <v>9</v>
      </c>
      <c r="G74" s="33">
        <v>0</v>
      </c>
      <c r="H74" s="38">
        <v>0.17499999999999999</v>
      </c>
      <c r="I74" s="38">
        <v>1.85</v>
      </c>
      <c r="J74" s="53">
        <f>VLOOKUP($B74, 'Level Table'!$A$2:$B$51, 2)</f>
        <v>1545</v>
      </c>
      <c r="K74" s="54">
        <f t="shared" si="4"/>
        <v>786.86</v>
      </c>
      <c r="L74" s="55">
        <f>$C74*$B$12*(1+$G74)</f>
        <v>0</v>
      </c>
      <c r="M74" s="56">
        <f>$D74*$B$16*(1+$G74)*0.66*0.77</f>
        <v>0</v>
      </c>
      <c r="N74" s="56">
        <f t="shared" si="1"/>
        <v>270.375</v>
      </c>
      <c r="O74" s="56">
        <f t="shared" si="2"/>
        <v>1455.691</v>
      </c>
      <c r="P74" s="87">
        <f t="shared" si="3"/>
        <v>1726.066</v>
      </c>
      <c r="Q74" s="88">
        <f>(P74+P75)/2</f>
        <v>1741.5160000000001</v>
      </c>
      <c r="R74" s="48"/>
      <c r="S74" s="48"/>
      <c r="T74" s="48"/>
      <c r="U74" s="48"/>
      <c r="V74" s="48"/>
      <c r="W74" s="48"/>
      <c r="X74" s="48"/>
    </row>
    <row r="75" spans="1:24">
      <c r="A75" s="22" t="s">
        <v>68</v>
      </c>
      <c r="B75" s="36">
        <v>47</v>
      </c>
      <c r="C75" s="36">
        <v>0</v>
      </c>
      <c r="D75" s="36">
        <v>0</v>
      </c>
      <c r="E75" s="36">
        <v>1</v>
      </c>
      <c r="F75" s="30" t="s">
        <v>9</v>
      </c>
      <c r="G75" s="33">
        <v>0</v>
      </c>
      <c r="H75" s="38">
        <v>0.19500000000000001</v>
      </c>
      <c r="I75" s="38">
        <v>1.85</v>
      </c>
      <c r="J75" s="53">
        <f>VLOOKUP($B75, 'Level Table'!$A$2:$B$51, 2)</f>
        <v>1545</v>
      </c>
      <c r="K75" s="54">
        <f t="shared" si="4"/>
        <v>786.86</v>
      </c>
      <c r="L75" s="55">
        <f>$C75*$B$13*(1+$G75)</f>
        <v>0</v>
      </c>
      <c r="M75" s="56">
        <f>$D75*$B$17*(1+$G75)*0.66*0.77</f>
        <v>0</v>
      </c>
      <c r="N75" s="56">
        <f t="shared" si="1"/>
        <v>301.27500000000003</v>
      </c>
      <c r="O75" s="56">
        <f t="shared" si="2"/>
        <v>1455.691</v>
      </c>
      <c r="P75" s="87">
        <f t="shared" si="3"/>
        <v>1756.9660000000001</v>
      </c>
      <c r="Q75" s="89"/>
      <c r="R75" s="48"/>
      <c r="S75" s="48"/>
      <c r="T75" s="48"/>
      <c r="U75" s="48"/>
      <c r="V75" s="48"/>
      <c r="W75" s="48"/>
      <c r="X75" s="48"/>
    </row>
    <row r="76" spans="1:24">
      <c r="A76" s="22" t="s">
        <v>69</v>
      </c>
      <c r="B76" s="36">
        <v>47</v>
      </c>
      <c r="C76" s="36">
        <v>0</v>
      </c>
      <c r="D76" s="36">
        <v>0</v>
      </c>
      <c r="E76" s="36">
        <v>1</v>
      </c>
      <c r="F76" s="30" t="s">
        <v>9</v>
      </c>
      <c r="G76" s="33">
        <v>0</v>
      </c>
      <c r="H76" s="38">
        <v>0.26500000000000001</v>
      </c>
      <c r="I76" s="38">
        <v>2.75</v>
      </c>
      <c r="J76" s="53">
        <f>VLOOKUP($B76, 'Level Table'!$A$2:$B$51, 2)</f>
        <v>1545</v>
      </c>
      <c r="K76" s="54">
        <f t="shared" si="4"/>
        <v>786.86</v>
      </c>
      <c r="L76" s="55">
        <f>$C76*$B$12*(1+$G76)</f>
        <v>0</v>
      </c>
      <c r="M76" s="56">
        <f>$D76*$B$16*(1+$G76)*0.66*0.77</f>
        <v>0</v>
      </c>
      <c r="N76" s="56">
        <f t="shared" si="1"/>
        <v>409.42500000000001</v>
      </c>
      <c r="O76" s="56">
        <f t="shared" si="2"/>
        <v>2163.8650000000002</v>
      </c>
      <c r="P76" s="87">
        <f t="shared" si="3"/>
        <v>2573.2900000000004</v>
      </c>
      <c r="Q76" s="88">
        <f>(P76+P77)/2</f>
        <v>2588.7400000000002</v>
      </c>
      <c r="R76" s="48"/>
      <c r="S76" s="48"/>
      <c r="T76" s="48"/>
      <c r="U76" s="48"/>
      <c r="V76" s="48"/>
      <c r="W76" s="48"/>
      <c r="X76" s="48"/>
    </row>
    <row r="77" spans="1:24">
      <c r="A77" s="22" t="s">
        <v>70</v>
      </c>
      <c r="B77" s="36">
        <v>47</v>
      </c>
      <c r="C77" s="36">
        <v>0</v>
      </c>
      <c r="D77" s="36">
        <v>0</v>
      </c>
      <c r="E77" s="36">
        <v>1</v>
      </c>
      <c r="F77" s="30" t="s">
        <v>9</v>
      </c>
      <c r="G77" s="33">
        <v>0</v>
      </c>
      <c r="H77" s="38">
        <v>0.28499999999999998</v>
      </c>
      <c r="I77" s="38">
        <v>2.75</v>
      </c>
      <c r="J77" s="53">
        <f>VLOOKUP($B77, 'Level Table'!$A$2:$B$51, 2)</f>
        <v>1545</v>
      </c>
      <c r="K77" s="54">
        <f t="shared" si="4"/>
        <v>786.86</v>
      </c>
      <c r="L77" s="55">
        <f>$C77*$B$13*(1+$G77)</f>
        <v>0</v>
      </c>
      <c r="M77" s="56">
        <f>$D77*$B$17*(1+$G77)*0.66*0.77</f>
        <v>0</v>
      </c>
      <c r="N77" s="56">
        <f t="shared" si="1"/>
        <v>440.32499999999999</v>
      </c>
      <c r="O77" s="56">
        <f t="shared" si="2"/>
        <v>2163.8650000000002</v>
      </c>
      <c r="P77" s="87">
        <f t="shared" si="3"/>
        <v>2604.19</v>
      </c>
      <c r="Q77" s="89"/>
      <c r="R77" s="48"/>
      <c r="S77" s="48"/>
      <c r="T77" s="48"/>
      <c r="U77" s="48"/>
      <c r="V77" s="48"/>
      <c r="W77" s="48"/>
      <c r="X77" s="48"/>
    </row>
    <row r="78" spans="1:24">
      <c r="A78" s="44" t="s">
        <v>75</v>
      </c>
      <c r="B78" s="27">
        <v>50</v>
      </c>
      <c r="C78" s="27">
        <v>0</v>
      </c>
      <c r="D78" s="27">
        <v>0</v>
      </c>
      <c r="E78" s="27">
        <v>20</v>
      </c>
      <c r="F78" s="27" t="s">
        <v>9</v>
      </c>
      <c r="G78" s="28">
        <v>0</v>
      </c>
      <c r="H78" s="29">
        <v>2.4E-2</v>
      </c>
      <c r="I78" s="29">
        <v>0.24199999999999999</v>
      </c>
      <c r="J78" s="57">
        <f>VLOOKUP($B78, 'Level Table'!$A$2:$B$51, 2)</f>
        <v>1610</v>
      </c>
      <c r="K78" s="58">
        <f t="shared" si="4"/>
        <v>786.86</v>
      </c>
      <c r="L78" s="59">
        <f>$C78*$B$12*(1+$G78)</f>
        <v>0</v>
      </c>
      <c r="M78" s="60">
        <f>$D78*$B$16*(1+$G78)*0.66*0.77</f>
        <v>0</v>
      </c>
      <c r="N78" s="60">
        <f t="shared" si="1"/>
        <v>38.64</v>
      </c>
      <c r="O78" s="60">
        <f t="shared" si="2"/>
        <v>190.42012</v>
      </c>
      <c r="P78" s="91">
        <f t="shared" si="3"/>
        <v>4581.2024000000001</v>
      </c>
      <c r="Q78" s="92">
        <f>P78</f>
        <v>4581.2024000000001</v>
      </c>
      <c r="R78" s="47"/>
      <c r="S78" s="47"/>
      <c r="T78" s="47"/>
      <c r="U78" s="47"/>
      <c r="V78" s="47"/>
      <c r="W78" s="47"/>
      <c r="X78" s="47"/>
    </row>
    <row r="79" spans="1:24">
      <c r="A79" s="22" t="s">
        <v>79</v>
      </c>
      <c r="B79" s="24">
        <v>49</v>
      </c>
      <c r="C79" s="24">
        <v>1</v>
      </c>
      <c r="D79" s="24">
        <v>0</v>
      </c>
      <c r="E79" s="24">
        <v>1</v>
      </c>
      <c r="F79" s="23" t="s">
        <v>10</v>
      </c>
      <c r="G79" s="33">
        <v>-0.26</v>
      </c>
      <c r="H79" s="38">
        <v>0.112</v>
      </c>
      <c r="I79" s="38">
        <v>1.1200000000000001</v>
      </c>
      <c r="J79" s="53">
        <f>VLOOKUP($B79, 'Level Table'!$A$2:$B$51, 2)</f>
        <v>1575</v>
      </c>
      <c r="K79" s="54">
        <f t="shared" si="4"/>
        <v>504.64</v>
      </c>
      <c r="L79" s="55">
        <f>$C79*$B$12*(1+$G79)</f>
        <v>222</v>
      </c>
      <c r="M79" s="56">
        <f>$D79*$B$16*(1+$G79)*0.66*0.77</f>
        <v>0</v>
      </c>
      <c r="N79" s="56">
        <f t="shared" si="1"/>
        <v>176.4</v>
      </c>
      <c r="O79" s="56">
        <f t="shared" si="2"/>
        <v>565.19680000000005</v>
      </c>
      <c r="P79" s="87">
        <f t="shared" si="3"/>
        <v>963.59680000000003</v>
      </c>
      <c r="Q79" s="88">
        <f>(P79+P80)/2</f>
        <v>1008.7368</v>
      </c>
      <c r="R79" s="48"/>
      <c r="S79" s="48"/>
      <c r="T79" s="48"/>
      <c r="U79" s="48"/>
      <c r="V79" s="48"/>
      <c r="W79" s="48"/>
      <c r="X79" s="48"/>
    </row>
    <row r="80" spans="1:24">
      <c r="A80" s="22" t="s">
        <v>80</v>
      </c>
      <c r="B80" s="24">
        <v>49</v>
      </c>
      <c r="C80" s="24">
        <v>1</v>
      </c>
      <c r="D80" s="24">
        <v>0</v>
      </c>
      <c r="E80" s="24">
        <v>1</v>
      </c>
      <c r="F80" s="23" t="s">
        <v>10</v>
      </c>
      <c r="G80" s="33">
        <v>-0.26</v>
      </c>
      <c r="H80" s="38">
        <v>0.112</v>
      </c>
      <c r="I80" s="38">
        <v>1.1200000000000001</v>
      </c>
      <c r="J80" s="53">
        <f>VLOOKUP($B80, 'Level Table'!$A$2:$B$51, 2)</f>
        <v>1575</v>
      </c>
      <c r="K80" s="54">
        <f>IF(OR(F80="melee",F80="ranged"),$B$24,$B$25)</f>
        <v>504.64</v>
      </c>
      <c r="L80" s="55">
        <f>$C80*$B$13*(1+$G80)</f>
        <v>312.27999999999997</v>
      </c>
      <c r="M80" s="56">
        <f>$D80*$B$17*(1+$G80)*0.66*0.77</f>
        <v>0</v>
      </c>
      <c r="N80" s="56">
        <f t="shared" si="1"/>
        <v>176.4</v>
      </c>
      <c r="O80" s="56">
        <f t="shared" si="2"/>
        <v>565.19680000000005</v>
      </c>
      <c r="P80" s="87">
        <f t="shared" si="3"/>
        <v>1053.8768</v>
      </c>
      <c r="Q80" s="89"/>
      <c r="R80" s="48"/>
      <c r="S80" s="48"/>
      <c r="T80" s="48"/>
      <c r="U80" s="48"/>
      <c r="V80" s="48"/>
      <c r="W80" s="48"/>
      <c r="X80" s="48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activeCell="B2" sqref="B2"/>
    </sheetView>
  </sheetViews>
  <sheetFormatPr defaultRowHeight="15"/>
  <cols>
    <col min="1" max="1" width="5.7109375" customWidth="1"/>
    <col min="2" max="2" width="8.140625" bestFit="1" customWidth="1"/>
  </cols>
  <sheetData>
    <row r="1" spans="1:2">
      <c r="A1" s="1" t="s">
        <v>136</v>
      </c>
      <c r="B1" s="1" t="s">
        <v>137</v>
      </c>
    </row>
    <row r="2" spans="1:2">
      <c r="A2" s="16">
        <v>1</v>
      </c>
      <c r="B2" s="16">
        <v>180</v>
      </c>
    </row>
    <row r="3" spans="1:2">
      <c r="A3" s="16">
        <v>2</v>
      </c>
      <c r="B3" s="16">
        <v>210</v>
      </c>
    </row>
    <row r="4" spans="1:2">
      <c r="A4" s="16">
        <v>3</v>
      </c>
      <c r="B4" s="16">
        <v>240</v>
      </c>
    </row>
    <row r="5" spans="1:2">
      <c r="A5" s="16">
        <v>4</v>
      </c>
      <c r="B5" s="16">
        <v>270</v>
      </c>
    </row>
    <row r="6" spans="1:2">
      <c r="A6" s="16">
        <v>5</v>
      </c>
      <c r="B6" s="16">
        <v>305</v>
      </c>
    </row>
    <row r="7" spans="1:2">
      <c r="A7" s="16">
        <v>6</v>
      </c>
      <c r="B7" s="16">
        <v>340</v>
      </c>
    </row>
    <row r="8" spans="1:2">
      <c r="A8" s="16">
        <v>7</v>
      </c>
      <c r="B8" s="16">
        <v>380</v>
      </c>
    </row>
    <row r="9" spans="1:2">
      <c r="A9" s="16">
        <v>8</v>
      </c>
      <c r="B9" s="16">
        <v>420</v>
      </c>
    </row>
    <row r="10" spans="1:2">
      <c r="A10" s="16">
        <v>9</v>
      </c>
      <c r="B10" s="16">
        <v>465</v>
      </c>
    </row>
    <row r="11" spans="1:2">
      <c r="A11" s="16">
        <v>10</v>
      </c>
      <c r="B11" s="16">
        <v>500</v>
      </c>
    </row>
    <row r="12" spans="1:2">
      <c r="A12" s="16">
        <v>11</v>
      </c>
      <c r="B12" s="16">
        <v>540</v>
      </c>
    </row>
    <row r="13" spans="1:2">
      <c r="A13" s="16">
        <v>12</v>
      </c>
      <c r="B13" s="16">
        <v>580</v>
      </c>
    </row>
    <row r="14" spans="1:2">
      <c r="A14" s="16">
        <v>13</v>
      </c>
      <c r="B14" s="16">
        <v>620</v>
      </c>
    </row>
    <row r="15" spans="1:2">
      <c r="A15" s="16">
        <v>14</v>
      </c>
      <c r="B15" s="16">
        <v>655</v>
      </c>
    </row>
    <row r="16" spans="1:2">
      <c r="A16" s="16">
        <v>15</v>
      </c>
      <c r="B16" s="16">
        <v>690</v>
      </c>
    </row>
    <row r="17" spans="1:2">
      <c r="A17" s="16">
        <v>16</v>
      </c>
      <c r="B17" s="16">
        <v>720</v>
      </c>
    </row>
    <row r="18" spans="1:2">
      <c r="A18" s="16">
        <v>17</v>
      </c>
      <c r="B18" s="16">
        <v>725</v>
      </c>
    </row>
    <row r="19" spans="1:2">
      <c r="A19" s="16">
        <v>18</v>
      </c>
      <c r="B19" s="16">
        <v>750</v>
      </c>
    </row>
    <row r="20" spans="1:2">
      <c r="A20" s="16">
        <v>19</v>
      </c>
      <c r="B20" s="16">
        <v>780</v>
      </c>
    </row>
    <row r="21" spans="1:2">
      <c r="A21" s="16">
        <v>20</v>
      </c>
      <c r="B21" s="16">
        <v>790</v>
      </c>
    </row>
    <row r="22" spans="1:2">
      <c r="A22" s="16">
        <v>21</v>
      </c>
      <c r="B22" s="16">
        <v>830</v>
      </c>
    </row>
    <row r="23" spans="1:2">
      <c r="A23" s="16">
        <v>22</v>
      </c>
      <c r="B23" s="16">
        <v>870</v>
      </c>
    </row>
    <row r="24" spans="1:2">
      <c r="A24" s="16">
        <v>23</v>
      </c>
      <c r="B24" s="16">
        <v>910</v>
      </c>
    </row>
    <row r="25" spans="1:2">
      <c r="A25" s="16">
        <v>24</v>
      </c>
      <c r="B25" s="16">
        <v>945</v>
      </c>
    </row>
    <row r="26" spans="1:2">
      <c r="A26" s="16">
        <v>25</v>
      </c>
      <c r="B26" s="16">
        <v>960</v>
      </c>
    </row>
    <row r="27" spans="1:2">
      <c r="A27" s="16">
        <v>26</v>
      </c>
      <c r="B27" s="16">
        <v>975</v>
      </c>
    </row>
    <row r="28" spans="1:2">
      <c r="A28" s="16">
        <v>27</v>
      </c>
      <c r="B28" s="16">
        <v>1005</v>
      </c>
    </row>
    <row r="29" spans="1:2">
      <c r="A29" s="16">
        <v>28</v>
      </c>
      <c r="B29" s="16">
        <v>1050</v>
      </c>
    </row>
    <row r="30" spans="1:2">
      <c r="A30" s="16">
        <v>29</v>
      </c>
      <c r="B30" s="16">
        <v>1085</v>
      </c>
    </row>
    <row r="31" spans="1:2">
      <c r="A31" s="16">
        <v>30</v>
      </c>
      <c r="B31" s="16">
        <v>1130</v>
      </c>
    </row>
    <row r="32" spans="1:2">
      <c r="A32" s="16">
        <v>31</v>
      </c>
      <c r="B32" s="16">
        <v>1175</v>
      </c>
    </row>
    <row r="33" spans="1:2">
      <c r="A33" s="16">
        <v>32</v>
      </c>
      <c r="B33" s="16">
        <v>1215</v>
      </c>
    </row>
    <row r="34" spans="1:2">
      <c r="A34" s="16">
        <v>33</v>
      </c>
      <c r="B34" s="16">
        <v>1220</v>
      </c>
    </row>
    <row r="35" spans="1:2">
      <c r="A35" s="16">
        <v>34</v>
      </c>
      <c r="B35" s="16">
        <v>1255</v>
      </c>
    </row>
    <row r="36" spans="1:2">
      <c r="A36" s="16">
        <v>35</v>
      </c>
      <c r="B36" s="16">
        <v>1280</v>
      </c>
    </row>
    <row r="37" spans="1:2">
      <c r="A37" s="16">
        <v>36</v>
      </c>
      <c r="B37" s="16">
        <v>1305</v>
      </c>
    </row>
    <row r="38" spans="1:2">
      <c r="A38" s="16">
        <v>37</v>
      </c>
      <c r="B38" s="16">
        <v>1320</v>
      </c>
    </row>
    <row r="39" spans="1:2">
      <c r="A39" s="16">
        <v>38</v>
      </c>
      <c r="B39" s="16">
        <v>1335</v>
      </c>
    </row>
    <row r="40" spans="1:2">
      <c r="A40" s="16">
        <v>39</v>
      </c>
      <c r="B40" s="16">
        <v>1350</v>
      </c>
    </row>
    <row r="41" spans="1:2">
      <c r="A41" s="16">
        <v>40</v>
      </c>
      <c r="B41" s="16">
        <v>1380</v>
      </c>
    </row>
    <row r="42" spans="1:2">
      <c r="A42" s="16">
        <v>41</v>
      </c>
      <c r="B42" s="16">
        <v>1400</v>
      </c>
    </row>
    <row r="43" spans="1:2">
      <c r="A43" s="16">
        <v>42</v>
      </c>
      <c r="B43" s="16">
        <v>1430</v>
      </c>
    </row>
    <row r="44" spans="1:2">
      <c r="A44" s="16">
        <v>43</v>
      </c>
      <c r="B44" s="16">
        <v>1440</v>
      </c>
    </row>
    <row r="45" spans="1:2">
      <c r="A45" s="16">
        <v>44</v>
      </c>
      <c r="B45" s="16">
        <v>1480</v>
      </c>
    </row>
    <row r="46" spans="1:2">
      <c r="A46" s="16">
        <v>45</v>
      </c>
      <c r="B46" s="16">
        <v>1490</v>
      </c>
    </row>
    <row r="47" spans="1:2">
      <c r="A47" s="16">
        <v>46</v>
      </c>
      <c r="B47" s="16">
        <v>1540</v>
      </c>
    </row>
    <row r="48" spans="1:2">
      <c r="A48" s="16">
        <v>47</v>
      </c>
      <c r="B48" s="16">
        <v>1545</v>
      </c>
    </row>
    <row r="49" spans="1:2">
      <c r="A49" s="16">
        <v>48</v>
      </c>
      <c r="B49" s="16">
        <v>1560</v>
      </c>
    </row>
    <row r="50" spans="1:2">
      <c r="A50" s="16">
        <v>49</v>
      </c>
      <c r="B50" s="16">
        <v>1575</v>
      </c>
    </row>
    <row r="51" spans="1:2">
      <c r="A51" s="16">
        <v>50</v>
      </c>
      <c r="B51" s="16">
        <v>1610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1"/>
  <sheetViews>
    <sheetView workbookViewId="0">
      <selection activeCell="A2" sqref="A2"/>
    </sheetView>
  </sheetViews>
  <sheetFormatPr defaultRowHeight="15"/>
  <cols>
    <col min="1" max="1" width="24.5703125" bestFit="1" customWidth="1"/>
    <col min="2" max="3" width="9.140625" style="16"/>
    <col min="4" max="4" width="10" style="16" bestFit="1" customWidth="1"/>
    <col min="5" max="5" width="17.85546875" style="16" bestFit="1" customWidth="1"/>
    <col min="6" max="6" width="9.140625" style="16"/>
    <col min="7" max="7" width="10.140625" style="16" customWidth="1"/>
    <col min="8" max="10" width="10.140625" style="65" customWidth="1"/>
    <col min="11" max="11" width="9.140625" style="16"/>
    <col min="15" max="15" width="9.140625" style="16"/>
  </cols>
  <sheetData>
    <row r="1" spans="1:16">
      <c r="A1" s="67" t="s">
        <v>129</v>
      </c>
    </row>
    <row r="2" spans="1:16">
      <c r="B2" s="1" t="s">
        <v>108</v>
      </c>
      <c r="C2" s="1" t="s">
        <v>113</v>
      </c>
      <c r="D2" s="1" t="s">
        <v>84</v>
      </c>
      <c r="E2" s="1" t="s">
        <v>114</v>
      </c>
      <c r="F2" s="1" t="s">
        <v>115</v>
      </c>
      <c r="G2" s="1" t="s">
        <v>42</v>
      </c>
      <c r="H2" s="69" t="s">
        <v>86</v>
      </c>
      <c r="I2" s="69" t="s">
        <v>85</v>
      </c>
      <c r="J2" s="69" t="s">
        <v>87</v>
      </c>
      <c r="K2" s="1" t="s">
        <v>116</v>
      </c>
      <c r="M2" s="64" t="s">
        <v>104</v>
      </c>
      <c r="N2" s="16">
        <v>4</v>
      </c>
    </row>
    <row r="3" spans="1:16">
      <c r="A3" s="45" t="s">
        <v>88</v>
      </c>
      <c r="B3" s="61">
        <f>Abilities!Q30</f>
        <v>822.75741817463984</v>
      </c>
      <c r="C3" s="16">
        <f>1.1</f>
        <v>1.1000000000000001</v>
      </c>
      <c r="F3" s="16">
        <v>0.2</v>
      </c>
      <c r="G3" s="61">
        <f>(B3+B3*(Abilities!$B$26/100+D3)*(Abilities!$B$27+E3))*C3*(1-F3)</f>
        <v>818.72919785525687</v>
      </c>
      <c r="H3" s="65">
        <v>-4</v>
      </c>
      <c r="I3" s="65">
        <v>12</v>
      </c>
      <c r="J3" s="65">
        <v>1.5</v>
      </c>
      <c r="K3" s="16" t="s">
        <v>11</v>
      </c>
      <c r="M3" s="64" t="s">
        <v>106</v>
      </c>
      <c r="N3" s="16">
        <f>N2+6</f>
        <v>10</v>
      </c>
    </row>
    <row r="4" spans="1:16">
      <c r="A4" s="76" t="s">
        <v>89</v>
      </c>
      <c r="B4" s="72">
        <f>Abilities!Q32</f>
        <v>1279.6110181521999</v>
      </c>
      <c r="C4" s="73">
        <f t="shared" ref="C4:C17" si="0">1.1</f>
        <v>1.1000000000000001</v>
      </c>
      <c r="D4" s="73"/>
      <c r="E4" s="73"/>
      <c r="F4" s="73">
        <v>0.2</v>
      </c>
      <c r="G4" s="72">
        <f>(B4+B4*(Abilities!$B$26/100+D4)*(Abilities!$B$27+E4))*C4*(1-F4)</f>
        <v>1273.346042607327</v>
      </c>
      <c r="H4" s="74">
        <v>1</v>
      </c>
      <c r="I4" s="74">
        <v>12</v>
      </c>
      <c r="J4" s="74"/>
      <c r="K4" s="75">
        <f>(G4-$B$30)/H4</f>
        <v>-80.962297330989941</v>
      </c>
      <c r="M4" s="64" t="s">
        <v>122</v>
      </c>
      <c r="N4" s="16">
        <f>N3-2-3</f>
        <v>5</v>
      </c>
    </row>
    <row r="5" spans="1:16">
      <c r="A5" s="45" t="s">
        <v>90</v>
      </c>
      <c r="B5" s="61">
        <f>Abilities!Q34</f>
        <v>1578.8250039999998</v>
      </c>
      <c r="C5" s="16">
        <f t="shared" si="0"/>
        <v>1.1000000000000001</v>
      </c>
      <c r="F5" s="16">
        <v>0.2</v>
      </c>
      <c r="G5" s="61">
        <f>(B5+B5*(Abilities!$B$26/100+D5)*(Abilities!$B$27+E5))*C5*(1-F5)</f>
        <v>1571.0950767804161</v>
      </c>
      <c r="H5" s="65">
        <v>2</v>
      </c>
      <c r="I5" s="65">
        <v>1.5</v>
      </c>
      <c r="J5" s="65">
        <v>1.5</v>
      </c>
      <c r="K5" s="79">
        <f>(G5-$B$30)/H5</f>
        <v>108.39336842104956</v>
      </c>
      <c r="M5" s="64" t="s">
        <v>101</v>
      </c>
      <c r="N5" s="16">
        <f>N4+0.45-4</f>
        <v>1.4500000000000002</v>
      </c>
      <c r="O5" s="78" t="s">
        <v>111</v>
      </c>
    </row>
    <row r="6" spans="1:16">
      <c r="A6" s="76" t="s">
        <v>91</v>
      </c>
      <c r="B6" s="72">
        <f>Abilities!Q36</f>
        <v>1772.4981983900002</v>
      </c>
      <c r="C6" s="73">
        <f t="shared" si="0"/>
        <v>1.1000000000000001</v>
      </c>
      <c r="D6" s="73"/>
      <c r="E6" s="73"/>
      <c r="F6" s="73">
        <v>0.2</v>
      </c>
      <c r="G6" s="72">
        <f>(B6+B6*(Abilities!$B$26/100+D6)*(Abilities!$B$27+E6))*C6*(1-F6)</f>
        <v>1763.820047210683</v>
      </c>
      <c r="H6" s="74">
        <v>4</v>
      </c>
      <c r="I6" s="74">
        <v>12</v>
      </c>
      <c r="J6" s="74"/>
      <c r="K6" s="75">
        <f>(G6-$B$30)/H6</f>
        <v>102.37792681809151</v>
      </c>
      <c r="M6" s="64" t="s">
        <v>94</v>
      </c>
      <c r="N6" s="16">
        <f>N5+0.45+2</f>
        <v>3.9000000000000004</v>
      </c>
    </row>
    <row r="7" spans="1:16">
      <c r="A7" s="71" t="s">
        <v>92</v>
      </c>
      <c r="B7" s="72">
        <f>Abilities!Q38</f>
        <v>1339.0123740000001</v>
      </c>
      <c r="C7" s="73">
        <f t="shared" si="0"/>
        <v>1.1000000000000001</v>
      </c>
      <c r="D7" s="73"/>
      <c r="E7" s="73"/>
      <c r="F7" s="73">
        <v>0.2</v>
      </c>
      <c r="G7" s="72">
        <f>(B7+B7*(Abilities!$B$26/100+D7)*(Abilities!$B$27+E7))*C7*(1-F7)</f>
        <v>1332.4565694168964</v>
      </c>
      <c r="H7" s="74">
        <v>3</v>
      </c>
      <c r="I7" s="74">
        <v>6</v>
      </c>
      <c r="J7" s="74"/>
      <c r="K7" s="75">
        <f>(G7-$B$30)/H7</f>
        <v>-7.2839235071401918</v>
      </c>
      <c r="M7" s="64" t="s">
        <v>110</v>
      </c>
      <c r="N7" s="16">
        <f>N6+0.45+0.3-2</f>
        <v>2.6500000000000004</v>
      </c>
      <c r="O7" s="77" t="s">
        <v>112</v>
      </c>
    </row>
    <row r="8" spans="1:16">
      <c r="A8" s="44" t="s">
        <v>93</v>
      </c>
      <c r="B8" s="61">
        <f>Abilities!Q40</f>
        <v>2403.0723137180003</v>
      </c>
      <c r="C8" s="16">
        <f t="shared" si="0"/>
        <v>1.1000000000000001</v>
      </c>
      <c r="F8" s="16">
        <v>0.2</v>
      </c>
      <c r="G8" s="61">
        <f>(B8+B8*(Abilities!$B$26/100+D8)*(Abilities!$B$27+E8))*C8*(1-F8)</f>
        <v>2391.3068716700377</v>
      </c>
      <c r="H8" s="65">
        <v>0</v>
      </c>
      <c r="I8" s="65">
        <v>30</v>
      </c>
      <c r="J8" s="65">
        <v>3</v>
      </c>
      <c r="K8" s="70">
        <f>G8-$B$30</f>
        <v>1036.9985317317207</v>
      </c>
      <c r="M8" s="64" t="s">
        <v>97</v>
      </c>
      <c r="N8" s="16">
        <f>N7+0.45-2</f>
        <v>1.1000000000000005</v>
      </c>
    </row>
    <row r="9" spans="1:16">
      <c r="A9" s="45" t="s">
        <v>94</v>
      </c>
      <c r="B9" s="61">
        <f>Abilities!Q44</f>
        <v>1030.640484</v>
      </c>
      <c r="C9" s="16">
        <f t="shared" si="0"/>
        <v>1.1000000000000001</v>
      </c>
      <c r="F9" s="16">
        <v>0.2</v>
      </c>
      <c r="G9" s="61">
        <f>(B9+B9*(Abilities!$B$26/100+D9)*(Abilities!$B$27+E9))*C9*(1-F9)</f>
        <v>1025.5944681903363</v>
      </c>
      <c r="H9" s="65">
        <v>-2</v>
      </c>
      <c r="I9" s="65">
        <v>0</v>
      </c>
      <c r="J9" s="65">
        <v>1.5</v>
      </c>
      <c r="K9" s="16" t="s">
        <v>11</v>
      </c>
      <c r="M9" s="64" t="s">
        <v>94</v>
      </c>
      <c r="N9" s="16">
        <f>N8+0.3+0.45+2</f>
        <v>3.8500000000000005</v>
      </c>
    </row>
    <row r="10" spans="1:16">
      <c r="A10" s="44" t="s">
        <v>95</v>
      </c>
      <c r="B10" s="61">
        <f>Abilities!Q46</f>
        <v>1030.6066679999999</v>
      </c>
      <c r="C10" s="16">
        <f t="shared" si="0"/>
        <v>1.1000000000000001</v>
      </c>
      <c r="F10" s="16">
        <v>0.2</v>
      </c>
      <c r="G10" s="61">
        <f>(B10+B10*(Abilities!$B$26/100+D10)*(Abilities!$B$27+E10))*C10*(1-F10)</f>
        <v>1025.5608177534721</v>
      </c>
      <c r="H10" s="65">
        <v>-6</v>
      </c>
      <c r="I10" s="65">
        <v>15</v>
      </c>
      <c r="J10" s="65">
        <v>1.5</v>
      </c>
      <c r="K10" s="16" t="s">
        <v>11</v>
      </c>
      <c r="M10" s="64" t="s">
        <v>104</v>
      </c>
      <c r="N10" s="16">
        <f>N9+0.45+4</f>
        <v>8.3000000000000007</v>
      </c>
    </row>
    <row r="11" spans="1:16">
      <c r="A11" s="71" t="s">
        <v>24</v>
      </c>
      <c r="B11" s="72">
        <f>Abilities!Q48</f>
        <v>966.81721719753</v>
      </c>
      <c r="C11" s="73">
        <f t="shared" si="0"/>
        <v>1.1000000000000001</v>
      </c>
      <c r="D11" s="73"/>
      <c r="E11" s="73"/>
      <c r="F11" s="73">
        <v>0.2</v>
      </c>
      <c r="G11" s="72">
        <f>(B11+B11*(Abilities!$B$26/100+D11)*(Abilities!$B$27+E11))*C11*(1-F11)</f>
        <v>962.08368010213098</v>
      </c>
      <c r="H11" s="74">
        <v>-3</v>
      </c>
      <c r="I11" s="74">
        <v>60</v>
      </c>
      <c r="J11" s="74"/>
      <c r="K11" s="73" t="s">
        <v>11</v>
      </c>
      <c r="M11" s="64" t="s">
        <v>109</v>
      </c>
      <c r="N11" s="16">
        <f>N10+0.45-3</f>
        <v>5.75</v>
      </c>
      <c r="O11" s="90" t="s">
        <v>134</v>
      </c>
    </row>
    <row r="12" spans="1:16">
      <c r="A12" s="76" t="s">
        <v>96</v>
      </c>
      <c r="B12" s="72">
        <f>Abilities!Q49</f>
        <v>906.99471684964078</v>
      </c>
      <c r="C12" s="73">
        <f t="shared" si="0"/>
        <v>1.1000000000000001</v>
      </c>
      <c r="D12" s="73"/>
      <c r="E12" s="73"/>
      <c r="F12" s="73">
        <v>0.2</v>
      </c>
      <c r="G12" s="72">
        <f>(B12+B12*(Abilities!$B$26/100+D12)*(Abilities!$B$27+E12))*C12*(1-F12)</f>
        <v>902.55407071594493</v>
      </c>
      <c r="H12" s="74">
        <v>1</v>
      </c>
      <c r="I12" s="74">
        <v>1.5</v>
      </c>
      <c r="J12" s="74"/>
      <c r="K12" s="75">
        <f t="shared" ref="K12:K17" si="1">(G12-$B$30)/H12</f>
        <v>-451.75426922237205</v>
      </c>
      <c r="M12" s="64" t="s">
        <v>110</v>
      </c>
      <c r="N12" s="16">
        <f>N11-2</f>
        <v>3.75</v>
      </c>
      <c r="O12" s="77" t="s">
        <v>111</v>
      </c>
      <c r="P12" t="s">
        <v>128</v>
      </c>
    </row>
    <row r="13" spans="1:16">
      <c r="A13" s="44" t="s">
        <v>97</v>
      </c>
      <c r="B13" s="61">
        <f>Abilities!Q51</f>
        <v>1681.2160013543598</v>
      </c>
      <c r="C13" s="16">
        <f>1.06*1.3*1.1</f>
        <v>1.5158000000000003</v>
      </c>
      <c r="D13" s="16">
        <v>0.15</v>
      </c>
      <c r="E13" s="16">
        <v>0.3</v>
      </c>
      <c r="F13" s="16">
        <f>0.2*1/3+0.05*2/3</f>
        <v>0.1</v>
      </c>
      <c r="G13" s="61">
        <f>(B13+B13*(Abilities!$B$26/100+D13)*(Abilities!$B$27+E13))*C13*(1-F13)</f>
        <v>3048.7681412637439</v>
      </c>
      <c r="H13" s="65">
        <f>2-6*0.3</f>
        <v>0.20000000000000018</v>
      </c>
      <c r="I13" s="65">
        <v>15</v>
      </c>
      <c r="J13" s="65">
        <v>6</v>
      </c>
      <c r="K13" s="79">
        <f t="shared" si="1"/>
        <v>8472.2990066271268</v>
      </c>
      <c r="M13" s="64" t="s">
        <v>106</v>
      </c>
      <c r="N13" s="16">
        <f>N12+6</f>
        <v>9.75</v>
      </c>
    </row>
    <row r="14" spans="1:16">
      <c r="A14" s="71" t="s">
        <v>98</v>
      </c>
      <c r="B14" s="72">
        <f>Abilities!Q54</f>
        <v>2582.9739352370002</v>
      </c>
      <c r="C14" s="73">
        <f t="shared" si="0"/>
        <v>1.1000000000000001</v>
      </c>
      <c r="D14" s="73"/>
      <c r="E14" s="73"/>
      <c r="F14" s="73">
        <v>0.2</v>
      </c>
      <c r="G14" s="72">
        <f>(B14+B14*(Abilities!$B$26/100+D14)*(Abilities!$B$27+E14))*C14*(1-F14)</f>
        <v>2570.3276948500802</v>
      </c>
      <c r="H14" s="74">
        <v>3</v>
      </c>
      <c r="I14" s="74">
        <v>6</v>
      </c>
      <c r="J14" s="74"/>
      <c r="K14" s="75">
        <f t="shared" si="1"/>
        <v>405.33978497058774</v>
      </c>
      <c r="M14" s="64" t="s">
        <v>97</v>
      </c>
      <c r="N14" s="16">
        <f>N13+0.3-2</f>
        <v>8.0500000000000007</v>
      </c>
    </row>
    <row r="15" spans="1:16">
      <c r="A15" s="76" t="s">
        <v>99</v>
      </c>
      <c r="B15" s="72">
        <f>Abilities!Q56</f>
        <v>509.99185783617656</v>
      </c>
      <c r="C15" s="73">
        <f t="shared" si="0"/>
        <v>1.1000000000000001</v>
      </c>
      <c r="D15" s="73"/>
      <c r="E15" s="73"/>
      <c r="F15" s="73">
        <v>0.2</v>
      </c>
      <c r="G15" s="72">
        <f>(B15+B15*(Abilities!$B$26/100+D15)*(Abilities!$B$27+E15))*C15*(1-F15)</f>
        <v>507.49493770021076</v>
      </c>
      <c r="H15" s="74">
        <v>2</v>
      </c>
      <c r="I15" s="74">
        <v>1.5</v>
      </c>
      <c r="J15" s="74"/>
      <c r="K15" s="75">
        <f t="shared" si="1"/>
        <v>-423.40670111905308</v>
      </c>
      <c r="M15" s="64" t="s">
        <v>101</v>
      </c>
      <c r="N15" s="16">
        <f>N14+0.45-4</f>
        <v>4.5</v>
      </c>
      <c r="O15" s="78" t="s">
        <v>112</v>
      </c>
    </row>
    <row r="16" spans="1:16">
      <c r="A16" s="71" t="s">
        <v>100</v>
      </c>
      <c r="B16" s="72">
        <f>Abilities!Q58</f>
        <v>3198.6356000000001</v>
      </c>
      <c r="C16" s="73">
        <f t="shared" si="0"/>
        <v>1.1000000000000001</v>
      </c>
      <c r="D16" s="73"/>
      <c r="E16" s="73"/>
      <c r="F16" s="73">
        <v>0.2</v>
      </c>
      <c r="G16" s="72">
        <f>(B16+B16*(Abilities!$B$26/100+D16)*(Abilities!$B$27+E16))*C16*(1-F16)</f>
        <v>3182.9750801024002</v>
      </c>
      <c r="H16" s="74">
        <v>4</v>
      </c>
      <c r="I16" s="74">
        <v>21</v>
      </c>
      <c r="J16" s="74"/>
      <c r="K16" s="75">
        <f t="shared" si="1"/>
        <v>457.1666850410208</v>
      </c>
      <c r="M16" s="64" t="s">
        <v>110</v>
      </c>
      <c r="N16" s="16">
        <f>N15+0.3+0.45-2</f>
        <v>3.25</v>
      </c>
      <c r="O16" s="77" t="s">
        <v>112</v>
      </c>
    </row>
    <row r="17" spans="1:15">
      <c r="A17" s="17" t="s">
        <v>101</v>
      </c>
      <c r="B17" s="61">
        <f>Abilities!Q60</f>
        <v>2865.9983109489553</v>
      </c>
      <c r="C17" s="16">
        <f t="shared" si="0"/>
        <v>1.1000000000000001</v>
      </c>
      <c r="F17" s="16">
        <v>0.2</v>
      </c>
      <c r="G17" s="61">
        <f>(B17+B17*(Abilities!$B$26/100+D17)*(Abilities!$B$27+E17))*C17*(1-F17)</f>
        <v>2851.9663832185497</v>
      </c>
      <c r="H17" s="65">
        <v>4</v>
      </c>
      <c r="I17" s="65">
        <v>12</v>
      </c>
      <c r="J17" s="65">
        <v>1.5</v>
      </c>
      <c r="K17" s="79">
        <f t="shared" si="1"/>
        <v>374.41451082005818</v>
      </c>
      <c r="M17" s="64" t="s">
        <v>110</v>
      </c>
      <c r="N17" s="16">
        <f>N16+0.45-2</f>
        <v>1.7000000000000002</v>
      </c>
      <c r="O17" s="77" t="s">
        <v>112</v>
      </c>
    </row>
    <row r="18" spans="1:15">
      <c r="A18" s="22" t="s">
        <v>27</v>
      </c>
      <c r="B18" s="61">
        <f>Abilities!Q62</f>
        <v>1039.03201226748</v>
      </c>
      <c r="C18" s="16">
        <f>1.1*1.06</f>
        <v>1.1660000000000001</v>
      </c>
      <c r="D18" s="16">
        <v>0.15</v>
      </c>
      <c r="E18" s="16">
        <v>0.3</v>
      </c>
      <c r="F18" s="16">
        <v>0.05</v>
      </c>
      <c r="G18" s="61">
        <f>(B18+B18*(Abilities!$B$26/100+D18)*(Abilities!$B$27+E18))*C18*(1-F18)</f>
        <v>1529.9158870377626</v>
      </c>
      <c r="H18" s="65">
        <f>3-2*0.3</f>
        <v>2.4</v>
      </c>
      <c r="I18" s="65">
        <v>12</v>
      </c>
      <c r="J18" s="65">
        <v>6</v>
      </c>
      <c r="K18" s="70" t="s">
        <v>11</v>
      </c>
      <c r="M18" s="64" t="s">
        <v>104</v>
      </c>
      <c r="N18" s="16">
        <f>N17+4+0.45</f>
        <v>6.15</v>
      </c>
    </row>
    <row r="19" spans="1:15">
      <c r="A19" s="76" t="s">
        <v>28</v>
      </c>
      <c r="B19" s="72">
        <f>Abilities!Q63</f>
        <v>296.75297748769998</v>
      </c>
      <c r="C19" s="73">
        <f t="shared" ref="C19:C28" si="2">1.1</f>
        <v>1.1000000000000001</v>
      </c>
      <c r="D19" s="73"/>
      <c r="E19" s="73"/>
      <c r="F19" s="73">
        <v>0.2</v>
      </c>
      <c r="G19" s="72">
        <f>(B19+B19*(Abilities!$B$26/100+D19)*(Abilities!$B$27+E19))*C19*(1-F19)</f>
        <v>295.30007490992028</v>
      </c>
      <c r="H19" s="74">
        <v>0</v>
      </c>
      <c r="I19" s="74">
        <v>1.5</v>
      </c>
      <c r="J19" s="74"/>
      <c r="K19" s="73" t="s">
        <v>11</v>
      </c>
      <c r="M19" s="64" t="s">
        <v>123</v>
      </c>
      <c r="N19" s="16">
        <f>N18-3-3</f>
        <v>0.15000000000000036</v>
      </c>
      <c r="O19" s="78" t="s">
        <v>111</v>
      </c>
    </row>
    <row r="20" spans="1:15">
      <c r="A20" s="71" t="s">
        <v>102</v>
      </c>
      <c r="B20" s="72">
        <f>Abilities!Q64</f>
        <v>1341.6255743899433</v>
      </c>
      <c r="C20" s="73">
        <f t="shared" si="2"/>
        <v>1.1000000000000001</v>
      </c>
      <c r="D20" s="73"/>
      <c r="E20" s="73"/>
      <c r="F20" s="73">
        <v>0.2</v>
      </c>
      <c r="G20" s="72">
        <f>(B20+B20*(Abilities!$B$26/100+D20)*(Abilities!$B$27+E20))*C20*(1-F20)</f>
        <v>1335.0569755777306</v>
      </c>
      <c r="H20" s="74">
        <v>3</v>
      </c>
      <c r="I20" s="74">
        <v>15</v>
      </c>
      <c r="J20" s="74"/>
      <c r="K20" s="75">
        <f>(G20-$B$30)/H20</f>
        <v>-6.4171214535288073</v>
      </c>
      <c r="M20" s="64" t="s">
        <v>94</v>
      </c>
      <c r="N20" s="16">
        <f>N19+2</f>
        <v>2.1500000000000004</v>
      </c>
    </row>
    <row r="21" spans="1:15">
      <c r="A21" s="76" t="s">
        <v>103</v>
      </c>
      <c r="B21" s="72">
        <f>Abilities!Q66</f>
        <v>1517.9276165832</v>
      </c>
      <c r="C21" s="73">
        <f t="shared" si="2"/>
        <v>1.1000000000000001</v>
      </c>
      <c r="D21" s="73"/>
      <c r="E21" s="73"/>
      <c r="F21" s="73">
        <v>0.2</v>
      </c>
      <c r="G21" s="72">
        <f>(B21+B21*(Abilities!$B$26/100+D21)*(Abilities!$B$27+E21))*C21*(1-F21)</f>
        <v>1510.495842972409</v>
      </c>
      <c r="H21" s="74">
        <v>3</v>
      </c>
      <c r="I21" s="74">
        <v>15</v>
      </c>
      <c r="J21" s="74"/>
      <c r="K21" s="75">
        <f>(G21-$B$30)/H21</f>
        <v>52.06250101136402</v>
      </c>
      <c r="M21" s="64" t="s">
        <v>97</v>
      </c>
      <c r="N21" s="16">
        <f>N20-2</f>
        <v>0.15000000000000036</v>
      </c>
    </row>
    <row r="22" spans="1:15">
      <c r="A22" s="71" t="s">
        <v>45</v>
      </c>
      <c r="B22" s="72">
        <f>Abilities!Q68</f>
        <v>1345.7071780000001</v>
      </c>
      <c r="C22" s="73">
        <f t="shared" si="2"/>
        <v>1.1000000000000001</v>
      </c>
      <c r="D22" s="73"/>
      <c r="E22" s="73"/>
      <c r="F22" s="73">
        <v>0.2</v>
      </c>
      <c r="G22" s="72">
        <f>(B22+B22*(Abilities!$B$26/100+D22)*(Abilities!$B$27+E22))*C22*(1-F22)</f>
        <v>1339.1185956565123</v>
      </c>
      <c r="H22" s="74">
        <v>2</v>
      </c>
      <c r="I22" s="74">
        <v>1.5</v>
      </c>
      <c r="J22" s="74"/>
      <c r="K22" s="75">
        <f>(G22-$B$30)/H22</f>
        <v>-7.5948721409023392</v>
      </c>
      <c r="M22" s="64" t="s">
        <v>94</v>
      </c>
      <c r="N22" s="16">
        <f>N21+0.3+0.45+2</f>
        <v>2.9000000000000004</v>
      </c>
    </row>
    <row r="23" spans="1:15">
      <c r="A23" s="76" t="s">
        <v>117</v>
      </c>
      <c r="B23" s="72">
        <f>Abilities!Q70</f>
        <v>2379.7872000000002</v>
      </c>
      <c r="C23" s="73">
        <f t="shared" si="2"/>
        <v>1.1000000000000001</v>
      </c>
      <c r="D23" s="73"/>
      <c r="E23" s="73"/>
      <c r="F23" s="73">
        <v>0.2</v>
      </c>
      <c r="G23" s="72">
        <f>(B23+B23*(Abilities!$B$26/100+D23)*(Abilities!$B$27+E23))*C23*(1-F23)</f>
        <v>2368.1357618688003</v>
      </c>
      <c r="H23" s="74">
        <v>0</v>
      </c>
      <c r="I23" s="74">
        <v>45</v>
      </c>
      <c r="J23" s="74"/>
      <c r="K23" s="75">
        <f>G23-$B$30</f>
        <v>1013.8274219304833</v>
      </c>
      <c r="M23" s="64" t="s">
        <v>106</v>
      </c>
      <c r="N23" s="16">
        <f>N22+6+0.45</f>
        <v>9.35</v>
      </c>
    </row>
    <row r="24" spans="1:15">
      <c r="A24" s="76" t="s">
        <v>117</v>
      </c>
      <c r="B24" s="72">
        <f>Abilities!Q72</f>
        <v>3239.1548000000003</v>
      </c>
      <c r="C24" s="73">
        <f t="shared" si="2"/>
        <v>1.1000000000000001</v>
      </c>
      <c r="D24" s="73"/>
      <c r="E24" s="73"/>
      <c r="F24" s="73">
        <v>0.2</v>
      </c>
      <c r="G24" s="72">
        <f>(B24+B24*(Abilities!$B$26/100+D24)*(Abilities!$B$27+E24))*C24*(1-F24)</f>
        <v>3223.2958980992007</v>
      </c>
      <c r="H24" s="74">
        <v>0</v>
      </c>
      <c r="I24" s="74">
        <v>45</v>
      </c>
      <c r="J24" s="74"/>
      <c r="K24" s="75">
        <f>G24-$B$30</f>
        <v>1868.9875581608837</v>
      </c>
      <c r="M24" s="64" t="s">
        <v>101</v>
      </c>
      <c r="N24" s="16">
        <f>N23+0.3-4+0.45</f>
        <v>6.1000000000000005</v>
      </c>
      <c r="O24" s="78" t="s">
        <v>111</v>
      </c>
    </row>
    <row r="25" spans="1:15">
      <c r="A25" s="71" t="s">
        <v>118</v>
      </c>
      <c r="B25" s="72">
        <f>Abilities!Q74</f>
        <v>1741.5160000000001</v>
      </c>
      <c r="C25" s="73">
        <f t="shared" si="2"/>
        <v>1.1000000000000001</v>
      </c>
      <c r="D25" s="73"/>
      <c r="E25" s="73"/>
      <c r="F25" s="73">
        <v>0.2</v>
      </c>
      <c r="G25" s="72">
        <f>(B25+B25*(Abilities!$B$26/100+D25)*(Abilities!$B$27+E25))*C25*(1-F25)</f>
        <v>1732.9895376640006</v>
      </c>
      <c r="H25" s="74">
        <v>0</v>
      </c>
      <c r="I25" s="74">
        <v>15</v>
      </c>
      <c r="J25" s="74"/>
      <c r="K25" s="75">
        <f>G25-$B$30</f>
        <v>378.68119772568366</v>
      </c>
      <c r="M25" s="64" t="s">
        <v>97</v>
      </c>
      <c r="N25" s="16">
        <f>N24+0.45-2</f>
        <v>4.5500000000000007</v>
      </c>
    </row>
    <row r="26" spans="1:15">
      <c r="A26" s="71" t="s">
        <v>118</v>
      </c>
      <c r="B26" s="72">
        <f>Abilities!Q76</f>
        <v>2588.7400000000002</v>
      </c>
      <c r="C26" s="73">
        <f t="shared" si="2"/>
        <v>1.1000000000000001</v>
      </c>
      <c r="D26" s="73"/>
      <c r="E26" s="73"/>
      <c r="F26" s="73">
        <v>0.2</v>
      </c>
      <c r="G26" s="72">
        <f>(B26+B26*(Abilities!$B$26/100+D26)*(Abilities!$B$27+E26))*C26*(1-F26)</f>
        <v>2576.0655289600004</v>
      </c>
      <c r="H26" s="74">
        <v>0</v>
      </c>
      <c r="I26" s="74">
        <v>15</v>
      </c>
      <c r="J26" s="74"/>
      <c r="K26" s="75">
        <f>G26-$B$30</f>
        <v>1221.7571890216834</v>
      </c>
      <c r="M26" s="64" t="s">
        <v>104</v>
      </c>
      <c r="N26" s="16">
        <f>N25+4+0.45</f>
        <v>9</v>
      </c>
    </row>
    <row r="27" spans="1:15">
      <c r="A27" s="76" t="s">
        <v>119</v>
      </c>
      <c r="B27" s="72">
        <f>Abilities!Q78</f>
        <v>4581.2024000000001</v>
      </c>
      <c r="C27" s="73">
        <f t="shared" si="2"/>
        <v>1.1000000000000001</v>
      </c>
      <c r="D27" s="73"/>
      <c r="E27" s="73"/>
      <c r="F27" s="73">
        <v>0.2</v>
      </c>
      <c r="G27" s="72">
        <f>(B27+B27*(Abilities!$B$26/100+D27)*(Abilities!$B$27+E27))*C27*(1-F27)</f>
        <v>4558.7728330496011</v>
      </c>
      <c r="H27" s="74">
        <v>0</v>
      </c>
      <c r="I27" s="74">
        <v>60</v>
      </c>
      <c r="J27" s="74"/>
      <c r="K27" s="75">
        <f>G27-$B$30</f>
        <v>3204.4644931112844</v>
      </c>
      <c r="M27" s="64" t="s">
        <v>123</v>
      </c>
      <c r="N27" s="16">
        <f>N26-3+0.45-2</f>
        <v>4.45</v>
      </c>
      <c r="O27" s="77" t="s">
        <v>111</v>
      </c>
    </row>
    <row r="28" spans="1:15">
      <c r="A28" s="71" t="s">
        <v>120</v>
      </c>
      <c r="B28" s="72">
        <f>Abilities!Q79</f>
        <v>1008.7368</v>
      </c>
      <c r="C28" s="73">
        <f t="shared" si="2"/>
        <v>1.1000000000000001</v>
      </c>
      <c r="D28" s="73"/>
      <c r="E28" s="73"/>
      <c r="F28" s="73">
        <v>0.2</v>
      </c>
      <c r="G28" s="72">
        <f>(B28+B28*(Abilities!$B$26/100+D28)*(Abilities!$B$27+E28))*C28*(1-F28)</f>
        <v>1003.7980246272002</v>
      </c>
      <c r="H28" s="74">
        <v>3</v>
      </c>
      <c r="I28" s="74">
        <v>12</v>
      </c>
      <c r="J28" s="74"/>
      <c r="K28" s="75">
        <f>(G28-$B$30)/H28</f>
        <v>-116.83677177037225</v>
      </c>
      <c r="M28" s="64" t="s">
        <v>94</v>
      </c>
      <c r="N28" s="16">
        <f>N27+0.45+2</f>
        <v>6.9</v>
      </c>
    </row>
    <row r="29" spans="1:15">
      <c r="M29" s="64" t="s">
        <v>94</v>
      </c>
      <c r="N29" s="16">
        <f>N28+0.45+2</f>
        <v>9.3500000000000014</v>
      </c>
    </row>
    <row r="30" spans="1:15">
      <c r="A30" s="39" t="s">
        <v>121</v>
      </c>
      <c r="B30" s="16">
        <f>(G3*5+G10*4+G9*5+G5*26)/40</f>
        <v>1354.308339938317</v>
      </c>
      <c r="C30" s="68"/>
      <c r="E30" s="85">
        <f>(G3*5+G5*8+G8*4+G9*7+G10*4+G13*7+G17*5+G18*5)/60</f>
        <v>1345.9971163112298</v>
      </c>
      <c r="F30" s="83" t="s">
        <v>125</v>
      </c>
      <c r="M30" s="64" t="s">
        <v>101</v>
      </c>
      <c r="N30" s="16">
        <f>N29-4+0.3</f>
        <v>5.6500000000000012</v>
      </c>
      <c r="O30" s="78" t="s">
        <v>111</v>
      </c>
    </row>
    <row r="31" spans="1:15">
      <c r="M31" s="64" t="s">
        <v>97</v>
      </c>
      <c r="N31" s="16">
        <f>N30-2</f>
        <v>3.6500000000000012</v>
      </c>
    </row>
    <row r="32" spans="1:15">
      <c r="M32" s="64" t="s">
        <v>110</v>
      </c>
      <c r="N32" s="16">
        <f>N31+0.3+0.45-2</f>
        <v>2.4000000000000012</v>
      </c>
      <c r="O32" s="77" t="s">
        <v>112</v>
      </c>
    </row>
    <row r="33" spans="13:15">
      <c r="M33" s="64" t="s">
        <v>106</v>
      </c>
      <c r="N33" s="16">
        <f>N32+0.3+6+0.45</f>
        <v>9.15</v>
      </c>
    </row>
    <row r="34" spans="13:15">
      <c r="M34" s="64" t="s">
        <v>104</v>
      </c>
      <c r="N34" s="16">
        <v>12</v>
      </c>
    </row>
    <row r="35" spans="13:15">
      <c r="M35" s="64" t="s">
        <v>124</v>
      </c>
      <c r="N35" s="16">
        <f>N34-3-4+0.45+2</f>
        <v>7.45</v>
      </c>
    </row>
    <row r="36" spans="13:15">
      <c r="M36" s="64" t="s">
        <v>101</v>
      </c>
      <c r="N36" s="16">
        <f>N35-4</f>
        <v>3.45</v>
      </c>
      <c r="O36" s="78" t="s">
        <v>112</v>
      </c>
    </row>
    <row r="37" spans="13:15">
      <c r="M37" s="64" t="s">
        <v>110</v>
      </c>
      <c r="N37" s="16">
        <f>N36-2</f>
        <v>1.4500000000000002</v>
      </c>
      <c r="O37" s="77" t="s">
        <v>112</v>
      </c>
    </row>
    <row r="38" spans="13:15">
      <c r="M38" s="64" t="s">
        <v>94</v>
      </c>
      <c r="N38" s="16">
        <f>N37+0.3+2</f>
        <v>3.75</v>
      </c>
    </row>
    <row r="39" spans="13:15">
      <c r="M39" s="64" t="s">
        <v>110</v>
      </c>
      <c r="N39" s="16">
        <f>N38-2</f>
        <v>1.75</v>
      </c>
      <c r="O39" s="77" t="s">
        <v>111</v>
      </c>
    </row>
    <row r="40" spans="13:15">
      <c r="M40" s="64" t="s">
        <v>94</v>
      </c>
      <c r="N40" s="16">
        <f>N39+0.3+2</f>
        <v>4.05</v>
      </c>
    </row>
    <row r="41" spans="13:15">
      <c r="M41" s="64" t="s">
        <v>97</v>
      </c>
      <c r="N41" s="16">
        <f>N40-2</f>
        <v>2.0499999999999998</v>
      </c>
      <c r="O41"/>
    </row>
  </sheetData>
  <sortState ref="M2:M41">
    <sortCondition ref="M4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A2" sqref="A2"/>
    </sheetView>
  </sheetViews>
  <sheetFormatPr defaultRowHeight="15"/>
  <cols>
    <col min="1" max="1" width="24.5703125" bestFit="1" customWidth="1"/>
    <col min="2" max="3" width="9.140625" style="16"/>
    <col min="4" max="4" width="10" style="16" bestFit="1" customWidth="1"/>
    <col min="5" max="5" width="17.85546875" style="16" bestFit="1" customWidth="1"/>
    <col min="6" max="6" width="9.140625" style="16"/>
    <col min="7" max="7" width="10.140625" style="16" customWidth="1"/>
    <col min="8" max="10" width="10.140625" style="65" customWidth="1"/>
    <col min="11" max="11" width="9.140625" style="16"/>
    <col min="13" max="13" width="9.140625" style="64"/>
    <col min="14" max="14" width="9.140625" style="16"/>
  </cols>
  <sheetData>
    <row r="1" spans="1:14">
      <c r="A1" s="67" t="s">
        <v>130</v>
      </c>
    </row>
    <row r="2" spans="1:14">
      <c r="B2" s="1" t="s">
        <v>108</v>
      </c>
      <c r="C2" s="1" t="s">
        <v>113</v>
      </c>
      <c r="D2" s="1" t="s">
        <v>84</v>
      </c>
      <c r="E2" s="1" t="s">
        <v>114</v>
      </c>
      <c r="F2" s="1" t="s">
        <v>115</v>
      </c>
      <c r="G2" s="1" t="s">
        <v>42</v>
      </c>
      <c r="H2" s="69" t="s">
        <v>86</v>
      </c>
      <c r="I2" s="69" t="s">
        <v>85</v>
      </c>
      <c r="J2" s="69" t="s">
        <v>87</v>
      </c>
      <c r="K2" s="1" t="s">
        <v>116</v>
      </c>
      <c r="M2" s="84" t="s">
        <v>104</v>
      </c>
      <c r="N2" s="16">
        <v>4</v>
      </c>
    </row>
    <row r="3" spans="1:14">
      <c r="A3" s="45" t="s">
        <v>88</v>
      </c>
      <c r="B3" s="81">
        <f>Abilities!Q30</f>
        <v>822.75741817463984</v>
      </c>
      <c r="C3" s="80">
        <f t="shared" ref="C3:C18" si="0">1.03*1.015</f>
        <v>1.04545</v>
      </c>
      <c r="D3" s="80"/>
      <c r="E3" s="80"/>
      <c r="F3" s="80">
        <v>0.2</v>
      </c>
      <c r="G3" s="81">
        <f>(B3+B3*(Abilities!$B$26/100+D3)*(Abilities!$B$27+E3))*C3*(1-F3)</f>
        <v>778.12767263434387</v>
      </c>
      <c r="H3" s="82">
        <v>-4</v>
      </c>
      <c r="I3" s="82">
        <v>15</v>
      </c>
      <c r="J3" s="82">
        <v>1.5</v>
      </c>
      <c r="K3" s="80" t="s">
        <v>11</v>
      </c>
      <c r="M3" s="64" t="s">
        <v>106</v>
      </c>
      <c r="N3" s="16">
        <f>N2+6</f>
        <v>10</v>
      </c>
    </row>
    <row r="4" spans="1:14">
      <c r="A4" s="76" t="s">
        <v>89</v>
      </c>
      <c r="B4" s="72">
        <f>Abilities!Q32</f>
        <v>1279.6110181521999</v>
      </c>
      <c r="C4" s="73">
        <f t="shared" si="0"/>
        <v>1.04545</v>
      </c>
      <c r="D4" s="73">
        <v>0.06</v>
      </c>
      <c r="E4" s="73"/>
      <c r="F4" s="73">
        <v>0.2</v>
      </c>
      <c r="G4" s="72">
        <f>(B4+B4*(Abilities!$B$26/100+D4)*(Abilities!$B$27+E4))*C4*(1-F4)</f>
        <v>1242.3061189013713</v>
      </c>
      <c r="H4" s="74">
        <v>1</v>
      </c>
      <c r="I4" s="74">
        <v>12</v>
      </c>
      <c r="J4" s="74"/>
      <c r="K4" s="75">
        <f>(G4-$B$30)/H4</f>
        <v>-44.840839270004153</v>
      </c>
      <c r="M4" s="64" t="s">
        <v>45</v>
      </c>
      <c r="N4" s="16">
        <f>N3-2</f>
        <v>8</v>
      </c>
    </row>
    <row r="5" spans="1:14">
      <c r="A5" s="71" t="s">
        <v>90</v>
      </c>
      <c r="B5" s="72">
        <f>Abilities!Q34</f>
        <v>1578.8250039999998</v>
      </c>
      <c r="C5" s="73">
        <f t="shared" si="0"/>
        <v>1.04545</v>
      </c>
      <c r="D5" s="73"/>
      <c r="E5" s="73"/>
      <c r="F5" s="73">
        <v>0.2</v>
      </c>
      <c r="G5" s="72">
        <f>(B5+B5*(Abilities!$B$26/100+D5)*(Abilities!$B$27+E5))*C5*(1-F5)</f>
        <v>1493.1830436546234</v>
      </c>
      <c r="H5" s="74">
        <v>2</v>
      </c>
      <c r="I5" s="74">
        <v>1.5</v>
      </c>
      <c r="J5" s="74">
        <v>1.5</v>
      </c>
      <c r="K5" s="75">
        <f>(G5-$B$30)/H5</f>
        <v>103.01804274162396</v>
      </c>
      <c r="M5" s="64" t="s">
        <v>94</v>
      </c>
      <c r="N5" s="16">
        <f>N4+2</f>
        <v>10</v>
      </c>
    </row>
    <row r="6" spans="1:14">
      <c r="A6" s="44" t="s">
        <v>91</v>
      </c>
      <c r="B6" s="81">
        <f>Abilities!Q36</f>
        <v>1772.4981983900002</v>
      </c>
      <c r="C6" s="80">
        <f t="shared" si="0"/>
        <v>1.04545</v>
      </c>
      <c r="D6" s="80">
        <f>1-(Abilities!B26/100)</f>
        <v>0.73839999999999995</v>
      </c>
      <c r="E6" s="80">
        <v>0.3</v>
      </c>
      <c r="F6" s="80">
        <v>0.2</v>
      </c>
      <c r="G6" s="81">
        <f>(B6+B6*(Abilities!$B$26/100+D6)*(Abilities!$B$27+E6))*C6*(1-F6)</f>
        <v>2668.4038677698295</v>
      </c>
      <c r="H6" s="82">
        <v>2</v>
      </c>
      <c r="I6" s="82">
        <v>12</v>
      </c>
      <c r="J6" s="82">
        <v>1.5</v>
      </c>
      <c r="K6" s="79">
        <f>(G6-$B$30)/H6</f>
        <v>690.62845479922703</v>
      </c>
      <c r="M6" s="64" t="s">
        <v>102</v>
      </c>
      <c r="N6" s="16">
        <f>N5-3</f>
        <v>7</v>
      </c>
    </row>
    <row r="7" spans="1:14">
      <c r="A7" s="71" t="s">
        <v>92</v>
      </c>
      <c r="B7" s="72">
        <f>Abilities!Q38</f>
        <v>1339.0123740000001</v>
      </c>
      <c r="C7" s="73">
        <f t="shared" si="0"/>
        <v>1.04545</v>
      </c>
      <c r="D7" s="73"/>
      <c r="E7" s="73"/>
      <c r="F7" s="73">
        <v>0.2</v>
      </c>
      <c r="G7" s="72">
        <f>(B7+B7*(Abilities!$B$26/100+D7)*(Abilities!$B$27+E7))*C7*(1-F7)</f>
        <v>1266.3788368153582</v>
      </c>
      <c r="H7" s="74">
        <v>3</v>
      </c>
      <c r="I7" s="74">
        <v>6</v>
      </c>
      <c r="J7" s="74"/>
      <c r="K7" s="75">
        <f>(G7-$B$30)/H7</f>
        <v>-6.9227071186724061</v>
      </c>
      <c r="M7" s="64" t="s">
        <v>105</v>
      </c>
      <c r="N7" s="16">
        <f>N6-2</f>
        <v>5</v>
      </c>
    </row>
    <row r="8" spans="1:14">
      <c r="A8" s="44" t="s">
        <v>93</v>
      </c>
      <c r="B8" s="61">
        <f>Abilities!Q40</f>
        <v>2403.0723137180003</v>
      </c>
      <c r="C8" s="16">
        <f t="shared" si="0"/>
        <v>1.04545</v>
      </c>
      <c r="F8" s="16">
        <v>0.2</v>
      </c>
      <c r="G8" s="61">
        <f>(B8+B8*(Abilities!$B$26/100+D8)*(Abilities!$B$27+E8))*C8*(1-F8)</f>
        <v>2272.7197899885823</v>
      </c>
      <c r="H8" s="65">
        <v>0</v>
      </c>
      <c r="I8" s="65">
        <v>30</v>
      </c>
      <c r="J8" s="65">
        <v>3</v>
      </c>
      <c r="K8" s="70">
        <f>G8-$B$30</f>
        <v>985.57283181720686</v>
      </c>
      <c r="M8" s="64" t="s">
        <v>45</v>
      </c>
      <c r="N8" s="16">
        <f>N7-2</f>
        <v>3</v>
      </c>
    </row>
    <row r="9" spans="1:14">
      <c r="A9" s="45" t="s">
        <v>94</v>
      </c>
      <c r="B9" s="61">
        <f>Abilities!Q44</f>
        <v>1030.640484</v>
      </c>
      <c r="C9" s="16">
        <f t="shared" si="0"/>
        <v>1.04545</v>
      </c>
      <c r="F9" s="16">
        <v>0.2</v>
      </c>
      <c r="G9" s="61">
        <f>(B9+B9*(Abilities!$B$26/100+D9)*(Abilities!$B$27+E9))*C9*(1-F9)</f>
        <v>974.73430615416987</v>
      </c>
      <c r="H9" s="65">
        <v>-2</v>
      </c>
      <c r="I9" s="65">
        <v>0</v>
      </c>
      <c r="J9" s="65">
        <v>1.5</v>
      </c>
      <c r="K9" s="16" t="s">
        <v>11</v>
      </c>
      <c r="M9" s="64" t="s">
        <v>93</v>
      </c>
      <c r="N9" s="16">
        <f>N8+1</f>
        <v>4</v>
      </c>
    </row>
    <row r="10" spans="1:14">
      <c r="A10" s="44" t="s">
        <v>95</v>
      </c>
      <c r="B10" s="61">
        <f>Abilities!Q46</f>
        <v>1030.6066679999999</v>
      </c>
      <c r="C10" s="16">
        <f t="shared" si="0"/>
        <v>1.04545</v>
      </c>
      <c r="F10" s="16">
        <v>0.2</v>
      </c>
      <c r="G10" s="61">
        <f>(B10+B10*(Abilities!$B$26/100+D10)*(Abilities!$B$27+E10))*C10*(1-F10)</f>
        <v>974.70232447306125</v>
      </c>
      <c r="H10" s="65">
        <v>-6</v>
      </c>
      <c r="I10" s="65">
        <v>12</v>
      </c>
      <c r="J10" s="65">
        <v>1.5</v>
      </c>
      <c r="K10" s="16" t="s">
        <v>11</v>
      </c>
      <c r="M10" s="64" t="s">
        <v>93</v>
      </c>
      <c r="N10" s="16">
        <f>N9</f>
        <v>4</v>
      </c>
    </row>
    <row r="11" spans="1:14">
      <c r="A11" s="71" t="s">
        <v>24</v>
      </c>
      <c r="B11" s="72">
        <f>Abilities!Q48</f>
        <v>966.81721719753</v>
      </c>
      <c r="C11" s="73">
        <f t="shared" si="0"/>
        <v>1.04545</v>
      </c>
      <c r="D11" s="73"/>
      <c r="E11" s="73"/>
      <c r="F11" s="73">
        <v>0.2</v>
      </c>
      <c r="G11" s="72">
        <f>(B11+B11*(Abilities!$B$26/100+D11)*(Abilities!$B$27+E11))*C11*(1-F11)</f>
        <v>914.37307578433888</v>
      </c>
      <c r="H11" s="74">
        <v>-3</v>
      </c>
      <c r="I11" s="74">
        <v>60</v>
      </c>
      <c r="J11" s="74"/>
      <c r="K11" s="73" t="s">
        <v>11</v>
      </c>
      <c r="M11" s="64" t="s">
        <v>106</v>
      </c>
      <c r="N11" s="16">
        <f>N10+6</f>
        <v>10</v>
      </c>
    </row>
    <row r="12" spans="1:14">
      <c r="A12" s="76" t="s">
        <v>96</v>
      </c>
      <c r="B12" s="72">
        <f>Abilities!Q49</f>
        <v>906.99471684964078</v>
      </c>
      <c r="C12" s="73">
        <f t="shared" si="0"/>
        <v>1.04545</v>
      </c>
      <c r="D12" s="73"/>
      <c r="E12" s="73"/>
      <c r="F12" s="73">
        <v>0.2</v>
      </c>
      <c r="G12" s="72">
        <f>(B12+B12*(Abilities!$B$26/100+D12)*(Abilities!$B$27+E12))*C12*(1-F12)</f>
        <v>857.79559384544052</v>
      </c>
      <c r="H12" s="74">
        <v>1</v>
      </c>
      <c r="I12" s="74">
        <v>1.5</v>
      </c>
      <c r="J12" s="74"/>
      <c r="K12" s="75">
        <f t="shared" ref="K12:K17" si="1">(G12-$B$30)/H12</f>
        <v>-429.35136432593492</v>
      </c>
      <c r="M12" s="64" t="s">
        <v>45</v>
      </c>
      <c r="N12" s="16">
        <f>N11-2</f>
        <v>8</v>
      </c>
    </row>
    <row r="13" spans="1:14">
      <c r="A13" s="44" t="s">
        <v>97</v>
      </c>
      <c r="B13" s="61">
        <f>Abilities!Q51</f>
        <v>1681.2160013543598</v>
      </c>
      <c r="C13" s="16">
        <f t="shared" si="0"/>
        <v>1.04545</v>
      </c>
      <c r="D13" s="16">
        <v>0.06</v>
      </c>
      <c r="F13" s="16">
        <f>0.2*1/3+0.05*2/3</f>
        <v>0.1</v>
      </c>
      <c r="G13" s="61">
        <f>(B13+B13*(Abilities!$B$26/100+D13)*(Abilities!$B$27+E13))*C13*(1-F13)</f>
        <v>1836.2283600684191</v>
      </c>
      <c r="H13" s="65">
        <v>2</v>
      </c>
      <c r="I13" s="65">
        <v>15</v>
      </c>
      <c r="J13" s="65">
        <v>6</v>
      </c>
      <c r="K13" s="79">
        <f t="shared" si="1"/>
        <v>274.54070094852182</v>
      </c>
      <c r="M13" s="64" t="s">
        <v>94</v>
      </c>
      <c r="N13" s="16">
        <f>N12+2</f>
        <v>10</v>
      </c>
    </row>
    <row r="14" spans="1:14">
      <c r="A14" s="45" t="s">
        <v>98</v>
      </c>
      <c r="B14" s="81">
        <f>Abilities!Q54</f>
        <v>2582.9739352370002</v>
      </c>
      <c r="C14" s="80">
        <f t="shared" si="0"/>
        <v>1.04545</v>
      </c>
      <c r="D14" s="80"/>
      <c r="E14" s="80"/>
      <c r="F14" s="80">
        <v>0.2</v>
      </c>
      <c r="G14" s="81">
        <f>(B14+B14*(Abilities!$B$26/100+D14)*(Abilities!$B$27+E14))*C14*(1-F14)</f>
        <v>2442.8628078009237</v>
      </c>
      <c r="H14" s="82">
        <v>3</v>
      </c>
      <c r="I14" s="82">
        <v>6</v>
      </c>
      <c r="J14" s="82"/>
      <c r="K14" s="79">
        <f t="shared" si="1"/>
        <v>385.23861654318279</v>
      </c>
      <c r="M14" s="64" t="s">
        <v>105</v>
      </c>
      <c r="N14" s="16">
        <f>N13-2+1</f>
        <v>9</v>
      </c>
    </row>
    <row r="15" spans="1:14">
      <c r="A15" s="76" t="s">
        <v>99</v>
      </c>
      <c r="B15" s="72">
        <f>Abilities!Q56</f>
        <v>509.99185783617656</v>
      </c>
      <c r="C15" s="73">
        <f t="shared" si="0"/>
        <v>1.04545</v>
      </c>
      <c r="D15" s="73"/>
      <c r="E15" s="73"/>
      <c r="F15" s="73">
        <v>0.2</v>
      </c>
      <c r="G15" s="72">
        <f>(B15+B15*(Abilities!$B$26/100+D15)*(Abilities!$B$27+E15))*C15*(1-F15)</f>
        <v>482.32780238062298</v>
      </c>
      <c r="H15" s="74">
        <v>2</v>
      </c>
      <c r="I15" s="74">
        <v>1.5</v>
      </c>
      <c r="J15" s="74"/>
      <c r="K15" s="75">
        <f t="shared" si="1"/>
        <v>-402.40957789537623</v>
      </c>
      <c r="M15" s="64" t="s">
        <v>45</v>
      </c>
      <c r="N15" s="16">
        <f>N14-2</f>
        <v>7</v>
      </c>
    </row>
    <row r="16" spans="1:14">
      <c r="A16" s="71" t="s">
        <v>100</v>
      </c>
      <c r="B16" s="72">
        <f>Abilities!Q58</f>
        <v>3198.6356000000001</v>
      </c>
      <c r="C16" s="73">
        <f t="shared" si="0"/>
        <v>1.04545</v>
      </c>
      <c r="D16" s="73"/>
      <c r="E16" s="73"/>
      <c r="F16" s="73">
        <v>0.2</v>
      </c>
      <c r="G16" s="72">
        <f>(B16+B16*(Abilities!$B$26/100+D16)*(Abilities!$B$27+E16))*C16*(1-F16)</f>
        <v>3025.1284522664128</v>
      </c>
      <c r="H16" s="74">
        <v>4</v>
      </c>
      <c r="I16" s="74">
        <v>21</v>
      </c>
      <c r="J16" s="74"/>
      <c r="K16" s="75">
        <f t="shared" si="1"/>
        <v>434.49537352375933</v>
      </c>
      <c r="M16" s="64" t="s">
        <v>102</v>
      </c>
      <c r="N16" s="16">
        <f>N15-3</f>
        <v>4</v>
      </c>
    </row>
    <row r="17" spans="1:14">
      <c r="A17" s="76" t="s">
        <v>101</v>
      </c>
      <c r="B17" s="72">
        <f>Abilities!Q60</f>
        <v>2865.9983109489553</v>
      </c>
      <c r="C17" s="73">
        <f t="shared" si="0"/>
        <v>1.04545</v>
      </c>
      <c r="D17" s="73"/>
      <c r="E17" s="73"/>
      <c r="F17" s="73">
        <v>0.2</v>
      </c>
      <c r="G17" s="72">
        <f>(B17+B17*(Abilities!$B$26/100+D17)*(Abilities!$B$27+E17))*C17*(1-F17)</f>
        <v>2710.5347775780297</v>
      </c>
      <c r="H17" s="74">
        <v>4</v>
      </c>
      <c r="I17" s="74">
        <v>12</v>
      </c>
      <c r="J17" s="74">
        <v>1.5</v>
      </c>
      <c r="K17" s="75">
        <f t="shared" si="1"/>
        <v>355.84695485166355</v>
      </c>
      <c r="M17" s="64" t="s">
        <v>45</v>
      </c>
      <c r="N17" s="16">
        <f>N16-2</f>
        <v>2</v>
      </c>
    </row>
    <row r="18" spans="1:14">
      <c r="A18" s="71" t="s">
        <v>27</v>
      </c>
      <c r="B18" s="72">
        <f>Abilities!Q62</f>
        <v>1039.03201226748</v>
      </c>
      <c r="C18" s="73">
        <f t="shared" si="0"/>
        <v>1.04545</v>
      </c>
      <c r="D18" s="73"/>
      <c r="E18" s="73"/>
      <c r="F18" s="73">
        <v>0.05</v>
      </c>
      <c r="G18" s="72">
        <f>(B18+B18*(Abilities!$B$26/100+D18)*(Abilities!$B$27+E18))*C18*(1-F18)</f>
        <v>1166.9213890641681</v>
      </c>
      <c r="H18" s="74">
        <v>3</v>
      </c>
      <c r="I18" s="74">
        <v>12</v>
      </c>
      <c r="J18" s="74">
        <v>6</v>
      </c>
      <c r="K18" s="75" t="s">
        <v>11</v>
      </c>
      <c r="M18" s="64" t="s">
        <v>94</v>
      </c>
      <c r="N18" s="16">
        <f>N17+1</f>
        <v>3</v>
      </c>
    </row>
    <row r="19" spans="1:14">
      <c r="A19" s="44" t="s">
        <v>28</v>
      </c>
      <c r="B19" s="81">
        <f>Abilities!Q63</f>
        <v>296.75297748769998</v>
      </c>
      <c r="C19" s="80">
        <f>1.03*1.015*1.3</f>
        <v>1.3590850000000001</v>
      </c>
      <c r="D19" s="80">
        <v>0.06</v>
      </c>
      <c r="E19" s="80">
        <v>0.3</v>
      </c>
      <c r="F19" s="80">
        <v>0.2</v>
      </c>
      <c r="G19" s="81">
        <f>(B19+B19*(Abilities!$B$26/100+D19)*(Abilities!$B$27+E19))*C19*(1-F19)</f>
        <v>405.66141252773201</v>
      </c>
      <c r="H19" s="82">
        <v>0</v>
      </c>
      <c r="I19" s="82">
        <v>1.5</v>
      </c>
      <c r="J19" s="82">
        <v>1.5</v>
      </c>
      <c r="K19" s="80" t="s">
        <v>11</v>
      </c>
      <c r="M19" s="64" t="s">
        <v>106</v>
      </c>
      <c r="N19" s="16">
        <f>N18+6</f>
        <v>9</v>
      </c>
    </row>
    <row r="20" spans="1:14">
      <c r="A20" s="45" t="s">
        <v>102</v>
      </c>
      <c r="B20" s="81">
        <f>Abilities!Q64</f>
        <v>1341.6255743899433</v>
      </c>
      <c r="C20" s="80">
        <f>1.03*1.015</f>
        <v>1.04545</v>
      </c>
      <c r="D20" s="80"/>
      <c r="E20" s="80"/>
      <c r="F20" s="80">
        <v>0.2</v>
      </c>
      <c r="G20" s="81">
        <f>(B20+B20*(Abilities!$B$26/100+D20)*(Abilities!$B$27+E20))*C20*(1-F20)</f>
        <v>1268.8502864706709</v>
      </c>
      <c r="H20" s="82">
        <v>3</v>
      </c>
      <c r="I20" s="82">
        <v>15</v>
      </c>
      <c r="J20" s="82">
        <v>6</v>
      </c>
      <c r="K20" s="79">
        <f>(G20-$B$30)/H20</f>
        <v>-6.0988905669015212</v>
      </c>
      <c r="M20" s="64" t="s">
        <v>45</v>
      </c>
      <c r="N20" s="16">
        <f>N19-2</f>
        <v>7</v>
      </c>
    </row>
    <row r="21" spans="1:14">
      <c r="A21" s="76" t="s">
        <v>103</v>
      </c>
      <c r="B21" s="72">
        <f>Abilities!Q66</f>
        <v>1517.9276165832</v>
      </c>
      <c r="C21" s="73">
        <f>1.03*1.015</f>
        <v>1.04545</v>
      </c>
      <c r="D21" s="73"/>
      <c r="E21" s="73"/>
      <c r="F21" s="73">
        <v>0.2</v>
      </c>
      <c r="G21" s="72">
        <f>(B21+B21*(Abilities!$B$26/100+D21)*(Abilities!$B$27+E21))*C21*(1-F21)</f>
        <v>1435.5889809413679</v>
      </c>
      <c r="H21" s="74">
        <v>3</v>
      </c>
      <c r="I21" s="74">
        <v>15</v>
      </c>
      <c r="J21" s="74"/>
      <c r="K21" s="75">
        <f>(G21-$B$30)/H21</f>
        <v>49.480674256664166</v>
      </c>
      <c r="M21" s="64" t="s">
        <v>97</v>
      </c>
      <c r="N21" s="16">
        <f>N20-2</f>
        <v>5</v>
      </c>
    </row>
    <row r="22" spans="1:14">
      <c r="A22" s="45" t="s">
        <v>45</v>
      </c>
      <c r="B22" s="81">
        <f>Abilities!Q68</f>
        <v>1345.7071780000001</v>
      </c>
      <c r="C22" s="80">
        <f>1.03*1.03</f>
        <v>1.0609</v>
      </c>
      <c r="D22" s="80"/>
      <c r="E22" s="80">
        <v>0.3</v>
      </c>
      <c r="F22" s="80">
        <v>0.2</v>
      </c>
      <c r="G22" s="81">
        <f>(B22+B22*(Abilities!$B$26/100+D22)*(Abilities!$B$27+E22))*C22*(1-F22)+G19</f>
        <v>1786.8146812342447</v>
      </c>
      <c r="H22" s="82">
        <v>2</v>
      </c>
      <c r="I22" s="82">
        <v>1.5</v>
      </c>
      <c r="J22" s="82">
        <v>6</v>
      </c>
      <c r="K22" s="79">
        <f>(G22-$B$30)/H22</f>
        <v>249.83386153143465</v>
      </c>
      <c r="M22" s="64" t="s">
        <v>105</v>
      </c>
      <c r="N22" s="16">
        <f>N21-2</f>
        <v>3</v>
      </c>
    </row>
    <row r="23" spans="1:14">
      <c r="A23" s="76" t="s">
        <v>117</v>
      </c>
      <c r="B23" s="72">
        <f>Abilities!Q70</f>
        <v>2379.7872000000002</v>
      </c>
      <c r="C23" s="73">
        <f t="shared" ref="C23:C28" si="2">1.03*1.015</f>
        <v>1.04545</v>
      </c>
      <c r="D23" s="73">
        <v>0.06</v>
      </c>
      <c r="E23" s="73"/>
      <c r="F23" s="73">
        <v>0.2</v>
      </c>
      <c r="G23" s="72">
        <f>(B23+B23*(Abilities!$B$26/100+D23)*(Abilities!$B$27+E23))*C23*(1-F23)</f>
        <v>2310.4085212647942</v>
      </c>
      <c r="H23" s="74">
        <v>0</v>
      </c>
      <c r="I23" s="74">
        <v>45</v>
      </c>
      <c r="J23" s="74"/>
      <c r="K23" s="75">
        <f>G23-$B$30</f>
        <v>1023.2615630934188</v>
      </c>
      <c r="M23" s="64" t="s">
        <v>45</v>
      </c>
      <c r="N23" s="16">
        <f>N22+1-2</f>
        <v>2</v>
      </c>
    </row>
    <row r="24" spans="1:14">
      <c r="A24" s="76" t="s">
        <v>117</v>
      </c>
      <c r="B24" s="72">
        <f>Abilities!Q72</f>
        <v>3239.1548000000003</v>
      </c>
      <c r="C24" s="73">
        <f t="shared" si="2"/>
        <v>1.04545</v>
      </c>
      <c r="D24" s="73">
        <v>0.06</v>
      </c>
      <c r="E24" s="73"/>
      <c r="F24" s="73">
        <v>0.2</v>
      </c>
      <c r="G24" s="72">
        <f>(B24+B24*(Abilities!$B$26/100+D24)*(Abilities!$B$27+E24))*C24*(1-F24)</f>
        <v>3144.7227094993027</v>
      </c>
      <c r="H24" s="74">
        <v>0</v>
      </c>
      <c r="I24" s="74">
        <v>45</v>
      </c>
      <c r="J24" s="74"/>
      <c r="K24" s="75">
        <f>G24-$B$30</f>
        <v>1857.5757513279273</v>
      </c>
      <c r="M24" s="64" t="s">
        <v>94</v>
      </c>
      <c r="N24" s="16">
        <f>N23+2</f>
        <v>4</v>
      </c>
    </row>
    <row r="25" spans="1:14">
      <c r="A25" s="71" t="s">
        <v>118</v>
      </c>
      <c r="B25" s="72">
        <f>Abilities!Q74</f>
        <v>1741.5160000000001</v>
      </c>
      <c r="C25" s="73">
        <f t="shared" si="2"/>
        <v>1.04545</v>
      </c>
      <c r="D25" s="73">
        <v>0.06</v>
      </c>
      <c r="E25" s="73"/>
      <c r="F25" s="73">
        <v>0.2</v>
      </c>
      <c r="G25" s="72">
        <f>(B25+B25*(Abilities!$B$26/100+D25)*(Abilities!$B$27+E25))*C25*(1-F25)</f>
        <v>1690.7450406990081</v>
      </c>
      <c r="H25" s="74">
        <v>0</v>
      </c>
      <c r="I25" s="74">
        <v>15</v>
      </c>
      <c r="J25" s="74"/>
      <c r="K25" s="75">
        <f>G25-$B$30</f>
        <v>403.59808252763264</v>
      </c>
      <c r="M25" s="64" t="s">
        <v>45</v>
      </c>
      <c r="N25" s="16">
        <f>N24-2</f>
        <v>2</v>
      </c>
    </row>
    <row r="26" spans="1:14">
      <c r="A26" s="71" t="s">
        <v>118</v>
      </c>
      <c r="B26" s="72">
        <f>Abilities!Q76</f>
        <v>2588.7400000000002</v>
      </c>
      <c r="C26" s="73">
        <f t="shared" si="2"/>
        <v>1.04545</v>
      </c>
      <c r="D26" s="73">
        <v>0.06</v>
      </c>
      <c r="E26" s="73"/>
      <c r="F26" s="73">
        <v>0.2</v>
      </c>
      <c r="G26" s="72">
        <f>(B26+B26*(Abilities!$B$26/100+D26)*(Abilities!$B$27+E26))*C26*(1-F26)</f>
        <v>2513.2696550931205</v>
      </c>
      <c r="H26" s="74">
        <v>0</v>
      </c>
      <c r="I26" s="74">
        <v>15</v>
      </c>
      <c r="J26" s="74"/>
      <c r="K26" s="75">
        <f>G26-$B$30</f>
        <v>1226.122696921745</v>
      </c>
      <c r="M26" s="64" t="s">
        <v>94</v>
      </c>
      <c r="N26" s="16">
        <f>N25+2</f>
        <v>4</v>
      </c>
    </row>
    <row r="27" spans="1:14">
      <c r="A27" s="76" t="s">
        <v>119</v>
      </c>
      <c r="B27" s="72">
        <f>Abilities!Q78</f>
        <v>4581.2024000000001</v>
      </c>
      <c r="C27" s="73">
        <f t="shared" si="2"/>
        <v>1.04545</v>
      </c>
      <c r="D27" s="73">
        <v>0.06</v>
      </c>
      <c r="E27" s="73"/>
      <c r="F27" s="73">
        <v>0.2</v>
      </c>
      <c r="G27" s="72">
        <f>(B27+B27*(Abilities!$B$26/100+D27)*(Abilities!$B$27+E27))*C27*(1-F27)</f>
        <v>4447.6451770976519</v>
      </c>
      <c r="H27" s="74">
        <v>0</v>
      </c>
      <c r="I27" s="74">
        <v>60</v>
      </c>
      <c r="J27" s="74"/>
      <c r="K27" s="75">
        <f>G27-$B$30</f>
        <v>3160.4982189262764</v>
      </c>
      <c r="M27" s="64" t="s">
        <v>106</v>
      </c>
      <c r="N27" s="16">
        <f>N26+6</f>
        <v>10</v>
      </c>
    </row>
    <row r="28" spans="1:14">
      <c r="A28" s="71" t="s">
        <v>120</v>
      </c>
      <c r="B28" s="72">
        <f>Abilities!Q79</f>
        <v>1008.7368</v>
      </c>
      <c r="C28" s="73">
        <f t="shared" si="2"/>
        <v>1.04545</v>
      </c>
      <c r="D28" s="73"/>
      <c r="E28" s="73"/>
      <c r="F28" s="73">
        <v>0.2</v>
      </c>
      <c r="G28" s="72">
        <f>(B28+B28*(Abilities!$B$26/100+D28)*(Abilities!$B$27+E28))*C28*(1-F28)</f>
        <v>954.01876804227834</v>
      </c>
      <c r="H28" s="74">
        <v>3</v>
      </c>
      <c r="I28" s="74">
        <v>12</v>
      </c>
      <c r="J28" s="74"/>
      <c r="K28" s="75">
        <f>(G28-$B$30)/H28</f>
        <v>-111.04273004303236</v>
      </c>
      <c r="M28" s="64" t="s">
        <v>131</v>
      </c>
      <c r="N28" s="16">
        <f>N27-3+1</f>
        <v>8</v>
      </c>
    </row>
    <row r="29" spans="1:14">
      <c r="M29" s="64" t="s">
        <v>45</v>
      </c>
      <c r="N29" s="16">
        <f>N28-1</f>
        <v>7</v>
      </c>
    </row>
    <row r="30" spans="1:14">
      <c r="A30" s="39" t="s">
        <v>121</v>
      </c>
      <c r="B30" s="16">
        <f>(G3*5+G10*4+G9*5+G5*26)/40</f>
        <v>1287.1469581713754</v>
      </c>
      <c r="C30" s="68"/>
      <c r="E30" s="85">
        <f>(G3+G13+G8*2+G20*3+G10*4+G6*4+G22*14+G9*5+G19*48/1.5+G6/2+G22/4*5+G10/4+G9/4+G8/4)/48</f>
        <v>1521.5056854288102</v>
      </c>
      <c r="F30" s="83" t="s">
        <v>125</v>
      </c>
      <c r="M30" s="64" t="s">
        <v>105</v>
      </c>
      <c r="N30" s="16">
        <f>N29-2</f>
        <v>5</v>
      </c>
    </row>
    <row r="31" spans="1:14">
      <c r="M31" s="64" t="s">
        <v>45</v>
      </c>
      <c r="N31" s="16">
        <f>N30-1</f>
        <v>4</v>
      </c>
    </row>
    <row r="32" spans="1:14">
      <c r="M32" s="64" t="s">
        <v>45</v>
      </c>
      <c r="N32" s="16">
        <f>N31-1</f>
        <v>3</v>
      </c>
    </row>
    <row r="33" spans="13:14">
      <c r="M33" s="64" t="s">
        <v>45</v>
      </c>
      <c r="N33" s="16">
        <f>N32-1</f>
        <v>2</v>
      </c>
    </row>
    <row r="34" spans="13:14">
      <c r="M34" s="64" t="s">
        <v>45</v>
      </c>
      <c r="N34" s="16">
        <f>N33-1</f>
        <v>1</v>
      </c>
    </row>
    <row r="35" spans="13:14">
      <c r="M35" s="64" t="s">
        <v>45</v>
      </c>
      <c r="N35" s="16">
        <f>N34-1+1</f>
        <v>1</v>
      </c>
    </row>
    <row r="36" spans="13:14">
      <c r="N36" s="16">
        <v>48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8" sqref="E8"/>
    </sheetView>
  </sheetViews>
  <sheetFormatPr defaultRowHeight="15"/>
  <sheetData>
    <row r="1" spans="1:1">
      <c r="A1" s="86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Abilities</vt:lpstr>
      <vt:lpstr>Level Table</vt:lpstr>
      <vt:lpstr>Annihilation</vt:lpstr>
      <vt:lpstr>Carnage</vt:lpstr>
      <vt:lpstr>Rage</vt:lpstr>
    </vt:vector>
  </TitlesOfParts>
  <Company>Australian Catholic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Noj</dc:creator>
  <cp:lastModifiedBy>Administrator</cp:lastModifiedBy>
  <dcterms:created xsi:type="dcterms:W3CDTF">2011-11-07T22:24:21Z</dcterms:created>
  <dcterms:modified xsi:type="dcterms:W3CDTF">2011-12-08T22:52:00Z</dcterms:modified>
</cp:coreProperties>
</file>