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/>
  <mc:AlternateContent xmlns:mc="http://schemas.openxmlformats.org/markup-compatibility/2006">
    <mc:Choice Requires="x15">
      <x15ac:absPath xmlns:x15ac="http://schemas.microsoft.com/office/spreadsheetml/2010/11/ac" url="/Users/zshengqi/Desktop/Optimization/Session3:Workshop1/"/>
    </mc:Choice>
  </mc:AlternateContent>
  <xr:revisionPtr revIDLastSave="0" documentId="13_ncr:1_{4554D417-5547-7149-AD1A-D1A40ECCD381}" xr6:coauthVersionLast="45" xr6:coauthVersionMax="45" xr10:uidLastSave="{00000000-0000-0000-0000-000000000000}"/>
  <bookViews>
    <workbookView xWindow="-20" yWindow="460" windowWidth="28820" windowHeight="16940" tabRatio="750" activeTab="6" xr2:uid="{00000000-000D-0000-FFFF-FFFF00000000}"/>
  </bookViews>
  <sheets>
    <sheet name="Sensitivity Report Question 1" sheetId="90" r:id="rId1"/>
    <sheet name="Question 1" sheetId="88" r:id="rId2"/>
    <sheet name="Sensitivity Report Question 2" sheetId="93" r:id="rId3"/>
    <sheet name="Question 2" sheetId="92" r:id="rId4"/>
    <sheet name="Sensitivity Report Question 3" sheetId="95" r:id="rId5"/>
    <sheet name="Question 3" sheetId="94" r:id="rId6"/>
    <sheet name="Q5-S" sheetId="96" r:id="rId7"/>
    <sheet name="Q5-N" sheetId="98" r:id="rId8"/>
    <sheet name="Q5-P" sheetId="99" r:id="rId9"/>
    <sheet name="Q5" sheetId="101" r:id="rId10"/>
    <sheet name="SolverTableSheet" sheetId="86" state="veryHidden" r:id="rId11"/>
  </sheets>
  <definedNames>
    <definedName name="sencount" hidden="1">7</definedName>
    <definedName name="solver_adj" localSheetId="7" hidden="1">'Q5-N'!$B$4:$D$5</definedName>
    <definedName name="solver_adj" localSheetId="8" hidden="1">'Q5-P'!$B$4:$D$5</definedName>
    <definedName name="solver_adj" localSheetId="6" hidden="1">'Q5-S'!$B$4:$D$5</definedName>
    <definedName name="solver_adj" localSheetId="1" hidden="1">'Question 1'!$B$4:$D$5</definedName>
    <definedName name="solver_adj" localSheetId="3" hidden="1">'Question 2'!$B$4:$D$6</definedName>
    <definedName name="solver_adj" localSheetId="5" hidden="1">'Question 3'!$B$8:$D$8,'Question 3'!$B$4:$D$6</definedName>
    <definedName name="solver_cvg" localSheetId="7" hidden="1">0.0001</definedName>
    <definedName name="solver_cvg" localSheetId="8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7" hidden="1">1</definedName>
    <definedName name="solver_drv" localSheetId="8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7" hidden="1">2</definedName>
    <definedName name="solver_eng" localSheetId="8" hidden="1">2</definedName>
    <definedName name="solver_eng" localSheetId="6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itr" localSheetId="7" hidden="1">2147483647</definedName>
    <definedName name="solver_itr" localSheetId="8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7" hidden="1">'Q5-N'!$B$12:$D$12</definedName>
    <definedName name="solver_lhs1" localSheetId="8" hidden="1">'Q5-P'!$B$12:$D$12</definedName>
    <definedName name="solver_lhs1" localSheetId="6" hidden="1">'Q5-S'!$B$12:$D$12</definedName>
    <definedName name="solver_lhs1" localSheetId="1" hidden="1">'Question 1'!$B$12:$D$12</definedName>
    <definedName name="solver_lhs1" localSheetId="3" hidden="1">'Question 2'!$B$14:$D$14</definedName>
    <definedName name="solver_lhs1" localSheetId="5" hidden="1">'Question 3'!$B$17:$D$17</definedName>
    <definedName name="solver_lhs2" localSheetId="7" hidden="1">'Q5-N'!$B$6:$D$6</definedName>
    <definedName name="solver_lhs2" localSheetId="8" hidden="1">'Q5-P'!$B$6:$D$6</definedName>
    <definedName name="solver_lhs2" localSheetId="6" hidden="1">'Q5-S'!$B$6:$D$6</definedName>
    <definedName name="solver_lhs2" localSheetId="1" hidden="1">'Question 1'!$B$6:$D$6</definedName>
    <definedName name="solver_lhs2" localSheetId="3" hidden="1">'Question 2'!$B$7:$D$7</definedName>
    <definedName name="solver_lhs2" localSheetId="5" hidden="1">'Question 3'!$B$7:$D$7</definedName>
    <definedName name="solver_lhs3" localSheetId="7" hidden="1">'Q5-N'!$E$4:$E$5</definedName>
    <definedName name="solver_lhs3" localSheetId="8" hidden="1">'Q5-P'!$E$4:$E$5</definedName>
    <definedName name="solver_lhs3" localSheetId="6" hidden="1">'Q5-S'!$E$4:$E$5</definedName>
    <definedName name="solver_lhs3" localSheetId="1" hidden="1">'Question 1'!$E$4:$E$5</definedName>
    <definedName name="solver_lhs3" localSheetId="3" hidden="1">'Question 2'!$E$4:$E$6</definedName>
    <definedName name="solver_lhs3" localSheetId="5" hidden="1">'Question 3'!$E$4:$E$6</definedName>
    <definedName name="solver_lhs4" localSheetId="5" hidden="1">'Question 3'!$E$8</definedName>
    <definedName name="solver_lin" localSheetId="7" hidden="1">1</definedName>
    <definedName name="solver_lin" localSheetId="8" hidden="1">1</definedName>
    <definedName name="solver_lin" localSheetId="6" hidden="1">1</definedName>
    <definedName name="solver_lin" localSheetId="1" hidden="1">1</definedName>
    <definedName name="solver_lin" localSheetId="3" hidden="1">1</definedName>
    <definedName name="solver_lin" localSheetId="5" hidden="1">1</definedName>
    <definedName name="solver_mip" localSheetId="7" hidden="1">2147483647</definedName>
    <definedName name="solver_mip" localSheetId="8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7" hidden="1">30</definedName>
    <definedName name="solver_mni" localSheetId="8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7" hidden="1">0.075</definedName>
    <definedName name="solver_mrt" localSheetId="8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7" hidden="1">2</definedName>
    <definedName name="solver_msl" localSheetId="8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7" hidden="1">1</definedName>
    <definedName name="solver_neg" localSheetId="8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7" hidden="1">2147483647</definedName>
    <definedName name="solver_nod" localSheetId="8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7" hidden="1">3</definedName>
    <definedName name="solver_num" localSheetId="8" hidden="1">3</definedName>
    <definedName name="solver_num" localSheetId="6" hidden="1">3</definedName>
    <definedName name="solver_num" localSheetId="1" hidden="1">3</definedName>
    <definedName name="solver_num" localSheetId="3" hidden="1">3</definedName>
    <definedName name="solver_num" localSheetId="5" hidden="1">4</definedName>
    <definedName name="solver_opt" localSheetId="7" hidden="1">'Q5-N'!$E$18</definedName>
    <definedName name="solver_opt" localSheetId="8" hidden="1">'Q5-P'!$E$18</definedName>
    <definedName name="solver_opt" localSheetId="6" hidden="1">'Q5-S'!$E$18</definedName>
    <definedName name="solver_opt" localSheetId="1" hidden="1">'Question 1'!$E$18</definedName>
    <definedName name="solver_opt" localSheetId="3" hidden="1">'Question 2'!$E$20</definedName>
    <definedName name="solver_opt" localSheetId="5" hidden="1">'Question 3'!$E$23</definedName>
    <definedName name="solver_pre" localSheetId="7" hidden="1">0.000001</definedName>
    <definedName name="solver_pre" localSheetId="8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7" hidden="1">1</definedName>
    <definedName name="solver_rbv" localSheetId="8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7" hidden="1">3</definedName>
    <definedName name="solver_rel1" localSheetId="8" hidden="1">3</definedName>
    <definedName name="solver_rel1" localSheetId="6" hidden="1">3</definedName>
    <definedName name="solver_rel1" localSheetId="1" hidden="1">3</definedName>
    <definedName name="solver_rel1" localSheetId="3" hidden="1">3</definedName>
    <definedName name="solver_rel1" localSheetId="5" hidden="1">3</definedName>
    <definedName name="solver_rel2" localSheetId="7" hidden="1">1</definedName>
    <definedName name="solver_rel2" localSheetId="8" hidden="1">1</definedName>
    <definedName name="solver_rel2" localSheetId="6" hidden="1">1</definedName>
    <definedName name="solver_rel2" localSheetId="1" hidden="1">1</definedName>
    <definedName name="solver_rel2" localSheetId="3" hidden="1">1</definedName>
    <definedName name="solver_rel2" localSheetId="5" hidden="1">1</definedName>
    <definedName name="solver_rel3" localSheetId="7" hidden="1">1</definedName>
    <definedName name="solver_rel3" localSheetId="8" hidden="1">1</definedName>
    <definedName name="solver_rel3" localSheetId="6" hidden="1">1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4" localSheetId="5" hidden="1">1</definedName>
    <definedName name="solver_rhs1" localSheetId="7" hidden="1">'Q5-N'!$B$13:$D$13</definedName>
    <definedName name="solver_rhs1" localSheetId="8" hidden="1">'Q5-P'!$B$13:$D$13</definedName>
    <definedName name="solver_rhs1" localSheetId="6" hidden="1">'Q5-S'!$B$13:$D$13</definedName>
    <definedName name="solver_rhs1" localSheetId="1" hidden="1">'Question 1'!$B$13:$D$13</definedName>
    <definedName name="solver_rhs1" localSheetId="3" hidden="1">'Question 2'!$B$15:$D$15</definedName>
    <definedName name="solver_rhs1" localSheetId="5" hidden="1">'Question 3'!$B$18:$D$18</definedName>
    <definedName name="solver_rhs2" localSheetId="7" hidden="1">'Q5-N'!$B$7:$D$7</definedName>
    <definedName name="solver_rhs2" localSheetId="8" hidden="1">'Q5-P'!$B$7:$D$7</definedName>
    <definedName name="solver_rhs2" localSheetId="6" hidden="1">'Q5-S'!$B$7:$D$7</definedName>
    <definedName name="solver_rhs2" localSheetId="1" hidden="1">'Question 1'!$B$7:$D$7</definedName>
    <definedName name="solver_rhs2" localSheetId="3" hidden="1">'Question 2'!$B$8:$D$8</definedName>
    <definedName name="solver_rhs2" localSheetId="5" hidden="1">'Question 3'!$B$11:$D$11</definedName>
    <definedName name="solver_rhs3" localSheetId="7" hidden="1">'Q5-N'!$F$4:$F$5</definedName>
    <definedName name="solver_rhs3" localSheetId="8" hidden="1">'Q5-P'!$F$4:$F$5</definedName>
    <definedName name="solver_rhs3" localSheetId="6" hidden="1">'Q5-S'!$F$4:$F$5</definedName>
    <definedName name="solver_rhs3" localSheetId="1" hidden="1">'Question 1'!$F$4:$F$5</definedName>
    <definedName name="solver_rhs3" localSheetId="3" hidden="1">'Question 2'!$F$4:$F$6</definedName>
    <definedName name="solver_rhs3" localSheetId="5" hidden="1">'Question 3'!$F$4:$F$6</definedName>
    <definedName name="solver_rhs4" localSheetId="5" hidden="1">'Question 3'!$F$8</definedName>
    <definedName name="solver_rlx" localSheetId="7" hidden="1">2</definedName>
    <definedName name="solver_rlx" localSheetId="8" hidden="1">2</definedName>
    <definedName name="solver_rlx" localSheetId="6" hidden="1">2</definedName>
    <definedName name="solver_rlx" localSheetId="1" hidden="1">1</definedName>
    <definedName name="solver_rlx" localSheetId="3" hidden="1">1</definedName>
    <definedName name="solver_rlx" localSheetId="5" hidden="1">1</definedName>
    <definedName name="solver_rsd" localSheetId="7" hidden="1">0</definedName>
    <definedName name="solver_rsd" localSheetId="8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7" hidden="1">1</definedName>
    <definedName name="solver_scl" localSheetId="8" hidden="1">1</definedName>
    <definedName name="solver_scl" localSheetId="6" hidden="1">1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ho" localSheetId="7" hidden="1">2</definedName>
    <definedName name="solver_sho" localSheetId="8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7" hidden="1">100</definedName>
    <definedName name="solver_ssz" localSheetId="8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7" hidden="1">2147483647</definedName>
    <definedName name="solver_tim" localSheetId="8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7" hidden="1">0.01</definedName>
    <definedName name="solver_tol" localSheetId="8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7" hidden="1">1</definedName>
    <definedName name="solver_typ" localSheetId="8" hidden="1">1</definedName>
    <definedName name="solver_typ" localSheetId="6" hidden="1">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val" localSheetId="7" hidden="1">0</definedName>
    <definedName name="solver_val" localSheetId="8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7" hidden="1">2</definedName>
    <definedName name="solver_ver" localSheetId="8" hidden="1">2</definedName>
    <definedName name="solver_ver" localSheetId="6" hidden="1">2</definedName>
    <definedName name="solver_ver" localSheetId="1" hidden="1">2</definedName>
    <definedName name="solver_ver" localSheetId="3" hidden="1">2</definedName>
    <definedName name="solver_ver" localSheetId="5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01" l="1"/>
  <c r="E7" i="101"/>
  <c r="C7" i="101"/>
  <c r="F5" i="99" l="1"/>
  <c r="F4" i="99"/>
  <c r="F5" i="98"/>
  <c r="F4" i="98"/>
  <c r="B18" i="99"/>
  <c r="D11" i="99"/>
  <c r="C11" i="99"/>
  <c r="B11" i="99"/>
  <c r="D10" i="99"/>
  <c r="C10" i="99"/>
  <c r="B10" i="99"/>
  <c r="D6" i="99"/>
  <c r="D13" i="99" s="1"/>
  <c r="C6" i="99"/>
  <c r="C13" i="99" s="1"/>
  <c r="B6" i="99"/>
  <c r="B13" i="99" s="1"/>
  <c r="E5" i="99"/>
  <c r="E4" i="99"/>
  <c r="B18" i="98"/>
  <c r="D11" i="98"/>
  <c r="C11" i="98"/>
  <c r="B11" i="98"/>
  <c r="D10" i="98"/>
  <c r="C10" i="98"/>
  <c r="B10" i="98"/>
  <c r="D6" i="98"/>
  <c r="D13" i="98" s="1"/>
  <c r="C6" i="98"/>
  <c r="C13" i="98" s="1"/>
  <c r="B6" i="98"/>
  <c r="B13" i="98" s="1"/>
  <c r="E5" i="98"/>
  <c r="E4" i="98"/>
  <c r="E4" i="96"/>
  <c r="F5" i="96"/>
  <c r="F4" i="96"/>
  <c r="B18" i="96"/>
  <c r="D11" i="96"/>
  <c r="C11" i="96"/>
  <c r="B11" i="96"/>
  <c r="D10" i="96"/>
  <c r="C10" i="96"/>
  <c r="B10" i="96"/>
  <c r="D6" i="96"/>
  <c r="D13" i="96" s="1"/>
  <c r="C6" i="96"/>
  <c r="C13" i="96" s="1"/>
  <c r="B6" i="96"/>
  <c r="B13" i="96" s="1"/>
  <c r="E5" i="96"/>
  <c r="D9" i="94"/>
  <c r="D11" i="94" s="1"/>
  <c r="C9" i="94"/>
  <c r="C11" i="94" s="1"/>
  <c r="B9" i="94"/>
  <c r="B11" i="94" s="1"/>
  <c r="E8" i="94"/>
  <c r="B23" i="94"/>
  <c r="D16" i="94"/>
  <c r="C16" i="94"/>
  <c r="B16" i="94"/>
  <c r="D15" i="94"/>
  <c r="C15" i="94"/>
  <c r="B15" i="94"/>
  <c r="D14" i="94"/>
  <c r="C14" i="94"/>
  <c r="B14" i="94"/>
  <c r="G10" i="94"/>
  <c r="D7" i="94"/>
  <c r="C7" i="94"/>
  <c r="C18" i="94" s="1"/>
  <c r="B7" i="94"/>
  <c r="B18" i="94" s="1"/>
  <c r="E6" i="94"/>
  <c r="E5" i="94"/>
  <c r="E4" i="94"/>
  <c r="G8" i="92"/>
  <c r="E5" i="92"/>
  <c r="C12" i="92"/>
  <c r="D12" i="92"/>
  <c r="B12" i="92"/>
  <c r="B11" i="92"/>
  <c r="B20" i="92"/>
  <c r="D13" i="92"/>
  <c r="C13" i="92"/>
  <c r="B13" i="92"/>
  <c r="D11" i="92"/>
  <c r="C11" i="92"/>
  <c r="D7" i="92"/>
  <c r="D15" i="92" s="1"/>
  <c r="C7" i="92"/>
  <c r="C15" i="92" s="1"/>
  <c r="B7" i="92"/>
  <c r="B15" i="92" s="1"/>
  <c r="E6" i="92"/>
  <c r="E4" i="92"/>
  <c r="C12" i="99" l="1"/>
  <c r="C14" i="99" s="1"/>
  <c r="B12" i="99"/>
  <c r="B14" i="99" s="1"/>
  <c r="D12" i="99"/>
  <c r="D14" i="99" s="1"/>
  <c r="D12" i="98"/>
  <c r="D14" i="98" s="1"/>
  <c r="B12" i="98"/>
  <c r="B14" i="98" s="1"/>
  <c r="C12" i="98"/>
  <c r="C14" i="98" s="1"/>
  <c r="E18" i="99"/>
  <c r="F18" i="99" s="1"/>
  <c r="E6" i="99"/>
  <c r="H4" i="99" s="1"/>
  <c r="E6" i="98"/>
  <c r="H4" i="98" s="1"/>
  <c r="E18" i="98"/>
  <c r="C12" i="96"/>
  <c r="C14" i="96" s="1"/>
  <c r="B12" i="96"/>
  <c r="B14" i="96" s="1"/>
  <c r="D12" i="96"/>
  <c r="D14" i="96" s="1"/>
  <c r="E6" i="96"/>
  <c r="H4" i="96" s="1"/>
  <c r="E18" i="96"/>
  <c r="B17" i="94"/>
  <c r="B19" i="94" s="1"/>
  <c r="C17" i="94"/>
  <c r="C19" i="94" s="1"/>
  <c r="D17" i="94"/>
  <c r="D19" i="94" s="1"/>
  <c r="E7" i="94"/>
  <c r="D18" i="94"/>
  <c r="E23" i="94"/>
  <c r="F23" i="94" s="1"/>
  <c r="B14" i="92"/>
  <c r="B16" i="92" s="1"/>
  <c r="C14" i="92"/>
  <c r="C16" i="92" s="1"/>
  <c r="D14" i="92"/>
  <c r="D16" i="92" s="1"/>
  <c r="E7" i="92"/>
  <c r="E20" i="92"/>
  <c r="F20" i="92" s="1"/>
  <c r="B18" i="88"/>
  <c r="F18" i="96" l="1"/>
  <c r="F18" i="98"/>
  <c r="C11" i="88"/>
  <c r="D11" i="88"/>
  <c r="B11" i="88"/>
  <c r="D10" i="88"/>
  <c r="C10" i="88"/>
  <c r="B10" i="88"/>
  <c r="D6" i="88"/>
  <c r="D13" i="88" s="1"/>
  <c r="C6" i="88"/>
  <c r="C13" i="88" s="1"/>
  <c r="B6" i="88"/>
  <c r="E5" i="88"/>
  <c r="E4" i="88"/>
  <c r="E18" i="88" l="1"/>
  <c r="F18" i="88" s="1"/>
  <c r="D12" i="88"/>
  <c r="D14" i="88" s="1"/>
  <c r="B12" i="88"/>
  <c r="B14" i="88" s="1"/>
  <c r="C12" i="88"/>
  <c r="C14" i="88" s="1"/>
  <c r="B13" i="88"/>
  <c r="E6" i="88"/>
</calcChain>
</file>

<file path=xl/sharedStrings.xml><?xml version="1.0" encoding="utf-8"?>
<sst xmlns="http://schemas.openxmlformats.org/spreadsheetml/2006/main" count="397" uniqueCount="109">
  <si>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</si>
  <si>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</si>
  <si>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</si>
  <si>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</si>
  <si>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</si>
  <si>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</si>
  <si>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</si>
  <si>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</si>
  <si>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</si>
  <si>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</si>
  <si>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</si>
  <si>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</si>
  <si>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</si>
  <si>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</si>
  <si>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</si>
  <si>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</si>
  <si>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</si>
  <si>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</si>
  <si>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</si>
  <si>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</si>
  <si>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</si>
  <si>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</si>
  <si>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</si>
  <si>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</si>
  <si>
    <t>Worksheet: [RBC.xlsx]Base Model</t>
  </si>
  <si>
    <t>Cell</t>
  </si>
  <si>
    <t>Name</t>
  </si>
  <si>
    <t>Variable Cells</t>
  </si>
  <si>
    <t>Constraints</t>
  </si>
  <si>
    <t>$B$4</t>
  </si>
  <si>
    <t>Grade A Whole</t>
  </si>
  <si>
    <t>$C$4</t>
  </si>
  <si>
    <t>Grade A Juice</t>
  </si>
  <si>
    <t>$D$4</t>
  </si>
  <si>
    <t>Grade A Paste</t>
  </si>
  <si>
    <t>$B$5</t>
  </si>
  <si>
    <t>Grade B Whole</t>
  </si>
  <si>
    <t>$C$5</t>
  </si>
  <si>
    <t>Grade B Juice</t>
  </si>
  <si>
    <t>$D$5</t>
  </si>
  <si>
    <t>Grade B Paste</t>
  </si>
  <si>
    <t>$B$12</t>
  </si>
  <si>
    <t>Total Quality Whole</t>
  </si>
  <si>
    <t>$C$12</t>
  </si>
  <si>
    <t>Total Quality Juice</t>
  </si>
  <si>
    <t>$D$12</t>
  </si>
  <si>
    <t>Total Quality Paste</t>
  </si>
  <si>
    <t>$B$6</t>
  </si>
  <si>
    <t>Total Production Whole</t>
  </si>
  <si>
    <t>$C$6</t>
  </si>
  <si>
    <t>Total Production Juice</t>
  </si>
  <si>
    <t>$D$6</t>
  </si>
  <si>
    <t>Total Production Paste</t>
  </si>
  <si>
    <t>$E$4</t>
  </si>
  <si>
    <t>Grade A Total Required</t>
  </si>
  <si>
    <t>$E$5</t>
  </si>
  <si>
    <t>Grade B Total Required</t>
  </si>
  <si>
    <t>Microsoft Excel 16.41 Sensitivity Report</t>
  </si>
  <si>
    <t>Report Created: 9/26/20 10:10:08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</si>
  <si>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</si>
  <si>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</si>
  <si>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</si>
  <si>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</si>
  <si>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</si>
  <si>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</si>
  <si>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</si>
  <si>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</si>
  <si>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</si>
  <si>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</si>
  <si>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</si>
  <si>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</si>
  <si>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</si>
  <si>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Grade A (Additional)</t>
  </si>
  <si>
    <t xml:space="preserve">Grade A (Additional) </t>
  </si>
  <si>
    <t>Total Cost</t>
  </si>
  <si>
    <t>Worksheet: [RBC.xlsx]Question 2</t>
  </si>
  <si>
    <t>Report Created: 9/29/20 12:10:21 PM</t>
  </si>
  <si>
    <t>Grade A (Additional) Whole</t>
  </si>
  <si>
    <t>Grade A (Additional) Juice</t>
  </si>
  <si>
    <t>Grade A (Additional) Paste</t>
  </si>
  <si>
    <t>$B$14</t>
  </si>
  <si>
    <t>$C$14</t>
  </si>
  <si>
    <t>$D$14</t>
  </si>
  <si>
    <t>$B$7</t>
  </si>
  <si>
    <t>$C$7</t>
  </si>
  <si>
    <t>$D$7</t>
  </si>
  <si>
    <t>Grade A (Additional) Total Required</t>
  </si>
  <si>
    <t>$E$6</t>
  </si>
  <si>
    <t>Final Demand</t>
  </si>
  <si>
    <t>Increased Demand</t>
  </si>
  <si>
    <t>Campaign</t>
  </si>
  <si>
    <t>Worksheet: [RBC.xlsx]Question 3</t>
  </si>
  <si>
    <t>Report Created: 9/29/20 3:12:33 PM</t>
  </si>
  <si>
    <t>$B$8</t>
  </si>
  <si>
    <t>Campaign Whole</t>
  </si>
  <si>
    <t>$C$8</t>
  </si>
  <si>
    <t>Campaign Juice</t>
  </si>
  <si>
    <t>$D$8</t>
  </si>
  <si>
    <t>Campaign Paste</t>
  </si>
  <si>
    <t>$B$17</t>
  </si>
  <si>
    <t>$C$17</t>
  </si>
  <si>
    <t>$D$17</t>
  </si>
  <si>
    <t>$E$8</t>
  </si>
  <si>
    <t>Campaign Total Required</t>
  </si>
  <si>
    <t>S</t>
  </si>
  <si>
    <t>N</t>
  </si>
  <si>
    <t>P</t>
  </si>
  <si>
    <t>Scenario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</si>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</sst>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0"/>
    <numFmt numFmtId="169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166" fontId="7" fillId="0" borderId="0" xfId="1" applyNumberFormat="1" applyFont="1" applyAlignment="1">
      <alignment horizontal="right"/>
    </xf>
    <xf numFmtId="0" fontId="0" fillId="0" borderId="3" xfId="0" applyFill="1" applyBorder="1" applyAlignment="1"/>
    <xf numFmtId="0" fontId="0" fillId="0" borderId="4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" fillId="0" borderId="0" xfId="0" applyFont="1"/>
    <xf numFmtId="169" fontId="1" fillId="0" borderId="0" xfId="1" applyNumberFormat="1" applyFont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3" fontId="6" fillId="3" borderId="0" xfId="0" applyNumberFormat="1" applyFont="1" applyFill="1" applyAlignment="1">
      <alignment horizontal="right"/>
    </xf>
    <xf numFmtId="6" fontId="0" fillId="0" borderId="0" xfId="0" applyNumberFormat="1"/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4145-5EDE-7D4D-815B-D731D8F0B318}">
  <dimension ref="A1:H26"/>
  <sheetViews>
    <sheetView showGridLines="0" topLeftCell="A5" zoomScale="165" workbookViewId="0">
      <selection activeCell="D30" sqref="D30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19.6640625" bestFit="1" customWidth="1"/>
    <col min="4" max="4" width="6.1640625" bestFit="1" customWidth="1"/>
    <col min="5" max="5" width="12.6640625" bestFit="1" customWidth="1"/>
    <col min="6" max="8" width="12.1640625" bestFit="1" customWidth="1"/>
  </cols>
  <sheetData>
    <row r="1" spans="1:8" x14ac:dyDescent="0.15">
      <c r="A1" s="1" t="s">
        <v>57</v>
      </c>
    </row>
    <row r="2" spans="1:8" x14ac:dyDescent="0.15">
      <c r="A2" s="1" t="s">
        <v>24</v>
      </c>
    </row>
    <row r="3" spans="1:8" x14ac:dyDescent="0.15">
      <c r="A3" s="1" t="s">
        <v>58</v>
      </c>
    </row>
    <row r="6" spans="1:8" ht="14" thickBot="1" x14ac:dyDescent="0.2">
      <c r="A6" t="s">
        <v>27</v>
      </c>
    </row>
    <row r="7" spans="1:8" x14ac:dyDescent="0.15">
      <c r="B7" s="19"/>
      <c r="C7" s="19"/>
      <c r="D7" s="19" t="s">
        <v>59</v>
      </c>
      <c r="E7" s="19" t="s">
        <v>61</v>
      </c>
      <c r="F7" s="19" t="s">
        <v>63</v>
      </c>
      <c r="G7" s="19" t="s">
        <v>65</v>
      </c>
      <c r="H7" s="19" t="s">
        <v>65</v>
      </c>
    </row>
    <row r="8" spans="1:8" ht="14" thickBot="1" x14ac:dyDescent="0.2">
      <c r="B8" s="20" t="s">
        <v>25</v>
      </c>
      <c r="C8" s="20" t="s">
        <v>26</v>
      </c>
      <c r="D8" s="20" t="s">
        <v>60</v>
      </c>
      <c r="E8" s="20" t="s">
        <v>62</v>
      </c>
      <c r="F8" s="20" t="s">
        <v>64</v>
      </c>
      <c r="G8" s="20" t="s">
        <v>66</v>
      </c>
      <c r="H8" s="20" t="s">
        <v>67</v>
      </c>
    </row>
    <row r="9" spans="1:8" x14ac:dyDescent="0.15">
      <c r="B9" s="18" t="s">
        <v>29</v>
      </c>
      <c r="C9" s="18" t="s">
        <v>30</v>
      </c>
      <c r="D9" s="18">
        <v>525</v>
      </c>
      <c r="E9" s="18">
        <v>0</v>
      </c>
      <c r="F9" s="18">
        <v>246.66666666666666</v>
      </c>
      <c r="G9" s="18">
        <v>463.11111111111114</v>
      </c>
      <c r="H9" s="18">
        <v>64.888888888888857</v>
      </c>
    </row>
    <row r="10" spans="1:8" x14ac:dyDescent="0.15">
      <c r="B10" s="18" t="s">
        <v>31</v>
      </c>
      <c r="C10" s="18" t="s">
        <v>32</v>
      </c>
      <c r="D10" s="18">
        <v>75</v>
      </c>
      <c r="E10" s="18">
        <v>0</v>
      </c>
      <c r="F10" s="18">
        <v>197.99999999999997</v>
      </c>
      <c r="G10" s="18">
        <v>64.8888888888889</v>
      </c>
      <c r="H10" s="18">
        <v>463.11111111111114</v>
      </c>
    </row>
    <row r="11" spans="1:8" x14ac:dyDescent="0.15">
      <c r="B11" s="18" t="s">
        <v>33</v>
      </c>
      <c r="C11" s="18" t="s">
        <v>34</v>
      </c>
      <c r="D11" s="18">
        <v>0</v>
      </c>
      <c r="E11" s="18">
        <v>0</v>
      </c>
      <c r="F11" s="18">
        <v>222</v>
      </c>
      <c r="G11" s="18">
        <v>97.333333333333286</v>
      </c>
      <c r="H11" s="18">
        <v>1E+30</v>
      </c>
    </row>
    <row r="12" spans="1:8" x14ac:dyDescent="0.15">
      <c r="B12" s="18" t="s">
        <v>35</v>
      </c>
      <c r="C12" s="18" t="s">
        <v>36</v>
      </c>
      <c r="D12" s="18">
        <v>175</v>
      </c>
      <c r="E12" s="18">
        <v>0</v>
      </c>
      <c r="F12" s="18">
        <v>246.66666666666663</v>
      </c>
      <c r="G12" s="18">
        <v>1389.3333333333335</v>
      </c>
      <c r="H12" s="18">
        <v>64.888888888888815</v>
      </c>
    </row>
    <row r="13" spans="1:8" x14ac:dyDescent="0.15">
      <c r="B13" s="18" t="s">
        <v>37</v>
      </c>
      <c r="C13" s="18" t="s">
        <v>38</v>
      </c>
      <c r="D13" s="18">
        <v>225</v>
      </c>
      <c r="E13" s="18">
        <v>0</v>
      </c>
      <c r="F13" s="18">
        <v>198</v>
      </c>
      <c r="G13" s="18">
        <v>42.962962962962948</v>
      </c>
      <c r="H13" s="18">
        <v>154.37037037037038</v>
      </c>
    </row>
    <row r="14" spans="1:8" ht="14" thickBot="1" x14ac:dyDescent="0.2">
      <c r="B14" s="17" t="s">
        <v>39</v>
      </c>
      <c r="C14" s="17" t="s">
        <v>40</v>
      </c>
      <c r="D14" s="17">
        <v>2000</v>
      </c>
      <c r="E14" s="17">
        <v>0</v>
      </c>
      <c r="F14" s="17">
        <v>222</v>
      </c>
      <c r="G14" s="17">
        <v>1E+30</v>
      </c>
      <c r="H14" s="17">
        <v>48.333333333333314</v>
      </c>
    </row>
    <row r="16" spans="1:8" ht="14" thickBot="1" x14ac:dyDescent="0.2">
      <c r="A16" t="s">
        <v>28</v>
      </c>
    </row>
    <row r="17" spans="2:8" x14ac:dyDescent="0.15">
      <c r="B17" s="19"/>
      <c r="C17" s="19"/>
      <c r="D17" s="19" t="s">
        <v>59</v>
      </c>
      <c r="E17" s="19" t="s">
        <v>68</v>
      </c>
      <c r="F17" s="19" t="s">
        <v>70</v>
      </c>
      <c r="G17" s="19" t="s">
        <v>65</v>
      </c>
      <c r="H17" s="19" t="s">
        <v>65</v>
      </c>
    </row>
    <row r="18" spans="2:8" ht="14" thickBot="1" x14ac:dyDescent="0.2">
      <c r="B18" s="20" t="s">
        <v>25</v>
      </c>
      <c r="C18" s="20" t="s">
        <v>26</v>
      </c>
      <c r="D18" s="20" t="s">
        <v>60</v>
      </c>
      <c r="E18" s="20" t="s">
        <v>69</v>
      </c>
      <c r="F18" s="20" t="s">
        <v>71</v>
      </c>
      <c r="G18" s="20" t="s">
        <v>66</v>
      </c>
      <c r="H18" s="20" t="s">
        <v>67</v>
      </c>
    </row>
    <row r="19" spans="2:8" x14ac:dyDescent="0.15">
      <c r="B19" s="18" t="s">
        <v>41</v>
      </c>
      <c r="C19" s="18" t="s">
        <v>42</v>
      </c>
      <c r="D19" s="18">
        <v>5600</v>
      </c>
      <c r="E19" s="18">
        <v>-24.333333333333307</v>
      </c>
      <c r="F19" s="18">
        <v>0</v>
      </c>
      <c r="G19" s="18">
        <v>466.66666666666669</v>
      </c>
      <c r="H19" s="18">
        <v>600</v>
      </c>
    </row>
    <row r="20" spans="2:8" x14ac:dyDescent="0.15">
      <c r="B20" s="18" t="s">
        <v>43</v>
      </c>
      <c r="C20" s="18" t="s">
        <v>44</v>
      </c>
      <c r="D20" s="18">
        <v>1800</v>
      </c>
      <c r="E20" s="18">
        <v>-24.333333333333336</v>
      </c>
      <c r="F20" s="18">
        <v>0</v>
      </c>
      <c r="G20" s="18">
        <v>1400</v>
      </c>
      <c r="H20" s="18">
        <v>200</v>
      </c>
    </row>
    <row r="21" spans="2:8" x14ac:dyDescent="0.15">
      <c r="B21" s="18" t="s">
        <v>45</v>
      </c>
      <c r="C21" s="18" t="s">
        <v>46</v>
      </c>
      <c r="D21" s="18">
        <v>10000</v>
      </c>
      <c r="E21" s="18">
        <v>-24.333333333333321</v>
      </c>
      <c r="F21" s="18">
        <v>0</v>
      </c>
      <c r="G21" s="18">
        <v>1400</v>
      </c>
      <c r="H21" s="18">
        <v>0</v>
      </c>
    </row>
    <row r="22" spans="2:8" x14ac:dyDescent="0.15">
      <c r="B22" s="18" t="s">
        <v>47</v>
      </c>
      <c r="C22" s="18" t="s">
        <v>48</v>
      </c>
      <c r="D22" s="18">
        <v>700</v>
      </c>
      <c r="E22" s="18">
        <v>0</v>
      </c>
      <c r="F22" s="18">
        <v>14400</v>
      </c>
      <c r="G22" s="18">
        <v>1E+30</v>
      </c>
      <c r="H22" s="18">
        <v>13700</v>
      </c>
    </row>
    <row r="23" spans="2:8" x14ac:dyDescent="0.15">
      <c r="B23" s="18" t="s">
        <v>49</v>
      </c>
      <c r="C23" s="18" t="s">
        <v>50</v>
      </c>
      <c r="D23" s="18">
        <v>300</v>
      </c>
      <c r="E23" s="18">
        <v>0</v>
      </c>
      <c r="F23" s="18">
        <v>1000</v>
      </c>
      <c r="G23" s="18">
        <v>1E+30</v>
      </c>
      <c r="H23" s="18">
        <v>700</v>
      </c>
    </row>
    <row r="24" spans="2:8" x14ac:dyDescent="0.15">
      <c r="B24" s="18" t="s">
        <v>51</v>
      </c>
      <c r="C24" s="18" t="s">
        <v>52</v>
      </c>
      <c r="D24" s="18">
        <v>2000</v>
      </c>
      <c r="E24" s="18">
        <v>48.333333333333314</v>
      </c>
      <c r="F24" s="18">
        <v>2000</v>
      </c>
      <c r="G24" s="18">
        <v>200</v>
      </c>
      <c r="H24" s="18">
        <v>466.66666666666669</v>
      </c>
    </row>
    <row r="25" spans="2:8" x14ac:dyDescent="0.15">
      <c r="B25" s="18" t="s">
        <v>53</v>
      </c>
      <c r="C25" s="18" t="s">
        <v>54</v>
      </c>
      <c r="D25" s="18">
        <v>600</v>
      </c>
      <c r="E25" s="18">
        <v>270.99999999999994</v>
      </c>
      <c r="F25" s="18">
        <v>600</v>
      </c>
      <c r="G25" s="18">
        <v>600</v>
      </c>
      <c r="H25" s="18">
        <v>466.66666666666669</v>
      </c>
    </row>
    <row r="26" spans="2:8" ht="14" thickBot="1" x14ac:dyDescent="0.2">
      <c r="B26" s="17" t="s">
        <v>55</v>
      </c>
      <c r="C26" s="17" t="s">
        <v>56</v>
      </c>
      <c r="D26" s="17">
        <v>2400</v>
      </c>
      <c r="E26" s="17">
        <v>173.66666666666669</v>
      </c>
      <c r="F26" s="17">
        <v>2400</v>
      </c>
      <c r="G26" s="17">
        <v>466.66666666666669</v>
      </c>
      <c r="H26" s="17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085-11D5-C147-A56A-417B262977F7}">
  <dimension ref="A1:G7"/>
  <sheetViews>
    <sheetView zoomScale="180" zoomScaleNormal="180" workbookViewId="0">
      <selection activeCell="F7" sqref="F7"/>
    </sheetView>
  </sheetViews>
  <sheetFormatPr baseColWidth="10" defaultRowHeight="13" x14ac:dyDescent="0.15"/>
  <sheetData>
    <row r="1" spans="1:7" x14ac:dyDescent="0.15">
      <c r="B1" s="21"/>
      <c r="C1" s="21" t="s">
        <v>104</v>
      </c>
      <c r="D1" s="21" t="s">
        <v>105</v>
      </c>
      <c r="E1" s="21" t="s">
        <v>106</v>
      </c>
    </row>
    <row r="2" spans="1:7" x14ac:dyDescent="0.15">
      <c r="B2" s="1" t="s">
        <v>107</v>
      </c>
      <c r="C2" s="27">
        <v>13000</v>
      </c>
      <c r="D2" s="27">
        <v>11333.333333333332</v>
      </c>
      <c r="E2" s="27">
        <v>6133.333333333333</v>
      </c>
    </row>
    <row r="3" spans="1:7" x14ac:dyDescent="0.15">
      <c r="A3" s="28" t="s">
        <v>108</v>
      </c>
      <c r="B3" s="21" t="s">
        <v>104</v>
      </c>
      <c r="C3" s="29">
        <v>513533.33333333302</v>
      </c>
      <c r="D3" s="29">
        <v>460088.88888888806</v>
      </c>
      <c r="E3" s="29">
        <v>255964.44444444426</v>
      </c>
      <c r="G3" s="30">
        <v>0.25</v>
      </c>
    </row>
    <row r="4" spans="1:7" x14ac:dyDescent="0.15">
      <c r="A4" s="28"/>
      <c r="B4" s="21" t="s">
        <v>105</v>
      </c>
      <c r="C4" s="29">
        <v>430888.88888888853</v>
      </c>
      <c r="D4" s="29">
        <v>379037.03703703685</v>
      </c>
      <c r="E4" s="29">
        <v>233644.44444444426</v>
      </c>
      <c r="G4" s="30">
        <v>0.5</v>
      </c>
    </row>
    <row r="5" spans="1:7" x14ac:dyDescent="0.15">
      <c r="A5" s="28"/>
      <c r="B5" s="21" t="s">
        <v>106</v>
      </c>
      <c r="C5" s="29">
        <v>188222.22222222202</v>
      </c>
      <c r="D5" s="29">
        <v>167481.48148148134</v>
      </c>
      <c r="E5" s="29">
        <v>102770.37037037022</v>
      </c>
      <c r="G5" s="30">
        <v>0.25</v>
      </c>
    </row>
    <row r="6" spans="1:7" x14ac:dyDescent="0.15">
      <c r="C6" s="29"/>
      <c r="D6" s="29"/>
      <c r="E6" s="29"/>
    </row>
    <row r="7" spans="1:7" x14ac:dyDescent="0.15">
      <c r="C7" s="29">
        <f>SUMPRODUCT(C3:C5,$G$3:$G$5)</f>
        <v>390883.33333333302</v>
      </c>
      <c r="D7" s="29">
        <f t="shared" ref="D7:E7" si="0">SUMPRODUCT(D3:D5,$G$3:$G$5)</f>
        <v>346411.11111111077</v>
      </c>
      <c r="E7" s="29">
        <f t="shared" si="0"/>
        <v>206505.92592592575</v>
      </c>
    </row>
  </sheetData>
  <mergeCells count="1"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21</v>
      </c>
    </row>
    <row r="3" spans="1:2" x14ac:dyDescent="0.15">
      <c r="A3">
        <v>1</v>
      </c>
    </row>
    <row r="4" spans="1:2" x14ac:dyDescent="0.15">
      <c r="A4">
        <v>0</v>
      </c>
    </row>
    <row r="5" spans="1:2" x14ac:dyDescent="0.15">
      <c r="A5">
        <v>13000</v>
      </c>
    </row>
    <row r="6" spans="1:2" x14ac:dyDescent="0.15">
      <c r="A6">
        <v>100</v>
      </c>
    </row>
    <row r="7" spans="1:2" x14ac:dyDescent="0.15">
      <c r="A7" s="15"/>
      <c r="B7" s="15"/>
    </row>
    <row r="8" spans="1:2" x14ac:dyDescent="0.15">
      <c r="A8" t="s">
        <v>23</v>
      </c>
    </row>
    <row r="9" spans="1:2" x14ac:dyDescent="0.15">
      <c r="A9" t="s">
        <v>22</v>
      </c>
    </row>
    <row r="13" spans="1:2" x14ac:dyDescent="0.15">
      <c r="B13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0" zoomScaleNormal="140" workbookViewId="0">
      <selection activeCell="I22" sqref="I22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6640625" bestFit="1" customWidth="1"/>
    <col min="6" max="6" width="11" bestFit="1" customWidth="1"/>
  </cols>
  <sheetData>
    <row r="1" spans="1:6" ht="19" x14ac:dyDescent="0.2">
      <c r="A1" s="5" t="s">
        <v>0</v>
      </c>
      <c r="B1" s="5"/>
      <c r="C1" s="5"/>
      <c r="D1" s="4"/>
      <c r="E1" s="1"/>
      <c r="F1" s="1"/>
    </row>
    <row r="2" spans="1:6" x14ac:dyDescent="0.15">
      <c r="A2" s="1"/>
      <c r="B2" s="1"/>
      <c r="C2" s="1"/>
      <c r="D2" s="1"/>
      <c r="E2" s="1"/>
      <c r="F2" s="1"/>
    </row>
    <row r="3" spans="1:6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15">
      <c r="A4" s="1" t="s">
        <v>1</v>
      </c>
      <c r="B4" s="7">
        <v>525</v>
      </c>
      <c r="C4" s="7">
        <v>75</v>
      </c>
      <c r="D4" s="7">
        <v>0</v>
      </c>
      <c r="E4" s="8">
        <f>SUM(B4:D4)</f>
        <v>600</v>
      </c>
      <c r="F4" s="9">
        <v>600</v>
      </c>
    </row>
    <row r="5" spans="1:6" x14ac:dyDescent="0.15">
      <c r="A5" s="1" t="s">
        <v>2</v>
      </c>
      <c r="B5" s="7">
        <v>175</v>
      </c>
      <c r="C5" s="7">
        <v>225</v>
      </c>
      <c r="D5" s="7">
        <v>2000</v>
      </c>
      <c r="E5" s="8">
        <f>SUM(B5:D5)</f>
        <v>2400</v>
      </c>
      <c r="F5" s="9">
        <v>2400</v>
      </c>
    </row>
    <row r="6" spans="1:6" x14ac:dyDescent="0.15">
      <c r="A6" s="1" t="s">
        <v>10</v>
      </c>
      <c r="B6" s="8">
        <f>SUM(B4:B5)</f>
        <v>700</v>
      </c>
      <c r="C6" s="8">
        <f>SUM(C4:C5)</f>
        <v>300</v>
      </c>
      <c r="D6" s="8">
        <f>SUM(D4:D5)</f>
        <v>2000</v>
      </c>
      <c r="E6" s="8">
        <f>SUM(B6:D6)</f>
        <v>3000</v>
      </c>
      <c r="F6" s="3"/>
    </row>
    <row r="7" spans="1:6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"/>
    </row>
    <row r="8" spans="1:6" x14ac:dyDescent="0.15">
      <c r="A8" s="1"/>
      <c r="B8" s="2"/>
      <c r="C8" s="2"/>
      <c r="D8" s="2"/>
      <c r="E8" s="2"/>
      <c r="F8" s="2"/>
    </row>
    <row r="9" spans="1:6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x14ac:dyDescent="0.15">
      <c r="A10" s="1" t="s">
        <v>1</v>
      </c>
      <c r="B10" s="8">
        <f>B4*$E$10</f>
        <v>4725</v>
      </c>
      <c r="C10" s="8">
        <f>C4*$E$10</f>
        <v>675</v>
      </c>
      <c r="D10" s="8">
        <f>D4*$E$10</f>
        <v>0</v>
      </c>
      <c r="E10" s="14">
        <v>9</v>
      </c>
      <c r="F10" s="2"/>
    </row>
    <row r="11" spans="1:6" x14ac:dyDescent="0.15">
      <c r="A11" s="1" t="s">
        <v>2</v>
      </c>
      <c r="B11" s="8">
        <f>B5*$E$11</f>
        <v>875</v>
      </c>
      <c r="C11" s="8">
        <f t="shared" ref="C11:D11" si="0">C5*$E$11</f>
        <v>1125</v>
      </c>
      <c r="D11" s="8">
        <f t="shared" si="0"/>
        <v>10000</v>
      </c>
      <c r="E11" s="14">
        <v>5</v>
      </c>
      <c r="F11" s="2"/>
    </row>
    <row r="12" spans="1:6" x14ac:dyDescent="0.15">
      <c r="A12" s="1" t="s">
        <v>13</v>
      </c>
      <c r="B12" s="8">
        <f>SUM(B10:B11)</f>
        <v>5600</v>
      </c>
      <c r="C12" s="8">
        <f t="shared" ref="C12:D12" si="1">SUM(C10:C11)</f>
        <v>1800</v>
      </c>
      <c r="D12" s="8">
        <f t="shared" si="1"/>
        <v>10000</v>
      </c>
      <c r="E12" s="2"/>
      <c r="F12" s="2"/>
    </row>
    <row r="13" spans="1:6" x14ac:dyDescent="0.15">
      <c r="A13" s="1" t="s">
        <v>15</v>
      </c>
      <c r="B13" s="9">
        <f>B15*B6</f>
        <v>5600</v>
      </c>
      <c r="C13" s="9">
        <f t="shared" ref="C13:D13" si="2">C15*C6</f>
        <v>1800</v>
      </c>
      <c r="D13" s="9">
        <f t="shared" si="2"/>
        <v>10000</v>
      </c>
      <c r="E13" s="2"/>
      <c r="F13" s="2"/>
    </row>
    <row r="14" spans="1:6" x14ac:dyDescent="0.15">
      <c r="A14" s="1" t="s">
        <v>16</v>
      </c>
      <c r="B14" s="10">
        <f>B12/B6</f>
        <v>8</v>
      </c>
      <c r="C14" s="10">
        <f t="shared" ref="C14:D14" si="3">C12/C6</f>
        <v>6</v>
      </c>
      <c r="D14" s="10">
        <f t="shared" si="3"/>
        <v>5</v>
      </c>
      <c r="E14" s="2"/>
      <c r="F14" s="2"/>
    </row>
    <row r="15" spans="1:6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6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SUMPRODUCT(B18:D18,B6:D6)</f>
        <v>676066.66666666663</v>
      </c>
      <c r="F18" s="12">
        <f>E18-0.18*3000000</f>
        <v>136066.66666666663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B429-08C8-8D48-AB2D-5B69572E5A12}">
  <dimension ref="A1:H30"/>
  <sheetViews>
    <sheetView showGridLines="0" zoomScale="140" zoomScaleNormal="140" workbookViewId="0">
      <selection activeCell="E29" sqref="E29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29.1640625" bestFit="1" customWidth="1"/>
    <col min="4" max="4" width="6.1640625" bestFit="1" customWidth="1"/>
    <col min="5" max="5" width="12.6640625" bestFit="1" customWidth="1"/>
    <col min="6" max="8" width="12.1640625" bestFit="1" customWidth="1"/>
  </cols>
  <sheetData>
    <row r="1" spans="1:8" x14ac:dyDescent="0.15">
      <c r="A1" s="1" t="s">
        <v>57</v>
      </c>
    </row>
    <row r="2" spans="1:8" x14ac:dyDescent="0.15">
      <c r="A2" s="1" t="s">
        <v>75</v>
      </c>
    </row>
    <row r="3" spans="1:8" x14ac:dyDescent="0.15">
      <c r="A3" s="1" t="s">
        <v>76</v>
      </c>
    </row>
    <row r="6" spans="1:8" ht="14" thickBot="1" x14ac:dyDescent="0.2">
      <c r="A6" t="s">
        <v>27</v>
      </c>
    </row>
    <row r="7" spans="1:8" x14ac:dyDescent="0.15">
      <c r="B7" s="23"/>
      <c r="C7" s="23"/>
      <c r="D7" s="23" t="s">
        <v>59</v>
      </c>
      <c r="E7" s="23" t="s">
        <v>61</v>
      </c>
      <c r="F7" s="23" t="s">
        <v>63</v>
      </c>
      <c r="G7" s="23" t="s">
        <v>65</v>
      </c>
      <c r="H7" s="23" t="s">
        <v>65</v>
      </c>
    </row>
    <row r="8" spans="1:8" ht="14" thickBot="1" x14ac:dyDescent="0.2">
      <c r="B8" s="24" t="s">
        <v>25</v>
      </c>
      <c r="C8" s="24" t="s">
        <v>26</v>
      </c>
      <c r="D8" s="24" t="s">
        <v>60</v>
      </c>
      <c r="E8" s="24" t="s">
        <v>62</v>
      </c>
      <c r="F8" s="24" t="s">
        <v>64</v>
      </c>
      <c r="G8" s="24" t="s">
        <v>66</v>
      </c>
      <c r="H8" s="24" t="s">
        <v>67</v>
      </c>
    </row>
    <row r="9" spans="1:8" x14ac:dyDescent="0.15">
      <c r="B9" s="18" t="s">
        <v>29</v>
      </c>
      <c r="C9" s="18" t="s">
        <v>30</v>
      </c>
      <c r="D9" s="18">
        <v>535</v>
      </c>
      <c r="E9" s="18">
        <v>0</v>
      </c>
      <c r="F9" s="18">
        <v>246.66666666666666</v>
      </c>
      <c r="G9" s="18">
        <v>0</v>
      </c>
      <c r="H9" s="18">
        <v>64.8888888888889</v>
      </c>
    </row>
    <row r="10" spans="1:8" x14ac:dyDescent="0.15">
      <c r="B10" s="18" t="s">
        <v>31</v>
      </c>
      <c r="C10" s="18" t="s">
        <v>32</v>
      </c>
      <c r="D10" s="18">
        <v>65.000000000000057</v>
      </c>
      <c r="E10" s="18">
        <v>0</v>
      </c>
      <c r="F10" s="18">
        <v>197.99999999999997</v>
      </c>
      <c r="G10" s="18">
        <v>64.888888888888928</v>
      </c>
      <c r="H10" s="18">
        <v>0</v>
      </c>
    </row>
    <row r="11" spans="1:8" x14ac:dyDescent="0.15">
      <c r="B11" s="18" t="s">
        <v>33</v>
      </c>
      <c r="C11" s="18" t="s">
        <v>34</v>
      </c>
      <c r="D11" s="18">
        <v>0</v>
      </c>
      <c r="E11" s="18">
        <v>0</v>
      </c>
      <c r="F11" s="18">
        <v>222</v>
      </c>
      <c r="G11" s="18">
        <v>97.333333333333343</v>
      </c>
      <c r="H11" s="18">
        <v>0</v>
      </c>
    </row>
    <row r="12" spans="1:8" x14ac:dyDescent="0.15">
      <c r="B12" s="18" t="s">
        <v>35</v>
      </c>
      <c r="C12" s="18" t="s">
        <v>77</v>
      </c>
      <c r="D12" s="18">
        <v>80</v>
      </c>
      <c r="E12" s="18">
        <v>0</v>
      </c>
      <c r="F12" s="18">
        <v>246.66666666666663</v>
      </c>
      <c r="G12" s="18">
        <v>1E+30</v>
      </c>
      <c r="H12" s="18">
        <v>0</v>
      </c>
    </row>
    <row r="13" spans="1:8" x14ac:dyDescent="0.15">
      <c r="B13" s="18" t="s">
        <v>37</v>
      </c>
      <c r="C13" s="18" t="s">
        <v>78</v>
      </c>
      <c r="D13" s="18">
        <v>0</v>
      </c>
      <c r="E13" s="18">
        <v>0</v>
      </c>
      <c r="F13" s="18">
        <v>198</v>
      </c>
      <c r="G13" s="18">
        <v>0</v>
      </c>
      <c r="H13" s="18">
        <v>1E+30</v>
      </c>
    </row>
    <row r="14" spans="1:8" x14ac:dyDescent="0.15">
      <c r="B14" s="18" t="s">
        <v>39</v>
      </c>
      <c r="C14" s="18" t="s">
        <v>79</v>
      </c>
      <c r="D14" s="18">
        <v>0</v>
      </c>
      <c r="E14" s="18">
        <v>0</v>
      </c>
      <c r="F14" s="18">
        <v>222</v>
      </c>
      <c r="G14" s="18">
        <v>0</v>
      </c>
      <c r="H14" s="18">
        <v>1E+30</v>
      </c>
    </row>
    <row r="15" spans="1:8" x14ac:dyDescent="0.15">
      <c r="B15" s="18" t="s">
        <v>47</v>
      </c>
      <c r="C15" s="18" t="s">
        <v>36</v>
      </c>
      <c r="D15" s="18">
        <v>204.99999999999997</v>
      </c>
      <c r="E15" s="18">
        <v>0</v>
      </c>
      <c r="F15" s="18">
        <v>246.66666666666674</v>
      </c>
      <c r="G15" s="18">
        <v>1389.3333333333335</v>
      </c>
      <c r="H15" s="18">
        <v>64.888888888888971</v>
      </c>
    </row>
    <row r="16" spans="1:8" x14ac:dyDescent="0.15">
      <c r="B16" s="18" t="s">
        <v>49</v>
      </c>
      <c r="C16" s="18" t="s">
        <v>38</v>
      </c>
      <c r="D16" s="18">
        <v>195.00000000000017</v>
      </c>
      <c r="E16" s="18">
        <v>0</v>
      </c>
      <c r="F16" s="18">
        <v>198</v>
      </c>
      <c r="G16" s="18">
        <v>42.962962962962948</v>
      </c>
      <c r="H16" s="18">
        <v>154.37037037037038</v>
      </c>
    </row>
    <row r="17" spans="1:8" ht="14" thickBot="1" x14ac:dyDescent="0.2">
      <c r="B17" s="17" t="s">
        <v>51</v>
      </c>
      <c r="C17" s="17" t="s">
        <v>40</v>
      </c>
      <c r="D17" s="17">
        <v>2000</v>
      </c>
      <c r="E17" s="17">
        <v>0</v>
      </c>
      <c r="F17" s="17">
        <v>222</v>
      </c>
      <c r="G17" s="17">
        <v>1E+30</v>
      </c>
      <c r="H17" s="17">
        <v>48.333333333333314</v>
      </c>
    </row>
    <row r="19" spans="1:8" ht="14" thickBot="1" x14ac:dyDescent="0.2">
      <c r="A19" t="s">
        <v>28</v>
      </c>
    </row>
    <row r="20" spans="1:8" x14ac:dyDescent="0.15">
      <c r="B20" s="23"/>
      <c r="C20" s="23"/>
      <c r="D20" s="23" t="s">
        <v>59</v>
      </c>
      <c r="E20" s="23" t="s">
        <v>68</v>
      </c>
      <c r="F20" s="23" t="s">
        <v>70</v>
      </c>
      <c r="G20" s="23" t="s">
        <v>65</v>
      </c>
      <c r="H20" s="23" t="s">
        <v>65</v>
      </c>
    </row>
    <row r="21" spans="1:8" ht="14" thickBot="1" x14ac:dyDescent="0.2">
      <c r="B21" s="24" t="s">
        <v>25</v>
      </c>
      <c r="C21" s="24" t="s">
        <v>26</v>
      </c>
      <c r="D21" s="24" t="s">
        <v>60</v>
      </c>
      <c r="E21" s="24" t="s">
        <v>69</v>
      </c>
      <c r="F21" s="24" t="s">
        <v>71</v>
      </c>
      <c r="G21" s="24" t="s">
        <v>66</v>
      </c>
      <c r="H21" s="24" t="s">
        <v>67</v>
      </c>
    </row>
    <row r="22" spans="1:8" x14ac:dyDescent="0.15">
      <c r="B22" s="18" t="s">
        <v>80</v>
      </c>
      <c r="C22" s="18" t="s">
        <v>42</v>
      </c>
      <c r="D22" s="18">
        <v>6560</v>
      </c>
      <c r="E22" s="18">
        <v>-24.333333333333364</v>
      </c>
      <c r="F22" s="18">
        <v>0</v>
      </c>
      <c r="G22" s="18">
        <v>546.66666666666663</v>
      </c>
      <c r="H22" s="18">
        <v>520.00000000000045</v>
      </c>
    </row>
    <row r="23" spans="1:8" x14ac:dyDescent="0.15">
      <c r="B23" s="18" t="s">
        <v>81</v>
      </c>
      <c r="C23" s="18" t="s">
        <v>44</v>
      </c>
      <c r="D23" s="18">
        <v>1560.0000000000014</v>
      </c>
      <c r="E23" s="18">
        <v>-24.33333333333335</v>
      </c>
      <c r="F23" s="18">
        <v>0</v>
      </c>
      <c r="G23" s="18">
        <v>1426.6666666666667</v>
      </c>
      <c r="H23" s="18">
        <v>173.33333333333348</v>
      </c>
    </row>
    <row r="24" spans="1:8" x14ac:dyDescent="0.15">
      <c r="B24" s="18" t="s">
        <v>82</v>
      </c>
      <c r="C24" s="18" t="s">
        <v>46</v>
      </c>
      <c r="D24" s="18">
        <v>10000</v>
      </c>
      <c r="E24" s="18">
        <v>-24.333333333333336</v>
      </c>
      <c r="F24" s="18">
        <v>0</v>
      </c>
      <c r="G24" s="18">
        <v>1426.6666666666667</v>
      </c>
      <c r="H24" s="18">
        <v>0</v>
      </c>
    </row>
    <row r="25" spans="1:8" x14ac:dyDescent="0.15">
      <c r="B25" s="18" t="s">
        <v>83</v>
      </c>
      <c r="C25" s="18" t="s">
        <v>48</v>
      </c>
      <c r="D25" s="18">
        <v>820</v>
      </c>
      <c r="E25" s="18">
        <v>0</v>
      </c>
      <c r="F25" s="18">
        <v>14400</v>
      </c>
      <c r="G25" s="18">
        <v>1E+30</v>
      </c>
      <c r="H25" s="18">
        <v>13580</v>
      </c>
    </row>
    <row r="26" spans="1:8" x14ac:dyDescent="0.15">
      <c r="B26" s="18" t="s">
        <v>84</v>
      </c>
      <c r="C26" s="18" t="s">
        <v>50</v>
      </c>
      <c r="D26" s="18">
        <v>260.00000000000023</v>
      </c>
      <c r="E26" s="18">
        <v>0</v>
      </c>
      <c r="F26" s="18">
        <v>1000</v>
      </c>
      <c r="G26" s="18">
        <v>1E+30</v>
      </c>
      <c r="H26" s="18">
        <v>739.99999999999977</v>
      </c>
    </row>
    <row r="27" spans="1:8" x14ac:dyDescent="0.15">
      <c r="B27" s="18" t="s">
        <v>85</v>
      </c>
      <c r="C27" s="18" t="s">
        <v>52</v>
      </c>
      <c r="D27" s="18">
        <v>2000</v>
      </c>
      <c r="E27" s="18">
        <v>48.333333333333314</v>
      </c>
      <c r="F27" s="18">
        <v>2000</v>
      </c>
      <c r="G27" s="18">
        <v>173.33333333333348</v>
      </c>
      <c r="H27" s="18">
        <v>493.3333333333332</v>
      </c>
    </row>
    <row r="28" spans="1:8" x14ac:dyDescent="0.15">
      <c r="B28" s="18" t="s">
        <v>53</v>
      </c>
      <c r="C28" s="18" t="s">
        <v>54</v>
      </c>
      <c r="D28" s="18">
        <v>600</v>
      </c>
      <c r="E28" s="18">
        <v>271</v>
      </c>
      <c r="F28" s="18">
        <v>600</v>
      </c>
      <c r="G28" s="18">
        <v>520.00000000000045</v>
      </c>
      <c r="H28" s="18">
        <v>475.55555555555554</v>
      </c>
    </row>
    <row r="29" spans="1:8" x14ac:dyDescent="0.15">
      <c r="B29" s="18" t="s">
        <v>55</v>
      </c>
      <c r="C29" s="18" t="s">
        <v>86</v>
      </c>
      <c r="D29" s="18">
        <v>80</v>
      </c>
      <c r="E29" s="18">
        <v>271</v>
      </c>
      <c r="F29" s="18">
        <v>80</v>
      </c>
      <c r="G29" s="18">
        <v>520.00000000000045</v>
      </c>
      <c r="H29" s="18">
        <v>80</v>
      </c>
    </row>
    <row r="30" spans="1:8" ht="14" thickBot="1" x14ac:dyDescent="0.2">
      <c r="B30" s="17" t="s">
        <v>87</v>
      </c>
      <c r="C30" s="17" t="s">
        <v>56</v>
      </c>
      <c r="D30" s="17">
        <v>2400</v>
      </c>
      <c r="E30" s="17">
        <v>173.66666666666669</v>
      </c>
      <c r="F30" s="17">
        <v>2400</v>
      </c>
      <c r="G30" s="17">
        <v>493.3333333333332</v>
      </c>
      <c r="H30" s="17">
        <v>173.33333333333348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E6DC-EEA2-284C-804C-E0AD1CCE1375}">
  <dimension ref="A1:G20"/>
  <sheetViews>
    <sheetView zoomScale="150" zoomScaleNormal="150" workbookViewId="0">
      <selection activeCell="H20" sqref="H20"/>
    </sheetView>
  </sheetViews>
  <sheetFormatPr baseColWidth="10" defaultRowHeight="13" x14ac:dyDescent="0.15"/>
  <cols>
    <col min="1" max="1" width="17.33203125" customWidth="1"/>
    <col min="4" max="4" width="11.6640625" customWidth="1"/>
    <col min="5" max="5" width="17.6640625" customWidth="1"/>
    <col min="7" max="7" width="13.1640625" bestFit="1" customWidth="1"/>
  </cols>
  <sheetData>
    <row r="1" spans="1:7" ht="19" x14ac:dyDescent="0.2">
      <c r="A1" s="5" t="s">
        <v>0</v>
      </c>
      <c r="B1" s="5"/>
      <c r="C1" s="5"/>
      <c r="D1" s="4"/>
      <c r="E1" s="1"/>
      <c r="F1" s="1"/>
    </row>
    <row r="2" spans="1:7" x14ac:dyDescent="0.15">
      <c r="A2" s="1"/>
      <c r="B2" s="1"/>
      <c r="C2" s="1"/>
      <c r="D2" s="1"/>
      <c r="E2" s="1"/>
      <c r="F2" s="1"/>
    </row>
    <row r="3" spans="1:7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62</v>
      </c>
    </row>
    <row r="4" spans="1:7" x14ac:dyDescent="0.15">
      <c r="A4" s="1" t="s">
        <v>1</v>
      </c>
      <c r="B4" s="7">
        <v>535</v>
      </c>
      <c r="C4" s="7">
        <v>65.000000000000057</v>
      </c>
      <c r="D4" s="7">
        <v>0</v>
      </c>
      <c r="E4" s="8">
        <f>SUM(B4:D4)</f>
        <v>600</v>
      </c>
      <c r="F4" s="9">
        <v>600</v>
      </c>
      <c r="G4" s="7">
        <v>180</v>
      </c>
    </row>
    <row r="5" spans="1:7" x14ac:dyDescent="0.15">
      <c r="A5" s="1" t="s">
        <v>72</v>
      </c>
      <c r="B5" s="7">
        <v>80</v>
      </c>
      <c r="C5" s="7">
        <v>0</v>
      </c>
      <c r="D5" s="7">
        <v>0</v>
      </c>
      <c r="E5" s="8">
        <f>SUM(B5:D5)</f>
        <v>80</v>
      </c>
      <c r="F5" s="9">
        <v>80</v>
      </c>
      <c r="G5" s="7">
        <v>255</v>
      </c>
    </row>
    <row r="6" spans="1:7" x14ac:dyDescent="0.15">
      <c r="A6" s="1" t="s">
        <v>2</v>
      </c>
      <c r="B6" s="7">
        <v>204.99999999999997</v>
      </c>
      <c r="C6" s="7">
        <v>195.00000000000017</v>
      </c>
      <c r="D6" s="7">
        <v>2000</v>
      </c>
      <c r="E6" s="8">
        <f>SUM(B6:D6)</f>
        <v>2400</v>
      </c>
      <c r="F6" s="9">
        <v>2400</v>
      </c>
      <c r="G6" s="7">
        <v>180</v>
      </c>
    </row>
    <row r="7" spans="1:7" x14ac:dyDescent="0.15">
      <c r="A7" s="1" t="s">
        <v>10</v>
      </c>
      <c r="B7" s="8">
        <f>SUM(B4:B6)</f>
        <v>820</v>
      </c>
      <c r="C7" s="8">
        <f>SUM(C4:C6)</f>
        <v>260.00000000000023</v>
      </c>
      <c r="D7" s="8">
        <f>SUM(D4:D6)</f>
        <v>2000</v>
      </c>
      <c r="E7" s="8">
        <f>SUM(B7:D7)</f>
        <v>3080</v>
      </c>
      <c r="F7" s="3"/>
      <c r="G7" s="1" t="s">
        <v>74</v>
      </c>
    </row>
    <row r="8" spans="1:7" x14ac:dyDescent="0.15">
      <c r="A8" s="1" t="s">
        <v>9</v>
      </c>
      <c r="B8" s="9">
        <v>14400</v>
      </c>
      <c r="C8" s="9">
        <v>1000</v>
      </c>
      <c r="D8" s="9">
        <v>2000</v>
      </c>
      <c r="E8" s="3"/>
      <c r="F8" s="3"/>
      <c r="G8" s="22">
        <f>0.18*3000000+0.255*80000</f>
        <v>560400</v>
      </c>
    </row>
    <row r="9" spans="1:7" x14ac:dyDescent="0.15">
      <c r="A9" s="1"/>
      <c r="B9" s="2"/>
      <c r="C9" s="2"/>
      <c r="D9" s="2"/>
      <c r="E9" s="2"/>
      <c r="F9" s="2"/>
    </row>
    <row r="10" spans="1:7" x14ac:dyDescent="0.15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 x14ac:dyDescent="0.15">
      <c r="A11" s="1" t="s">
        <v>1</v>
      </c>
      <c r="B11" s="8">
        <f>B4*$E$11</f>
        <v>4815</v>
      </c>
      <c r="C11" s="8">
        <f>C4*$E$11</f>
        <v>585.00000000000045</v>
      </c>
      <c r="D11" s="8">
        <f>D4*$E$11</f>
        <v>0</v>
      </c>
      <c r="E11" s="14">
        <v>9</v>
      </c>
      <c r="F11" s="2"/>
    </row>
    <row r="12" spans="1:7" x14ac:dyDescent="0.15">
      <c r="A12" s="1" t="s">
        <v>73</v>
      </c>
      <c r="B12" s="8">
        <f>B5*$E$12</f>
        <v>720</v>
      </c>
      <c r="C12" s="8">
        <f t="shared" ref="C12:D12" si="0">C5*$E$12</f>
        <v>0</v>
      </c>
      <c r="D12" s="8">
        <f t="shared" si="0"/>
        <v>0</v>
      </c>
      <c r="E12" s="14">
        <v>9</v>
      </c>
      <c r="F12" s="2"/>
    </row>
    <row r="13" spans="1:7" x14ac:dyDescent="0.15">
      <c r="A13" s="1" t="s">
        <v>2</v>
      </c>
      <c r="B13" s="8">
        <f>B6*$E$13</f>
        <v>1024.9999999999998</v>
      </c>
      <c r="C13" s="8">
        <f t="shared" ref="C13:D13" si="1">C6*$E$13</f>
        <v>975.00000000000091</v>
      </c>
      <c r="D13" s="8">
        <f t="shared" si="1"/>
        <v>10000</v>
      </c>
      <c r="E13" s="14">
        <v>5</v>
      </c>
      <c r="F13" s="2"/>
    </row>
    <row r="14" spans="1:7" x14ac:dyDescent="0.15">
      <c r="A14" s="1" t="s">
        <v>13</v>
      </c>
      <c r="B14" s="8">
        <f>SUM(B11:B13)</f>
        <v>6560</v>
      </c>
      <c r="C14" s="8">
        <f t="shared" ref="C14:D14" si="2">SUM(C11:C13)</f>
        <v>1560.0000000000014</v>
      </c>
      <c r="D14" s="8">
        <f t="shared" si="2"/>
        <v>10000</v>
      </c>
      <c r="E14" s="2"/>
      <c r="F14" s="2"/>
    </row>
    <row r="15" spans="1:7" x14ac:dyDescent="0.15">
      <c r="A15" s="1" t="s">
        <v>15</v>
      </c>
      <c r="B15" s="9">
        <f>B17*B7</f>
        <v>6560</v>
      </c>
      <c r="C15" s="9">
        <f t="shared" ref="C15:D15" si="3">C17*C7</f>
        <v>1560.0000000000014</v>
      </c>
      <c r="D15" s="9">
        <f t="shared" si="3"/>
        <v>10000</v>
      </c>
      <c r="E15" s="2"/>
      <c r="F15" s="2"/>
    </row>
    <row r="16" spans="1:7" x14ac:dyDescent="0.15">
      <c r="A16" s="1" t="s">
        <v>16</v>
      </c>
      <c r="B16" s="10">
        <f>B14/B7</f>
        <v>8</v>
      </c>
      <c r="C16" s="10">
        <f t="shared" ref="C16:D16" si="4">C14/C7</f>
        <v>6</v>
      </c>
      <c r="D16" s="10">
        <f t="shared" si="4"/>
        <v>5</v>
      </c>
      <c r="E16" s="2"/>
      <c r="F16" s="2"/>
    </row>
    <row r="17" spans="1:6" x14ac:dyDescent="0.15">
      <c r="A17" s="1" t="s">
        <v>14</v>
      </c>
      <c r="B17" s="10">
        <v>8</v>
      </c>
      <c r="C17" s="10">
        <v>6</v>
      </c>
      <c r="D17" s="10">
        <v>5</v>
      </c>
      <c r="E17" s="2"/>
      <c r="F17" s="2"/>
    </row>
    <row r="18" spans="1:6" x14ac:dyDescent="0.15">
      <c r="A18" s="1"/>
      <c r="B18" s="2"/>
      <c r="C18" s="2"/>
      <c r="D18" s="2"/>
      <c r="E18" s="2"/>
      <c r="F18" s="2"/>
    </row>
    <row r="19" spans="1:6" x14ac:dyDescent="0.15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 x14ac:dyDescent="0.15">
      <c r="A20" s="1" t="s">
        <v>18</v>
      </c>
      <c r="B20" s="16">
        <f>1000*4.44/18</f>
        <v>246.66666666666666</v>
      </c>
      <c r="C20" s="11">
        <v>198</v>
      </c>
      <c r="D20" s="11">
        <v>222</v>
      </c>
      <c r="E20" s="13">
        <f>SUMPRODUCT(B20:D20,B7:D7)</f>
        <v>697746.66666666674</v>
      </c>
      <c r="F20" s="12">
        <f>E20-G8</f>
        <v>137346.66666666674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D7A2-F2D6-0C41-822F-AB6FFA55400C}">
  <dimension ref="A1:H34"/>
  <sheetViews>
    <sheetView showGridLines="0" zoomScale="120" zoomScaleNormal="120" workbookViewId="0">
      <selection activeCell="E33" sqref="E33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29.1640625" bestFit="1" customWidth="1"/>
    <col min="4" max="4" width="8.1640625" bestFit="1" customWidth="1"/>
    <col min="5" max="5" width="12.6640625" bestFit="1" customWidth="1"/>
    <col min="6" max="8" width="12.1640625" bestFit="1" customWidth="1"/>
  </cols>
  <sheetData>
    <row r="1" spans="1:8" x14ac:dyDescent="0.15">
      <c r="A1" s="1" t="s">
        <v>57</v>
      </c>
    </row>
    <row r="2" spans="1:8" x14ac:dyDescent="0.15">
      <c r="A2" s="1" t="s">
        <v>91</v>
      </c>
    </row>
    <row r="3" spans="1:8" x14ac:dyDescent="0.15">
      <c r="A3" s="1" t="s">
        <v>92</v>
      </c>
    </row>
    <row r="6" spans="1:8" ht="14" thickBot="1" x14ac:dyDescent="0.2">
      <c r="A6" t="s">
        <v>27</v>
      </c>
    </row>
    <row r="7" spans="1:8" x14ac:dyDescent="0.15">
      <c r="B7" s="23"/>
      <c r="C7" s="23"/>
      <c r="D7" s="23" t="s">
        <v>59</v>
      </c>
      <c r="E7" s="23" t="s">
        <v>61</v>
      </c>
      <c r="F7" s="23" t="s">
        <v>63</v>
      </c>
      <c r="G7" s="23" t="s">
        <v>65</v>
      </c>
      <c r="H7" s="23" t="s">
        <v>65</v>
      </c>
    </row>
    <row r="8" spans="1:8" ht="14" thickBot="1" x14ac:dyDescent="0.2">
      <c r="B8" s="24" t="s">
        <v>25</v>
      </c>
      <c r="C8" s="24" t="s">
        <v>26</v>
      </c>
      <c r="D8" s="24" t="s">
        <v>60</v>
      </c>
      <c r="E8" s="24" t="s">
        <v>62</v>
      </c>
      <c r="F8" s="24" t="s">
        <v>64</v>
      </c>
      <c r="G8" s="24" t="s">
        <v>66</v>
      </c>
      <c r="H8" s="24" t="s">
        <v>67</v>
      </c>
    </row>
    <row r="9" spans="1:8" x14ac:dyDescent="0.15">
      <c r="B9" s="18" t="s">
        <v>93</v>
      </c>
      <c r="C9" s="18" t="s">
        <v>94</v>
      </c>
      <c r="D9" s="18">
        <v>0</v>
      </c>
      <c r="E9" s="18">
        <v>-6041.6666666666642</v>
      </c>
      <c r="F9" s="18">
        <v>0</v>
      </c>
      <c r="G9" s="18">
        <v>6041.6666666666642</v>
      </c>
      <c r="H9" s="18">
        <v>1E+30</v>
      </c>
    </row>
    <row r="10" spans="1:8" x14ac:dyDescent="0.15">
      <c r="B10" s="18" t="s">
        <v>95</v>
      </c>
      <c r="C10" s="18" t="s">
        <v>96</v>
      </c>
      <c r="D10" s="18">
        <v>0</v>
      </c>
      <c r="E10" s="18">
        <v>-6041.6666666666642</v>
      </c>
      <c r="F10" s="18">
        <v>0</v>
      </c>
      <c r="G10" s="18">
        <v>6041.6666666666642</v>
      </c>
      <c r="H10" s="18">
        <v>1E+30</v>
      </c>
    </row>
    <row r="11" spans="1:8" x14ac:dyDescent="0.15">
      <c r="B11" s="18" t="s">
        <v>97</v>
      </c>
      <c r="C11" s="18" t="s">
        <v>98</v>
      </c>
      <c r="D11" s="18">
        <v>1</v>
      </c>
      <c r="E11" s="18">
        <v>0</v>
      </c>
      <c r="F11" s="18">
        <v>0</v>
      </c>
      <c r="G11" s="18">
        <v>1E+30</v>
      </c>
      <c r="H11" s="18">
        <v>6041.6666666666642</v>
      </c>
    </row>
    <row r="12" spans="1:8" x14ac:dyDescent="0.15">
      <c r="B12" s="18" t="s">
        <v>29</v>
      </c>
      <c r="C12" s="18" t="s">
        <v>30</v>
      </c>
      <c r="D12" s="18">
        <v>581.875</v>
      </c>
      <c r="E12" s="18">
        <v>0</v>
      </c>
      <c r="F12" s="18">
        <v>246.66666666666666</v>
      </c>
      <c r="G12" s="18">
        <v>0</v>
      </c>
      <c r="H12" s="18">
        <v>64.8888888888889</v>
      </c>
    </row>
    <row r="13" spans="1:8" x14ac:dyDescent="0.15">
      <c r="B13" s="18" t="s">
        <v>31</v>
      </c>
      <c r="C13" s="18" t="s">
        <v>32</v>
      </c>
      <c r="D13" s="18">
        <v>18.125000000000057</v>
      </c>
      <c r="E13" s="18">
        <v>0</v>
      </c>
      <c r="F13" s="18">
        <v>197.99999999999997</v>
      </c>
      <c r="G13" s="18">
        <v>64.888888888888928</v>
      </c>
      <c r="H13" s="18">
        <v>0</v>
      </c>
    </row>
    <row r="14" spans="1:8" x14ac:dyDescent="0.15">
      <c r="B14" s="18" t="s">
        <v>33</v>
      </c>
      <c r="C14" s="18" t="s">
        <v>34</v>
      </c>
      <c r="D14" s="18">
        <v>0</v>
      </c>
      <c r="E14" s="18">
        <v>0</v>
      </c>
      <c r="F14" s="18">
        <v>222</v>
      </c>
      <c r="G14" s="18">
        <v>97.333333333333343</v>
      </c>
      <c r="H14" s="18">
        <v>0</v>
      </c>
    </row>
    <row r="15" spans="1:8" x14ac:dyDescent="0.15">
      <c r="B15" s="18" t="s">
        <v>35</v>
      </c>
      <c r="C15" s="18" t="s">
        <v>77</v>
      </c>
      <c r="D15" s="18">
        <v>80</v>
      </c>
      <c r="E15" s="18">
        <v>0</v>
      </c>
      <c r="F15" s="18">
        <v>246.66666666666663</v>
      </c>
      <c r="G15" s="18">
        <v>1E+30</v>
      </c>
      <c r="H15" s="18">
        <v>0</v>
      </c>
    </row>
    <row r="16" spans="1:8" x14ac:dyDescent="0.15">
      <c r="B16" s="18" t="s">
        <v>37</v>
      </c>
      <c r="C16" s="18" t="s">
        <v>78</v>
      </c>
      <c r="D16" s="18">
        <v>0</v>
      </c>
      <c r="E16" s="18">
        <v>0</v>
      </c>
      <c r="F16" s="18">
        <v>198</v>
      </c>
      <c r="G16" s="18">
        <v>0</v>
      </c>
      <c r="H16" s="18">
        <v>1E+30</v>
      </c>
    </row>
    <row r="17" spans="1:8" x14ac:dyDescent="0.15">
      <c r="B17" s="18" t="s">
        <v>39</v>
      </c>
      <c r="C17" s="18" t="s">
        <v>79</v>
      </c>
      <c r="D17" s="18">
        <v>0</v>
      </c>
      <c r="E17" s="18">
        <v>0</v>
      </c>
      <c r="F17" s="18">
        <v>222</v>
      </c>
      <c r="G17" s="18">
        <v>0</v>
      </c>
      <c r="H17" s="18">
        <v>1E+30</v>
      </c>
    </row>
    <row r="18" spans="1:8" x14ac:dyDescent="0.15">
      <c r="B18" s="18" t="s">
        <v>47</v>
      </c>
      <c r="C18" s="18" t="s">
        <v>36</v>
      </c>
      <c r="D18" s="18">
        <v>220.62499999999997</v>
      </c>
      <c r="E18" s="18">
        <v>0</v>
      </c>
      <c r="F18" s="18">
        <v>246.66666666666674</v>
      </c>
      <c r="G18" s="18">
        <v>1389.3333333333335</v>
      </c>
      <c r="H18" s="18">
        <v>64.888888888888971</v>
      </c>
    </row>
    <row r="19" spans="1:8" x14ac:dyDescent="0.15">
      <c r="B19" s="18" t="s">
        <v>49</v>
      </c>
      <c r="C19" s="18" t="s">
        <v>38</v>
      </c>
      <c r="D19" s="18">
        <v>54.375000000000171</v>
      </c>
      <c r="E19" s="18">
        <v>0</v>
      </c>
      <c r="F19" s="18">
        <v>198</v>
      </c>
      <c r="G19" s="18">
        <v>42.962962962962948</v>
      </c>
      <c r="H19" s="18">
        <v>154.37037037037038</v>
      </c>
    </row>
    <row r="20" spans="1:8" ht="14" thickBot="1" x14ac:dyDescent="0.2">
      <c r="B20" s="17" t="s">
        <v>51</v>
      </c>
      <c r="C20" s="17" t="s">
        <v>40</v>
      </c>
      <c r="D20" s="17">
        <v>2125</v>
      </c>
      <c r="E20" s="17">
        <v>0</v>
      </c>
      <c r="F20" s="17">
        <v>222</v>
      </c>
      <c r="G20" s="17">
        <v>1E+30</v>
      </c>
      <c r="H20" s="17">
        <v>48.333333333333314</v>
      </c>
    </row>
    <row r="22" spans="1:8" ht="14" thickBot="1" x14ac:dyDescent="0.2">
      <c r="A22" t="s">
        <v>28</v>
      </c>
    </row>
    <row r="23" spans="1:8" x14ac:dyDescent="0.15">
      <c r="B23" s="23"/>
      <c r="C23" s="23"/>
      <c r="D23" s="23" t="s">
        <v>59</v>
      </c>
      <c r="E23" s="23" t="s">
        <v>68</v>
      </c>
      <c r="F23" s="23" t="s">
        <v>70</v>
      </c>
      <c r="G23" s="23" t="s">
        <v>65</v>
      </c>
      <c r="H23" s="23" t="s">
        <v>65</v>
      </c>
    </row>
    <row r="24" spans="1:8" ht="14" thickBot="1" x14ac:dyDescent="0.2">
      <c r="B24" s="24" t="s">
        <v>25</v>
      </c>
      <c r="C24" s="24" t="s">
        <v>26</v>
      </c>
      <c r="D24" s="24" t="s">
        <v>60</v>
      </c>
      <c r="E24" s="24" t="s">
        <v>69</v>
      </c>
      <c r="F24" s="24" t="s">
        <v>71</v>
      </c>
      <c r="G24" s="24" t="s">
        <v>66</v>
      </c>
      <c r="H24" s="24" t="s">
        <v>67</v>
      </c>
    </row>
    <row r="25" spans="1:8" x14ac:dyDescent="0.15">
      <c r="B25" s="18" t="s">
        <v>99</v>
      </c>
      <c r="C25" s="18" t="s">
        <v>42</v>
      </c>
      <c r="D25" s="18">
        <v>7060</v>
      </c>
      <c r="E25" s="18">
        <v>-24.333333333333364</v>
      </c>
      <c r="F25" s="18">
        <v>0</v>
      </c>
      <c r="G25" s="18">
        <v>588.33333333333326</v>
      </c>
      <c r="H25" s="18">
        <v>145.00000000000045</v>
      </c>
    </row>
    <row r="26" spans="1:8" x14ac:dyDescent="0.15">
      <c r="B26" s="18" t="s">
        <v>100</v>
      </c>
      <c r="C26" s="18" t="s">
        <v>44</v>
      </c>
      <c r="D26" s="18">
        <v>435.00000000000136</v>
      </c>
      <c r="E26" s="18">
        <v>-24.33333333333335</v>
      </c>
      <c r="F26" s="18">
        <v>0</v>
      </c>
      <c r="G26" s="18">
        <v>1551.6666666666667</v>
      </c>
      <c r="H26" s="18">
        <v>48.333333333333485</v>
      </c>
    </row>
    <row r="27" spans="1:8" x14ac:dyDescent="0.15">
      <c r="B27" s="18" t="s">
        <v>101</v>
      </c>
      <c r="C27" s="18" t="s">
        <v>46</v>
      </c>
      <c r="D27" s="18">
        <v>10625</v>
      </c>
      <c r="E27" s="18">
        <v>-24.333333333333336</v>
      </c>
      <c r="F27" s="18">
        <v>0</v>
      </c>
      <c r="G27" s="18">
        <v>1551.6666666666667</v>
      </c>
      <c r="H27" s="18">
        <v>0</v>
      </c>
    </row>
    <row r="28" spans="1:8" x14ac:dyDescent="0.15">
      <c r="B28" s="18" t="s">
        <v>83</v>
      </c>
      <c r="C28" s="18" t="s">
        <v>48</v>
      </c>
      <c r="D28" s="18">
        <v>882.5</v>
      </c>
      <c r="E28" s="18">
        <v>0</v>
      </c>
      <c r="F28" s="18">
        <v>0</v>
      </c>
      <c r="G28" s="18">
        <v>1E+30</v>
      </c>
      <c r="H28" s="18">
        <v>13517.5</v>
      </c>
    </row>
    <row r="29" spans="1:8" x14ac:dyDescent="0.15">
      <c r="B29" s="18" t="s">
        <v>84</v>
      </c>
      <c r="C29" s="18" t="s">
        <v>50</v>
      </c>
      <c r="D29" s="18">
        <v>72.500000000000227</v>
      </c>
      <c r="E29" s="18">
        <v>0</v>
      </c>
      <c r="F29" s="18">
        <v>0</v>
      </c>
      <c r="G29" s="18">
        <v>1E+30</v>
      </c>
      <c r="H29" s="18">
        <v>927.49999999999977</v>
      </c>
    </row>
    <row r="30" spans="1:8" x14ac:dyDescent="0.15">
      <c r="B30" s="18" t="s">
        <v>85</v>
      </c>
      <c r="C30" s="18" t="s">
        <v>52</v>
      </c>
      <c r="D30" s="18">
        <v>2125</v>
      </c>
      <c r="E30" s="18">
        <v>48.333333333333314</v>
      </c>
      <c r="F30" s="18">
        <v>0</v>
      </c>
      <c r="G30" s="18">
        <v>48.333333333333485</v>
      </c>
      <c r="H30" s="18">
        <v>618.33333333333314</v>
      </c>
    </row>
    <row r="31" spans="1:8" x14ac:dyDescent="0.15">
      <c r="B31" s="18" t="s">
        <v>53</v>
      </c>
      <c r="C31" s="18" t="s">
        <v>54</v>
      </c>
      <c r="D31" s="18">
        <v>600</v>
      </c>
      <c r="E31" s="18">
        <v>271</v>
      </c>
      <c r="F31" s="18">
        <v>600</v>
      </c>
      <c r="G31" s="18">
        <v>145.00000000000045</v>
      </c>
      <c r="H31" s="18">
        <v>517.22222222222217</v>
      </c>
    </row>
    <row r="32" spans="1:8" x14ac:dyDescent="0.15">
      <c r="B32" s="18" t="s">
        <v>55</v>
      </c>
      <c r="C32" s="18" t="s">
        <v>86</v>
      </c>
      <c r="D32" s="18">
        <v>80</v>
      </c>
      <c r="E32" s="18">
        <v>271</v>
      </c>
      <c r="F32" s="18">
        <v>80</v>
      </c>
      <c r="G32" s="18">
        <v>145.00000000000045</v>
      </c>
      <c r="H32" s="18">
        <v>80</v>
      </c>
    </row>
    <row r="33" spans="2:8" x14ac:dyDescent="0.15">
      <c r="B33" s="18" t="s">
        <v>87</v>
      </c>
      <c r="C33" s="18" t="s">
        <v>56</v>
      </c>
      <c r="D33" s="18">
        <v>2400</v>
      </c>
      <c r="E33" s="18">
        <v>173.66666666666669</v>
      </c>
      <c r="F33" s="18">
        <v>2400</v>
      </c>
      <c r="G33" s="18">
        <v>618.33333333333314</v>
      </c>
      <c r="H33" s="18">
        <v>48.333333333333485</v>
      </c>
    </row>
    <row r="34" spans="2:8" ht="14" thickBot="1" x14ac:dyDescent="0.2">
      <c r="B34" s="17" t="s">
        <v>102</v>
      </c>
      <c r="C34" s="17" t="s">
        <v>103</v>
      </c>
      <c r="D34" s="17">
        <v>1</v>
      </c>
      <c r="E34" s="17">
        <v>6041.6666666666642</v>
      </c>
      <c r="F34" s="17">
        <v>1</v>
      </c>
      <c r="G34" s="17">
        <v>0.38666666666666788</v>
      </c>
      <c r="H34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9F48-D6D8-6A4D-93A6-7A837C05F9AC}">
  <dimension ref="A1:G23"/>
  <sheetViews>
    <sheetView zoomScale="170" zoomScaleNormal="170" workbookViewId="0">
      <selection activeCell="E6" sqref="E6"/>
    </sheetView>
  </sheetViews>
  <sheetFormatPr baseColWidth="10" defaultRowHeight="13" x14ac:dyDescent="0.15"/>
  <cols>
    <col min="1" max="1" width="15.1640625" customWidth="1"/>
    <col min="5" max="5" width="16.1640625" customWidth="1"/>
  </cols>
  <sheetData>
    <row r="1" spans="1:7" ht="19" x14ac:dyDescent="0.2">
      <c r="A1" s="5" t="s">
        <v>0</v>
      </c>
      <c r="B1" s="5"/>
      <c r="C1" s="5"/>
      <c r="D1" s="4"/>
      <c r="E1" s="1"/>
      <c r="F1" s="1"/>
    </row>
    <row r="2" spans="1:7" x14ac:dyDescent="0.15">
      <c r="A2" s="1"/>
      <c r="B2" s="1"/>
      <c r="C2" s="1"/>
      <c r="D2" s="1"/>
      <c r="E2" s="1"/>
      <c r="F2" s="1"/>
    </row>
    <row r="3" spans="1:7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62</v>
      </c>
    </row>
    <row r="4" spans="1:7" x14ac:dyDescent="0.15">
      <c r="A4" s="1" t="s">
        <v>1</v>
      </c>
      <c r="B4" s="7">
        <v>581.875</v>
      </c>
      <c r="C4" s="7">
        <v>18.125000000000057</v>
      </c>
      <c r="D4" s="7">
        <v>0</v>
      </c>
      <c r="E4" s="8">
        <f>SUM(B4:D4)</f>
        <v>600</v>
      </c>
      <c r="F4" s="9">
        <v>600</v>
      </c>
      <c r="G4" s="7">
        <v>180</v>
      </c>
    </row>
    <row r="5" spans="1:7" x14ac:dyDescent="0.15">
      <c r="A5" s="1" t="s">
        <v>72</v>
      </c>
      <c r="B5" s="7">
        <v>80</v>
      </c>
      <c r="C5" s="7">
        <v>0</v>
      </c>
      <c r="D5" s="7">
        <v>0</v>
      </c>
      <c r="E5" s="8">
        <f>SUM(B5:D5)</f>
        <v>80</v>
      </c>
      <c r="F5" s="9">
        <v>80</v>
      </c>
      <c r="G5" s="7">
        <v>255</v>
      </c>
    </row>
    <row r="6" spans="1:7" x14ac:dyDescent="0.15">
      <c r="A6" s="1" t="s">
        <v>2</v>
      </c>
      <c r="B6" s="7">
        <v>220.62499999999997</v>
      </c>
      <c r="C6" s="7">
        <v>54.375000000000171</v>
      </c>
      <c r="D6" s="7">
        <v>2125</v>
      </c>
      <c r="E6" s="8">
        <f>SUM(B6:D6)</f>
        <v>2400</v>
      </c>
      <c r="F6" s="9">
        <v>2400</v>
      </c>
      <c r="G6" s="7">
        <v>180</v>
      </c>
    </row>
    <row r="7" spans="1:7" x14ac:dyDescent="0.15">
      <c r="A7" s="1" t="s">
        <v>10</v>
      </c>
      <c r="B7" s="8">
        <f>SUM(B4:B6)</f>
        <v>882.5</v>
      </c>
      <c r="C7" s="8">
        <f>SUM(C4:C6)</f>
        <v>72.500000000000227</v>
      </c>
      <c r="D7" s="8">
        <f>SUM(D4:D6)</f>
        <v>2125</v>
      </c>
      <c r="E7" s="8">
        <f>SUM(B7:D7)</f>
        <v>3080</v>
      </c>
      <c r="F7" s="3"/>
      <c r="G7" s="1" t="s">
        <v>74</v>
      </c>
    </row>
    <row r="8" spans="1:7" x14ac:dyDescent="0.15">
      <c r="A8" s="1" t="s">
        <v>90</v>
      </c>
      <c r="B8" s="8">
        <v>0</v>
      </c>
      <c r="C8" s="8">
        <v>0</v>
      </c>
      <c r="D8" s="8">
        <v>1</v>
      </c>
      <c r="E8" s="8">
        <f>B8+C8+D8</f>
        <v>1</v>
      </c>
      <c r="F8" s="3">
        <v>1</v>
      </c>
      <c r="G8" s="1"/>
    </row>
    <row r="9" spans="1:7" x14ac:dyDescent="0.15">
      <c r="A9" s="1" t="s">
        <v>89</v>
      </c>
      <c r="B9" s="8">
        <f>(5000*18/1000)*B8</f>
        <v>0</v>
      </c>
      <c r="C9" s="8">
        <f>(5000*20/1000)*C8</f>
        <v>0</v>
      </c>
      <c r="D9" s="8">
        <f>(5000*25/1000)*D8</f>
        <v>125</v>
      </c>
      <c r="E9" s="8"/>
      <c r="F9" s="3"/>
      <c r="G9" s="1"/>
    </row>
    <row r="10" spans="1:7" x14ac:dyDescent="0.15">
      <c r="A10" s="1" t="s">
        <v>9</v>
      </c>
      <c r="B10" s="9">
        <v>14400</v>
      </c>
      <c r="C10" s="9">
        <v>1000</v>
      </c>
      <c r="D10" s="9">
        <v>2000</v>
      </c>
      <c r="E10" s="3"/>
      <c r="F10" s="3"/>
      <c r="G10" s="22">
        <f>0.18*3000000+0.255*80000</f>
        <v>560400</v>
      </c>
    </row>
    <row r="11" spans="1:7" x14ac:dyDescent="0.15">
      <c r="A11" s="1" t="s">
        <v>88</v>
      </c>
      <c r="B11" s="9">
        <f>B10+B9</f>
        <v>14400</v>
      </c>
      <c r="C11" s="9">
        <f>C10+C9</f>
        <v>1000</v>
      </c>
      <c r="D11" s="9">
        <f>D10+D9</f>
        <v>2125</v>
      </c>
      <c r="E11" s="3"/>
      <c r="F11" s="3"/>
      <c r="G11" s="22"/>
    </row>
    <row r="12" spans="1:7" x14ac:dyDescent="0.15">
      <c r="A12" s="1"/>
      <c r="B12" s="2"/>
      <c r="C12" s="2"/>
      <c r="D12" s="2"/>
      <c r="E12" s="2"/>
      <c r="F12" s="2"/>
    </row>
    <row r="13" spans="1:7" x14ac:dyDescent="0.15">
      <c r="A13" s="6" t="s">
        <v>11</v>
      </c>
      <c r="B13" s="2" t="s">
        <v>4</v>
      </c>
      <c r="C13" s="2" t="s">
        <v>5</v>
      </c>
      <c r="D13" s="2" t="s">
        <v>6</v>
      </c>
      <c r="E13" s="2" t="s">
        <v>12</v>
      </c>
      <c r="F13" s="2"/>
    </row>
    <row r="14" spans="1:7" x14ac:dyDescent="0.15">
      <c r="A14" s="1" t="s">
        <v>1</v>
      </c>
      <c r="B14" s="8">
        <f>B4*$E$14</f>
        <v>5236.875</v>
      </c>
      <c r="C14" s="8">
        <f>C4*$E$14</f>
        <v>163.12500000000051</v>
      </c>
      <c r="D14" s="8">
        <f>D4*$E$14</f>
        <v>0</v>
      </c>
      <c r="E14" s="14">
        <v>9</v>
      </c>
      <c r="F14" s="2"/>
    </row>
    <row r="15" spans="1:7" x14ac:dyDescent="0.15">
      <c r="A15" s="1" t="s">
        <v>73</v>
      </c>
      <c r="B15" s="8">
        <f>B5*$E$15</f>
        <v>720</v>
      </c>
      <c r="C15" s="8">
        <f t="shared" ref="C15:D15" si="0">C5*$E$15</f>
        <v>0</v>
      </c>
      <c r="D15" s="8">
        <f t="shared" si="0"/>
        <v>0</v>
      </c>
      <c r="E15" s="14">
        <v>9</v>
      </c>
      <c r="F15" s="2"/>
    </row>
    <row r="16" spans="1:7" x14ac:dyDescent="0.15">
      <c r="A16" s="1" t="s">
        <v>2</v>
      </c>
      <c r="B16" s="8">
        <f>B6*$E$16</f>
        <v>1103.1249999999998</v>
      </c>
      <c r="C16" s="8">
        <f t="shared" ref="C16:D16" si="1">C6*$E$16</f>
        <v>271.87500000000085</v>
      </c>
      <c r="D16" s="8">
        <f t="shared" si="1"/>
        <v>10625</v>
      </c>
      <c r="E16" s="14">
        <v>5</v>
      </c>
      <c r="F16" s="2"/>
    </row>
    <row r="17" spans="1:6" x14ac:dyDescent="0.15">
      <c r="A17" s="1" t="s">
        <v>13</v>
      </c>
      <c r="B17" s="8">
        <f>SUM(B14:B16)</f>
        <v>7060</v>
      </c>
      <c r="C17" s="8">
        <f t="shared" ref="C17:D17" si="2">SUM(C14:C16)</f>
        <v>435.00000000000136</v>
      </c>
      <c r="D17" s="8">
        <f t="shared" si="2"/>
        <v>10625</v>
      </c>
      <c r="E17" s="2"/>
      <c r="F17" s="2"/>
    </row>
    <row r="18" spans="1:6" x14ac:dyDescent="0.15">
      <c r="A18" s="1" t="s">
        <v>15</v>
      </c>
      <c r="B18" s="9">
        <f>B20*B7</f>
        <v>7060</v>
      </c>
      <c r="C18" s="9">
        <f t="shared" ref="C18:D18" si="3">C20*C7</f>
        <v>435.00000000000136</v>
      </c>
      <c r="D18" s="9">
        <f t="shared" si="3"/>
        <v>10625</v>
      </c>
      <c r="E18" s="2"/>
      <c r="F18" s="2"/>
    </row>
    <row r="19" spans="1:6" x14ac:dyDescent="0.15">
      <c r="A19" s="1" t="s">
        <v>16</v>
      </c>
      <c r="B19" s="10">
        <f>B17/B7</f>
        <v>8</v>
      </c>
      <c r="C19" s="10">
        <f t="shared" ref="C19:D19" si="4">C17/C7</f>
        <v>6</v>
      </c>
      <c r="D19" s="10">
        <f t="shared" si="4"/>
        <v>5</v>
      </c>
      <c r="E19" s="2"/>
      <c r="F19" s="2"/>
    </row>
    <row r="20" spans="1:6" x14ac:dyDescent="0.15">
      <c r="A20" s="1" t="s">
        <v>14</v>
      </c>
      <c r="B20" s="10">
        <v>8</v>
      </c>
      <c r="C20" s="10">
        <v>6</v>
      </c>
      <c r="D20" s="10">
        <v>5</v>
      </c>
      <c r="E20" s="2"/>
      <c r="F20" s="2"/>
    </row>
    <row r="21" spans="1:6" x14ac:dyDescent="0.15">
      <c r="A21" s="1"/>
      <c r="B21" s="2"/>
      <c r="C21" s="2"/>
      <c r="D21" s="2"/>
      <c r="E21" s="2"/>
      <c r="F21" s="2"/>
    </row>
    <row r="22" spans="1:6" x14ac:dyDescent="0.15">
      <c r="A22" s="6" t="s">
        <v>17</v>
      </c>
      <c r="B22" s="2" t="s">
        <v>4</v>
      </c>
      <c r="C22" s="2" t="s">
        <v>5</v>
      </c>
      <c r="D22" s="2" t="s">
        <v>6</v>
      </c>
      <c r="E22" s="2" t="s">
        <v>19</v>
      </c>
      <c r="F22" s="2" t="s">
        <v>20</v>
      </c>
    </row>
    <row r="23" spans="1:6" x14ac:dyDescent="0.15">
      <c r="A23" s="1" t="s">
        <v>18</v>
      </c>
      <c r="B23" s="16">
        <f>1000*4.44/18</f>
        <v>246.66666666666666</v>
      </c>
      <c r="C23" s="11">
        <v>198</v>
      </c>
      <c r="D23" s="11">
        <v>222</v>
      </c>
      <c r="E23" s="13">
        <f>SUMPRODUCT(B23:D23,B7:D7)</f>
        <v>703788.33333333337</v>
      </c>
      <c r="F23" s="12">
        <f>E23-G10</f>
        <v>143388.33333333337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8FE9-0218-4048-91F6-A95A5B647182}">
  <dimension ref="A1:J18"/>
  <sheetViews>
    <sheetView tabSelected="1" zoomScale="170" zoomScaleNormal="170" workbookViewId="0">
      <selection activeCell="H9" sqref="H9:J13"/>
    </sheetView>
  </sheetViews>
  <sheetFormatPr baseColWidth="10" defaultRowHeight="13" x14ac:dyDescent="0.15"/>
  <cols>
    <col min="1" max="1" width="21.83203125" customWidth="1"/>
    <col min="4" max="4" width="9.83203125" customWidth="1"/>
    <col min="5" max="5" width="16.83203125" customWidth="1"/>
  </cols>
  <sheetData>
    <row r="1" spans="1:10" ht="19" x14ac:dyDescent="0.2">
      <c r="A1" s="5" t="s">
        <v>0</v>
      </c>
      <c r="B1" s="5"/>
      <c r="C1" s="5"/>
      <c r="D1" s="4"/>
      <c r="E1" s="1"/>
      <c r="F1" s="1"/>
    </row>
    <row r="2" spans="1:10" x14ac:dyDescent="0.15">
      <c r="A2" s="1"/>
      <c r="B2" s="1"/>
      <c r="C2" s="1"/>
      <c r="D2" s="1"/>
      <c r="E2" s="1"/>
      <c r="F2" s="1"/>
    </row>
    <row r="3" spans="1:10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62</v>
      </c>
      <c r="H3" s="2" t="s">
        <v>74</v>
      </c>
    </row>
    <row r="4" spans="1:10" x14ac:dyDescent="0.15">
      <c r="A4" s="1" t="s">
        <v>1</v>
      </c>
      <c r="B4" s="25">
        <v>7575</v>
      </c>
      <c r="C4" s="25">
        <v>225</v>
      </c>
      <c r="D4" s="25">
        <v>0</v>
      </c>
      <c r="E4" s="8">
        <f>SUM(B4:D4)</f>
        <v>7800</v>
      </c>
      <c r="F4" s="9">
        <f>13000*0.6</f>
        <v>7800</v>
      </c>
      <c r="G4" s="7">
        <v>200</v>
      </c>
      <c r="H4">
        <f>E6*G4</f>
        <v>2600000</v>
      </c>
    </row>
    <row r="5" spans="1:10" x14ac:dyDescent="0.15">
      <c r="A5" s="1" t="s">
        <v>2</v>
      </c>
      <c r="B5" s="25">
        <v>2525</v>
      </c>
      <c r="C5" s="25">
        <v>675</v>
      </c>
      <c r="D5" s="25">
        <v>2000</v>
      </c>
      <c r="E5" s="8">
        <f>SUM(B5:D5)</f>
        <v>5200</v>
      </c>
      <c r="F5" s="9">
        <f>13000*0.4</f>
        <v>5200</v>
      </c>
    </row>
    <row r="6" spans="1:10" x14ac:dyDescent="0.15">
      <c r="A6" s="1" t="s">
        <v>10</v>
      </c>
      <c r="B6" s="8">
        <f>SUM(B4:B5)</f>
        <v>10100</v>
      </c>
      <c r="C6" s="8">
        <f>SUM(C4:C5)</f>
        <v>900</v>
      </c>
      <c r="D6" s="8">
        <f>SUM(D4:D5)</f>
        <v>2000</v>
      </c>
      <c r="E6" s="8">
        <f>SUM(B6:D6)</f>
        <v>13000</v>
      </c>
      <c r="F6" s="3">
        <v>13000</v>
      </c>
      <c r="G6" s="21"/>
    </row>
    <row r="7" spans="1:10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"/>
    </row>
    <row r="8" spans="1:10" x14ac:dyDescent="0.15">
      <c r="A8" s="1"/>
      <c r="B8" s="2"/>
      <c r="C8" s="2"/>
      <c r="D8" s="2"/>
      <c r="E8" s="2"/>
      <c r="F8" s="2"/>
    </row>
    <row r="9" spans="1:10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  <c r="H9" s="2"/>
      <c r="I9" s="21"/>
      <c r="J9" s="21"/>
    </row>
    <row r="10" spans="1:10" x14ac:dyDescent="0.15">
      <c r="A10" s="1" t="s">
        <v>1</v>
      </c>
      <c r="B10" s="8">
        <f>B4*$E$10</f>
        <v>68175</v>
      </c>
      <c r="C10" s="8">
        <f>C4*$E$10</f>
        <v>2025</v>
      </c>
      <c r="D10" s="8">
        <f>D4*$E$10</f>
        <v>0</v>
      </c>
      <c r="E10" s="14">
        <v>9</v>
      </c>
      <c r="F10" s="2"/>
      <c r="H10" s="21"/>
      <c r="I10" s="26"/>
      <c r="J10" s="26"/>
    </row>
    <row r="11" spans="1:10" x14ac:dyDescent="0.15">
      <c r="A11" s="1" t="s">
        <v>2</v>
      </c>
      <c r="B11" s="8">
        <f>B5*$E$11</f>
        <v>12625</v>
      </c>
      <c r="C11" s="8">
        <f t="shared" ref="C11:D11" si="0">C5*$E$11</f>
        <v>3375</v>
      </c>
      <c r="D11" s="8">
        <f t="shared" si="0"/>
        <v>10000</v>
      </c>
      <c r="E11" s="14">
        <v>5</v>
      </c>
      <c r="F11" s="2"/>
      <c r="H11" s="21"/>
    </row>
    <row r="12" spans="1:10" x14ac:dyDescent="0.15">
      <c r="A12" s="1" t="s">
        <v>13</v>
      </c>
      <c r="B12" s="8">
        <f>SUM(B10:B11)</f>
        <v>80800</v>
      </c>
      <c r="C12" s="8">
        <f t="shared" ref="C12:D12" si="1">SUM(C10:C11)</f>
        <v>5400</v>
      </c>
      <c r="D12" s="8">
        <f t="shared" si="1"/>
        <v>10000</v>
      </c>
      <c r="E12" s="2"/>
      <c r="F12" s="2"/>
      <c r="H12" s="21"/>
    </row>
    <row r="13" spans="1:10" x14ac:dyDescent="0.15">
      <c r="A13" s="1" t="s">
        <v>15</v>
      </c>
      <c r="B13" s="9">
        <f>B15*B6</f>
        <v>80800</v>
      </c>
      <c r="C13" s="9">
        <f t="shared" ref="C13:D13" si="2">C15*C6</f>
        <v>5400</v>
      </c>
      <c r="D13" s="9">
        <f t="shared" si="2"/>
        <v>10000</v>
      </c>
      <c r="E13" s="2"/>
      <c r="F13" s="2"/>
    </row>
    <row r="14" spans="1:10" x14ac:dyDescent="0.15">
      <c r="A14" s="1" t="s">
        <v>16</v>
      </c>
      <c r="B14" s="10">
        <f>B12/B6</f>
        <v>8</v>
      </c>
      <c r="C14" s="10">
        <f t="shared" ref="C14:D14" si="3">C12/C6</f>
        <v>6</v>
      </c>
      <c r="D14" s="10">
        <f t="shared" si="3"/>
        <v>5</v>
      </c>
      <c r="E14" s="2"/>
      <c r="F14" s="2"/>
    </row>
    <row r="15" spans="1:10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10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SUMPRODUCT(B18:D18,B6:D6)</f>
        <v>3113533.333333333</v>
      </c>
      <c r="F18" s="12">
        <f>E18-H4</f>
        <v>513533.33333333302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73E4-BBA1-524D-9F2A-1238212807AE}">
  <dimension ref="A1:H18"/>
  <sheetViews>
    <sheetView zoomScale="180" zoomScaleNormal="180" workbookViewId="0">
      <selection activeCell="G11" sqref="G11"/>
    </sheetView>
  </sheetViews>
  <sheetFormatPr baseColWidth="10" defaultRowHeight="13" x14ac:dyDescent="0.15"/>
  <cols>
    <col min="5" max="5" width="12.83203125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62</v>
      </c>
      <c r="H3" s="2" t="s">
        <v>74</v>
      </c>
    </row>
    <row r="4" spans="1:8" x14ac:dyDescent="0.15">
      <c r="A4" s="1" t="s">
        <v>1</v>
      </c>
      <c r="B4" s="25">
        <v>6250</v>
      </c>
      <c r="C4" s="25">
        <v>250</v>
      </c>
      <c r="D4" s="25">
        <v>0</v>
      </c>
      <c r="E4" s="8">
        <f>SUM(B4:D4)</f>
        <v>6500</v>
      </c>
      <c r="F4" s="9">
        <f>13000*0.5</f>
        <v>6500</v>
      </c>
      <c r="G4" s="7">
        <v>200</v>
      </c>
      <c r="H4">
        <f>E6*G4</f>
        <v>2266666.6666666665</v>
      </c>
    </row>
    <row r="5" spans="1:8" x14ac:dyDescent="0.15">
      <c r="A5" s="1" t="s">
        <v>2</v>
      </c>
      <c r="B5" s="25">
        <v>2083.333333333333</v>
      </c>
      <c r="C5" s="25">
        <v>750</v>
      </c>
      <c r="D5" s="25">
        <v>2000</v>
      </c>
      <c r="E5" s="8">
        <f>SUM(B5:D5)</f>
        <v>4833.333333333333</v>
      </c>
      <c r="F5" s="9">
        <f>13000*0.5</f>
        <v>6500</v>
      </c>
    </row>
    <row r="6" spans="1:8" x14ac:dyDescent="0.15">
      <c r="A6" s="1" t="s">
        <v>10</v>
      </c>
      <c r="B6" s="8">
        <f>SUM(B4:B5)</f>
        <v>8333.3333333333321</v>
      </c>
      <c r="C6" s="8">
        <f>SUM(C4:C5)</f>
        <v>1000</v>
      </c>
      <c r="D6" s="8">
        <f>SUM(D4:D5)</f>
        <v>2000</v>
      </c>
      <c r="E6" s="8">
        <f>SUM(B6:D6)</f>
        <v>11333.333333333332</v>
      </c>
      <c r="F6" s="3"/>
      <c r="G6" s="21"/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"/>
    </row>
    <row r="8" spans="1:8" x14ac:dyDescent="0.15">
      <c r="A8" s="1"/>
      <c r="B8" s="2"/>
      <c r="C8" s="2"/>
      <c r="D8" s="2"/>
      <c r="E8" s="2"/>
      <c r="F8" s="2"/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B4*$E$10</f>
        <v>56250</v>
      </c>
      <c r="C10" s="8">
        <f>C4*$E$10</f>
        <v>2250</v>
      </c>
      <c r="D10" s="8">
        <f>D4*$E$10</f>
        <v>0</v>
      </c>
      <c r="E10" s="14">
        <v>9</v>
      </c>
      <c r="F10" s="2"/>
    </row>
    <row r="11" spans="1:8" x14ac:dyDescent="0.15">
      <c r="A11" s="1" t="s">
        <v>2</v>
      </c>
      <c r="B11" s="8">
        <f>B5*$E$11</f>
        <v>10416.666666666664</v>
      </c>
      <c r="C11" s="8">
        <f t="shared" ref="C11:D11" si="0">C5*$E$11</f>
        <v>3750</v>
      </c>
      <c r="D11" s="8">
        <f t="shared" si="0"/>
        <v>10000</v>
      </c>
      <c r="E11" s="14">
        <v>5</v>
      </c>
      <c r="F11" s="2"/>
    </row>
    <row r="12" spans="1:8" x14ac:dyDescent="0.15">
      <c r="A12" s="1" t="s">
        <v>13</v>
      </c>
      <c r="B12" s="8">
        <f>SUM(B10:B11)</f>
        <v>66666.666666666657</v>
      </c>
      <c r="C12" s="8">
        <f t="shared" ref="C12:D12" si="1">SUM(C10:C11)</f>
        <v>6000</v>
      </c>
      <c r="D12" s="8">
        <f t="shared" si="1"/>
        <v>10000</v>
      </c>
      <c r="E12" s="2"/>
      <c r="F12" s="2"/>
    </row>
    <row r="13" spans="1:8" x14ac:dyDescent="0.15">
      <c r="A13" s="1" t="s">
        <v>15</v>
      </c>
      <c r="B13" s="9">
        <f>B15*B6</f>
        <v>66666.666666666657</v>
      </c>
      <c r="C13" s="9">
        <f t="shared" ref="C13:D13" si="2">C15*C6</f>
        <v>6000</v>
      </c>
      <c r="D13" s="9">
        <f t="shared" si="2"/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3">C12/C6</f>
        <v>6</v>
      </c>
      <c r="D14" s="10">
        <f t="shared" si="3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SUMPRODUCT(B18:D18,B6:D6)</f>
        <v>2697555.555555555</v>
      </c>
      <c r="F18" s="12">
        <f>E18-H4</f>
        <v>430888.88888888853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FD1B-4DEF-7F4B-AB06-1BDDB131CD96}">
  <dimension ref="A1:H18"/>
  <sheetViews>
    <sheetView zoomScale="180" zoomScaleNormal="180" workbookViewId="0">
      <selection activeCell="E6" sqref="E6"/>
    </sheetView>
  </sheetViews>
  <sheetFormatPr baseColWidth="10" defaultRowHeight="13" x14ac:dyDescent="0.15"/>
  <cols>
    <col min="5" max="5" width="16" customWidth="1"/>
  </cols>
  <sheetData>
    <row r="1" spans="1:8" ht="19" x14ac:dyDescent="0.2">
      <c r="A1" s="5" t="s">
        <v>0</v>
      </c>
      <c r="B1" s="5"/>
      <c r="C1" s="5"/>
      <c r="D1" s="4"/>
      <c r="E1" s="1"/>
      <c r="F1" s="1"/>
    </row>
    <row r="2" spans="1:8" x14ac:dyDescent="0.15">
      <c r="A2" s="1"/>
      <c r="B2" s="1"/>
      <c r="C2" s="1"/>
      <c r="D2" s="1"/>
      <c r="E2" s="1"/>
      <c r="F2" s="1"/>
    </row>
    <row r="3" spans="1:8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62</v>
      </c>
      <c r="H3" s="2" t="s">
        <v>74</v>
      </c>
    </row>
    <row r="4" spans="1:8" x14ac:dyDescent="0.15">
      <c r="A4" s="1" t="s">
        <v>1</v>
      </c>
      <c r="B4" s="25">
        <v>2350</v>
      </c>
      <c r="C4" s="25">
        <v>250</v>
      </c>
      <c r="D4" s="25">
        <v>0</v>
      </c>
      <c r="E4" s="8">
        <f>SUM(B4:D4)</f>
        <v>2600</v>
      </c>
      <c r="F4" s="9">
        <f>13000*0.2</f>
        <v>2600</v>
      </c>
      <c r="G4" s="7">
        <v>200</v>
      </c>
      <c r="H4">
        <f>E6*G4</f>
        <v>1226666.6666666665</v>
      </c>
    </row>
    <row r="5" spans="1:8" x14ac:dyDescent="0.15">
      <c r="A5" s="1" t="s">
        <v>2</v>
      </c>
      <c r="B5" s="25">
        <v>783.33333333333326</v>
      </c>
      <c r="C5" s="25">
        <v>750</v>
      </c>
      <c r="D5" s="25">
        <v>2000</v>
      </c>
      <c r="E5" s="8">
        <f>SUM(B5:D5)</f>
        <v>3533.333333333333</v>
      </c>
      <c r="F5" s="9">
        <f>13000*0.8</f>
        <v>10400</v>
      </c>
    </row>
    <row r="6" spans="1:8" x14ac:dyDescent="0.15">
      <c r="A6" s="1" t="s">
        <v>10</v>
      </c>
      <c r="B6" s="8">
        <f>SUM(B4:B5)</f>
        <v>3133.333333333333</v>
      </c>
      <c r="C6" s="8">
        <f>SUM(C4:C5)</f>
        <v>1000</v>
      </c>
      <c r="D6" s="8">
        <f>SUM(D4:D5)</f>
        <v>2000</v>
      </c>
      <c r="E6" s="8">
        <f>SUM(B6:D6)</f>
        <v>6133.333333333333</v>
      </c>
      <c r="F6" s="3"/>
      <c r="G6" s="21"/>
    </row>
    <row r="7" spans="1:8" x14ac:dyDescent="0.15">
      <c r="A7" s="1" t="s">
        <v>9</v>
      </c>
      <c r="B7" s="9">
        <v>14400</v>
      </c>
      <c r="C7" s="9">
        <v>1000</v>
      </c>
      <c r="D7" s="9">
        <v>2000</v>
      </c>
      <c r="E7" s="3"/>
      <c r="F7" s="3"/>
    </row>
    <row r="8" spans="1:8" x14ac:dyDescent="0.15">
      <c r="A8" s="1"/>
      <c r="B8" s="2"/>
      <c r="C8" s="2"/>
      <c r="D8" s="2"/>
      <c r="E8" s="2"/>
      <c r="F8" s="2"/>
    </row>
    <row r="9" spans="1:8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8" x14ac:dyDescent="0.15">
      <c r="A10" s="1" t="s">
        <v>1</v>
      </c>
      <c r="B10" s="8">
        <f>B4*$E$10</f>
        <v>21150</v>
      </c>
      <c r="C10" s="8">
        <f>C4*$E$10</f>
        <v>2250</v>
      </c>
      <c r="D10" s="8">
        <f>D4*$E$10</f>
        <v>0</v>
      </c>
      <c r="E10" s="14">
        <v>9</v>
      </c>
      <c r="F10" s="2"/>
    </row>
    <row r="11" spans="1:8" x14ac:dyDescent="0.15">
      <c r="A11" s="1" t="s">
        <v>2</v>
      </c>
      <c r="B11" s="8">
        <f>B5*$E$11</f>
        <v>3916.6666666666661</v>
      </c>
      <c r="C11" s="8">
        <f t="shared" ref="C11:D11" si="0">C5*$E$11</f>
        <v>3750</v>
      </c>
      <c r="D11" s="8">
        <f t="shared" si="0"/>
        <v>10000</v>
      </c>
      <c r="E11" s="14">
        <v>5</v>
      </c>
      <c r="F11" s="2"/>
    </row>
    <row r="12" spans="1:8" x14ac:dyDescent="0.15">
      <c r="A12" s="1" t="s">
        <v>13</v>
      </c>
      <c r="B12" s="8">
        <f>SUM(B10:B11)</f>
        <v>25066.666666666664</v>
      </c>
      <c r="C12" s="8">
        <f t="shared" ref="C12:D12" si="1">SUM(C10:C11)</f>
        <v>6000</v>
      </c>
      <c r="D12" s="8">
        <f t="shared" si="1"/>
        <v>10000</v>
      </c>
      <c r="E12" s="2"/>
      <c r="F12" s="2"/>
    </row>
    <row r="13" spans="1:8" x14ac:dyDescent="0.15">
      <c r="A13" s="1" t="s">
        <v>15</v>
      </c>
      <c r="B13" s="9">
        <f>B15*B6</f>
        <v>25066.666666666664</v>
      </c>
      <c r="C13" s="9">
        <f t="shared" ref="C13:D13" si="2">C15*C6</f>
        <v>6000</v>
      </c>
      <c r="D13" s="9">
        <f t="shared" si="2"/>
        <v>10000</v>
      </c>
      <c r="E13" s="2"/>
      <c r="F13" s="2"/>
    </row>
    <row r="14" spans="1:8" x14ac:dyDescent="0.15">
      <c r="A14" s="1" t="s">
        <v>16</v>
      </c>
      <c r="B14" s="10">
        <f>B12/B6</f>
        <v>8</v>
      </c>
      <c r="C14" s="10">
        <f t="shared" ref="C14:D14" si="3">C12/C6</f>
        <v>6</v>
      </c>
      <c r="D14" s="10">
        <f t="shared" si="3"/>
        <v>5</v>
      </c>
      <c r="E14" s="2"/>
      <c r="F14" s="2"/>
    </row>
    <row r="15" spans="1:8" x14ac:dyDescent="0.15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8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>
        <f>SUMPRODUCT(B18:D18,B6:D6)</f>
        <v>1414888.8888888888</v>
      </c>
      <c r="F18" s="12">
        <f>E18-H4</f>
        <v>188222.22222222225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Sensitivity Report Question 1</vt:lpstr>
      <vt:lpstr>Question 1</vt:lpstr>
      <vt:lpstr>Sensitivity Report Question 2</vt:lpstr>
      <vt:lpstr>Question 2</vt:lpstr>
      <vt:lpstr>Sensitivity Report Question 3</vt:lpstr>
      <vt:lpstr>Question 3</vt:lpstr>
      <vt:lpstr>Q5-S</vt:lpstr>
      <vt:lpstr>Q5-N</vt:lpstr>
      <vt:lpstr>Q5-P</vt:lpstr>
      <vt:lpstr>Q5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Microsoft Office User</cp:lastModifiedBy>
  <cp:lastPrinted>2008-01-28T07:57:16Z</cp:lastPrinted>
  <dcterms:created xsi:type="dcterms:W3CDTF">1999-12-17T13:28:38Z</dcterms:created>
  <dcterms:modified xsi:type="dcterms:W3CDTF">2020-09-30T19:15:41Z</dcterms:modified>
</cp:coreProperties>
</file>