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phenzapatajr/Desktop/Boot Camp/Analyssis Projects/Crowd Funding Project/"/>
    </mc:Choice>
  </mc:AlternateContent>
  <xr:revisionPtr revIDLastSave="0" documentId="13_ncr:1_{230A9479-91A0-FB46-9E3B-54AF04722E59}" xr6:coauthVersionLast="47" xr6:coauthVersionMax="47" xr10:uidLastSave="{00000000-0000-0000-0000-000000000000}"/>
  <bookViews>
    <workbookView xWindow="-38400" yWindow="-9040" windowWidth="28800" windowHeight="16320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tics" sheetId="9" r:id="rId4"/>
    <sheet name="Outcomes Based on Launch Date" sheetId="6" r:id="rId5"/>
    <sheet name="Category Statistics" sheetId="3" r:id="rId6"/>
    <sheet name="Subcategory Statistics" sheetId="4" r:id="rId7"/>
    <sheet name="Edinburgh Research" sheetId="2" r:id="rId8"/>
  </sheets>
  <definedNames>
    <definedName name="_xlnm._FilterDatabase" localSheetId="0" hidden="1">kickstarter!$A$1:$W$4115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H4" i="12"/>
  <c r="G4" i="12"/>
  <c r="F4" i="12"/>
  <c r="E4" i="12"/>
  <c r="D4" i="12"/>
  <c r="C4" i="12"/>
  <c r="B4" i="12"/>
  <c r="C3" i="12"/>
  <c r="B3" i="12"/>
  <c r="D3" i="12"/>
  <c r="D2" i="12"/>
  <c r="C2" i="12"/>
  <c r="B2" i="12"/>
  <c r="E2" i="12" s="1"/>
  <c r="E12" i="12" l="1"/>
  <c r="H12" i="12"/>
  <c r="G12" i="12"/>
  <c r="F12" i="12"/>
  <c r="E11" i="12"/>
  <c r="E10" i="12"/>
  <c r="E9" i="12"/>
  <c r="G9" i="12"/>
  <c r="H9" i="12"/>
  <c r="F9" i="12"/>
  <c r="E8" i="12"/>
  <c r="H8" i="12"/>
  <c r="G8" i="12"/>
  <c r="E7" i="12"/>
  <c r="E6" i="12"/>
  <c r="F6" i="12" s="1"/>
  <c r="E5" i="12"/>
  <c r="H5" i="12"/>
  <c r="G5" i="12"/>
  <c r="F5" i="12"/>
  <c r="F8" i="12"/>
  <c r="E3" i="12"/>
  <c r="G2" i="12"/>
  <c r="H2" i="12"/>
  <c r="F2" i="12"/>
  <c r="C13" i="9"/>
  <c r="C12" i="9"/>
  <c r="C14" i="9" s="1"/>
  <c r="B13" i="9"/>
  <c r="B12" i="9"/>
  <c r="C11" i="9"/>
  <c r="B11" i="9"/>
  <c r="C7" i="9"/>
  <c r="C6" i="9"/>
  <c r="C5" i="9"/>
  <c r="B6" i="9"/>
  <c r="B5" i="9"/>
  <c r="C4" i="9"/>
  <c r="B4" i="9"/>
  <c r="C10" i="9"/>
  <c r="C9" i="9"/>
  <c r="B10" i="9"/>
  <c r="B9" i="9"/>
  <c r="C3" i="9"/>
  <c r="C2" i="9"/>
  <c r="B2" i="9"/>
  <c r="B3" i="9"/>
  <c r="F3" i="2"/>
  <c r="F4" i="2"/>
  <c r="F5" i="2"/>
  <c r="F6" i="2"/>
  <c r="F2" i="2"/>
  <c r="D3" i="2"/>
  <c r="D4" i="2"/>
  <c r="D5" i="2"/>
  <c r="D6" i="2"/>
  <c r="C3" i="2"/>
  <c r="C4" i="2"/>
  <c r="C5" i="2"/>
  <c r="C6" i="2"/>
  <c r="D2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B14" i="9"/>
  <c r="H11" i="12"/>
  <c r="G11" i="12"/>
  <c r="F11" i="12"/>
  <c r="H10" i="12"/>
  <c r="G10" i="12"/>
  <c r="F10" i="12"/>
  <c r="H7" i="12"/>
  <c r="G7" i="12"/>
  <c r="F7" i="12"/>
  <c r="G6" i="12"/>
  <c r="H6" i="12"/>
  <c r="H3" i="12"/>
  <c r="G3" i="12"/>
  <c r="F3" i="12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<sst xmlns="http://schemas.openxmlformats.org/spreadsheetml/2006/main" count="33049" uniqueCount="8418">
  <si>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</si>
  <si>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</si>
  <si>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</si>
  <si>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</si>
  <si>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</si>
  <si>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</si>
  <si>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</si>
  <si>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</si>
  <si>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</si>
  <si>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</si>
  <si>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</si>
  <si>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</si>
  <si>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</si>
  <si>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</si>
  <si>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</si>
  <si>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</si>
  <si>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</si>
  <si>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</si>
  <si>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</si>
  <si>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</si>
  <si>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</si>
  <si>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</si>
  <si>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</si>
  <si>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</si>
  <si>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</si>
  <si>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</si>
  <si>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</si>
  <si>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</si>
  <si>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</si>
  <si>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</si>
  <si>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</si>
  <si>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</si>
  <si>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</si>
  <si>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</si>
  <si>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</si>
  <si>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</si>
  <si>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</si>
  <si>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</si>
  <si>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</si>
  <si>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</si>
  <si>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</si>
  <si>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</si>
  <si>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</si>
  <si>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</si>
  <si>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</si>
  <si>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</si>
  <si>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</si>
  <si>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</si>
  <si>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</si>
  <si>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</si>
  <si>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</si>
  <si>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</si>
  <si>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</si>
  <si>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</si>
  <si>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</si>
  <si>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</si>
  <si>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</si>
  <si>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</si>
  <si>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</si>
  <si>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</si>
  <si>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</si>
  <si>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</si>
  <si>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</si>
  <si>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</si>
  <si>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</si>
  <si>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</si>
  <si>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</si>
  <si>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</si>
  <si>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</si>
  <si>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</si>
  <si>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</si>
  <si>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</si>
  <si>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</si>
  <si>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</si>
  <si>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</si>
  <si>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</si>
  <si>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</si>
  <si>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</si>
  <si>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</si>
  <si>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</si>
  <si>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</si>
  <si>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</si>
  <si>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</si>
  <si>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</si>
  <si>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</si>
  <si>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</si>
  <si>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</si>
  <si>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</si>
  <si>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</si>
  <si>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</si>
  <si>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</si>
  <si>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</si>
  <si>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</si>
  <si>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</si>
  <si>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</si>
  <si>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</si>
  <si>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</si>
  <si>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</si>
  <si>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</si>
  <si>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</si>
  <si>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</si>
  <si>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</si>
  <si>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</si>
  <si>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</si>
  <si>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</si>
  <si>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</si>
  <si>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</si>
  <si>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</si>
  <si>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</si>
  <si>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</si>
  <si>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</si>
  <si>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</si>
  <si>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</si>
  <si>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</si>
  <si>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</si>
  <si>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</si>
  <si>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</si>
  <si>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</si>
  <si>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</si>
  <si>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</si>
  <si>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</si>
  <si>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</si>
  <si>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</si>
  <si>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</si>
  <si>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</si>
  <si>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</si>
  <si>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</si>
  <si>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</si>
  <si>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</si>
  <si>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</si>
  <si>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</si>
  <si>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</si>
  <si>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</si>
  <si>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</si>
  <si>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</si>
  <si>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</si>
  <si>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</si>
  <si>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</si>
  <si>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</si>
  <si>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</si>
  <si>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</si>
  <si>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</si>
  <si>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</si>
  <si>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</si>
  <si>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</si>
  <si>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</si>
  <si>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</si>
  <si>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</si>
  <si>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</si>
  <si>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</si>
  <si>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</si>
  <si>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</si>
  <si>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</si>
  <si>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</si>
  <si>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</si>
  <si>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</si>
  <si>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</si>
  <si>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</si>
  <si>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</si>
  <si>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</si>
  <si>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</si>
  <si>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</si>
  <si>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</si>
  <si>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</si>
  <si>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</si>
  <si>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</si>
  <si>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</si>
  <si>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</si>
  <si>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</si>
  <si>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</si>
  <si>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</si>
  <si>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</si>
  <si>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</si>
  <si>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</si>
  <si>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</si>
  <si>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</si>
  <si>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</si>
  <si>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</si>
  <si>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</si>
  <si>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</si>
  <si>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</si>
  <si>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</si>
  <si>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</si>
  <si>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</si>
  <si>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</si>
  <si>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</si>
  <si>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</si>
  <si>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</si>
  <si>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</si>
  <si>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</si>
  <si>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</si>
  <si>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</si>
  <si>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</si>
  <si>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</si>
  <si>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</si>
  <si>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</si>
  <si>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</si>
  <si>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</si>
  <si>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</si>
  <si>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</si>
  <si>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</si>
  <si>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</si>
  <si>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</si>
  <si>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</si>
  <si>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</si>
  <si>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</si>
  <si>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</si>
  <si>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</si>
  <si>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</si>
  <si>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</si>
  <si>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</si>
  <si>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</si>
  <si>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</si>
  <si>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</si>
  <si>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</si>
  <si>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</si>
  <si>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</si>
  <si>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</si>
  <si>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</si>
  <si>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</si>
  <si>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</si>
  <si>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</si>
  <si>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</si>
  <si>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</si>
  <si>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</si>
  <si>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</si>
  <si>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</si>
  <si>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</si>
  <si>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</si>
  <si>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</si>
  <si>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</si>
  <si>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</si>
  <si>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</si>
  <si>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</si>
  <si>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</si>
  <si>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</si>
  <si>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</si>
  <si>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</si>
  <si>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</si>
  <si>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</si>
  <si>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</si>
  <si>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</si>
  <si>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</si>
  <si>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</si>
  <si>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</si>
  <si>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</si>
  <si>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</si>
  <si>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</si>
  <si>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</si>
  <si>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</si>
  <si>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</si>
  <si>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</si>
  <si>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</si>
  <si>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</si>
  <si>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</si>
  <si>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</si>
  <si>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</si>
  <si>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</si>
  <si>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</si>
  <si>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</si>
  <si>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</si>
  <si>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</si>
  <si>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</si>
  <si>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</si>
  <si>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</si>
  <si>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</si>
  <si>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</si>
  <si>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</si>
  <si>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</si>
  <si>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</si>
  <si>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</si>
  <si>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</si>
  <si>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</si>
  <si>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</si>
  <si>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</si>
  <si>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</si>
  <si>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</si>
  <si>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</si>
  <si>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</si>
  <si>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</si>
  <si>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</si>
  <si>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</si>
  <si>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</si>
  <si>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</si>
  <si>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</si>
  <si>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</si>
  <si>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</si>
  <si>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</si>
  <si>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</si>
  <si>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</si>
  <si>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</si>
  <si>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</si>
  <si>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</si>
  <si>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</si>
  <si>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</si>
  <si>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</si>
  <si>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</si>
  <si>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</si>
  <si>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</si>
  <si>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</si>
  <si>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</si>
  <si>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</si>
  <si>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</si>
  <si>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</si>
  <si>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</si>
  <si>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</si>
  <si>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</si>
  <si>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</si>
  <si>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</si>
  <si>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</si>
  <si>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</si>
  <si>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</si>
  <si>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</si>
  <si>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</si>
  <si>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</si>
  <si>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</si>
  <si>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</si>
  <si>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</si>
  <si>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</si>
  <si>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</si>
  <si>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</si>
  <si>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</si>
  <si>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</si>
  <si>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</si>
  <si>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</si>
  <si>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</si>
  <si>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</si>
  <si>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</si>
  <si>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</si>
  <si>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</si>
  <si>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</si>
  <si>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</si>
  <si>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</si>
  <si>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</si>
  <si>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</si>
  <si>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</si>
  <si>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</si>
  <si>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</si>
  <si>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</si>
  <si>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</si>
  <si>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</si>
  <si>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</si>
  <si>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</si>
  <si>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</si>
  <si>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</si>
  <si>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</si>
  <si>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</si>
  <si>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</si>
  <si>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</si>
  <si>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</si>
  <si>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</si>
  <si>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</si>
  <si>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</si>
  <si>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</si>
  <si>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</si>
  <si>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</si>
  <si>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</si>
  <si>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</si>
  <si>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</si>
  <si>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</si>
  <si>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</si>
  <si>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</si>
  <si>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</si>
  <si>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</si>
  <si>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</si>
  <si>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</si>
  <si>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</si>
  <si>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</si>
  <si>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</si>
  <si>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</si>
  <si>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</si>
  <si>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</si>
  <si>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</si>
  <si>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</si>
  <si>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</si>
  <si>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</si>
  <si>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</si>
  <si>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</si>
  <si>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</si>
  <si>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</si>
  <si>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</si>
  <si>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</si>
  <si>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</si>
  <si>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</si>
  <si>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</si>
  <si>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</si>
  <si>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</si>
  <si>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</si>
  <si>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</si>
  <si>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</si>
  <si>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</si>
  <si>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</si>
  <si>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</si>
  <si>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</si>
  <si>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</si>
  <si>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</si>
  <si>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</si>
  <si>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</si>
  <si>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</si>
  <si>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</si>
  <si>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</si>
  <si>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</si>
  <si>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</si>
  <si>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</si>
  <si>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</si>
  <si>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</si>
  <si>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</si>
  <si>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</si>
  <si>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</si>
  <si>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</si>
  <si>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</si>
  <si>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</si>
  <si>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</si>
  <si>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</si>
  <si>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</si>
  <si>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</si>
  <si>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</si>
  <si>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</si>
  <si>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</si>
  <si>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</si>
  <si>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</si>
  <si>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</si>
  <si>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</si>
  <si>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</si>
  <si>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</si>
  <si>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</si>
  <si>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</si>
  <si>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</si>
  <si>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</si>
  <si>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</si>
  <si>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</si>
  <si>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</si>
  <si>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</si>
  <si>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</si>
  <si>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</si>
  <si>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</si>
  <si>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</si>
  <si>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</si>
  <si>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</si>
  <si>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</si>
  <si>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</si>
  <si>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</si>
  <si>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</si>
  <si>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</si>
  <si>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</si>
  <si>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</si>
  <si>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</si>
  <si>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</si>
  <si>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</si>
  <si>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</si>
  <si>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</si>
  <si>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</si>
  <si>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</si>
  <si>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</si>
  <si>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</si>
  <si>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</si>
  <si>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</si>
  <si>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</si>
  <si>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</si>
  <si>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</si>
  <si>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</si>
  <si>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</si>
  <si>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</si>
  <si>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</si>
  <si>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</si>
  <si>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</si>
  <si>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</si>
  <si>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</si>
  <si>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</si>
  <si>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</si>
  <si>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</si>
  <si>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</si>
  <si>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</si>
  <si>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</si>
  <si>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</si>
  <si>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</si>
  <si>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</si>
  <si>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</si>
  <si>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</si>
  <si>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</si>
  <si>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</si>
  <si>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</si>
  <si>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</si>
  <si>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</si>
  <si>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</si>
  <si>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</si>
  <si>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</si>
  <si>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</si>
  <si>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</si>
  <si>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</si>
  <si>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</si>
  <si>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</si>
  <si>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</si>
  <si>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</si>
  <si>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</si>
  <si>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</si>
  <si>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</si>
  <si>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</si>
  <si>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</si>
  <si>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</si>
  <si>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</si>
  <si>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</si>
  <si>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</si>
  <si>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</si>
  <si>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</si>
  <si>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</si>
  <si>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</si>
  <si>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</si>
  <si>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</si>
  <si>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</si>
  <si>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</si>
  <si>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</si>
  <si>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</si>
  <si>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</si>
  <si>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</si>
  <si>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</si>
  <si>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</si>
  <si>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</si>
  <si>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</si>
  <si>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</si>
  <si>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</si>
  <si>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</si>
  <si>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</si>
  <si>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</si>
  <si>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</si>
  <si>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</si>
  <si>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</si>
  <si>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</si>
  <si>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</si>
  <si>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</si>
  <si>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</si>
  <si>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</si>
  <si>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</si>
  <si>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</si>
  <si>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</si>
  <si>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</si>
  <si>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</si>
  <si>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</si>
  <si>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</si>
  <si>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</si>
  <si>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</si>
  <si>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</si>
  <si>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</si>
  <si>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</si>
  <si>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</si>
  <si>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</si>
  <si>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</si>
  <si>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</si>
  <si>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</si>
  <si>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</si>
  <si>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</si>
  <si>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</si>
  <si>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</si>
  <si>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</si>
  <si>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</si>
  <si>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</si>
  <si>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</si>
  <si>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</si>
  <si>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</si>
  <si>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</si>
  <si>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</si>
  <si>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</si>
  <si>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</si>
  <si>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</si>
  <si>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</si>
  <si>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</si>
  <si>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</si>
  <si>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</si>
  <si>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</si>
  <si>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</si>
  <si>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</si>
  <si>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</si>
  <si>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</si>
  <si>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</si>
  <si>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</si>
  <si>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</si>
  <si>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</si>
  <si>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</si>
  <si>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</si>
  <si>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</si>
  <si>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</si>
  <si>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</si>
  <si>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</si>
  <si>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</si>
  <si>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</si>
  <si>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</si>
  <si>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</si>
  <si>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</si>
  <si>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</si>
  <si>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</si>
  <si>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</si>
  <si>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</si>
  <si>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</si>
  <si>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</si>
  <si>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</si>
  <si>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</si>
  <si>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</si>
  <si>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</si>
  <si>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</si>
  <si>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</si>
  <si>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</si>
  <si>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</si>
  <si>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</si>
  <si>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</si>
  <si>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</si>
  <si>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</si>
  <si>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</si>
  <si>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</si>
  <si>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</si>
  <si>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</si>
  <si>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</si>
  <si>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</si>
  <si>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</si>
  <si>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</si>
  <si>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</si>
  <si>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</si>
  <si>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</si>
  <si>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</si>
  <si>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</si>
  <si>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</si>
  <si>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</si>
  <si>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</si>
  <si>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</si>
  <si>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</si>
  <si>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</si>
  <si>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</si>
  <si>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</si>
  <si>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</si>
  <si>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</si>
  <si>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</si>
  <si>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</si>
  <si>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</si>
  <si>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</si>
  <si>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</si>
  <si>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</si>
  <si>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</si>
  <si>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</si>
  <si>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</si>
  <si>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</si>
  <si>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</si>
  <si>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</si>
  <si>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</si>
  <si>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</si>
  <si>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</si>
  <si>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</si>
  <si>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</si>
  <si>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</si>
  <si>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</si>
  <si>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</si>
  <si>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</si>
  <si>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</si>
  <si>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</si>
  <si>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</si>
  <si>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</si>
  <si>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</si>
  <si>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</si>
  <si>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</si>
  <si>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</si>
  <si>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</si>
  <si>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</si>
  <si>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</si>
  <si>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</si>
  <si>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</si>
  <si>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</si>
  <si>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</si>
  <si>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</si>
  <si>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</si>
  <si>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</si>
  <si>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</si>
  <si>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</si>
  <si>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</si>
  <si>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</si>
  <si>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</si>
  <si>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</si>
  <si>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</si>
  <si>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</si>
  <si>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</si>
  <si>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</si>
  <si>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</si>
  <si>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</si>
  <si>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</si>
  <si>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</si>
  <si>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</si>
  <si>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</si>
  <si>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</si>
  <si>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</si>
  <si>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</si>
  <si>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</si>
  <si>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</si>
  <si>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</si>
  <si>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</si>
  <si>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</si>
  <si>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</si>
  <si>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</si>
  <si>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</si>
  <si>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</si>
  <si>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</si>
  <si>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</si>
  <si>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</si>
  <si>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</si>
  <si>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</si>
  <si>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</si>
  <si>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</si>
  <si>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</si>
  <si>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</si>
  <si>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</si>
  <si>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</si>
  <si>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</si>
  <si>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</si>
  <si>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</si>
  <si>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</si>
  <si>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</si>
  <si>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</si>
  <si>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</si>
  <si>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</si>
  <si>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</si>
  <si>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</si>
  <si>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</si>
  <si>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</si>
  <si>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</si>
  <si>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</si>
  <si>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</si>
  <si>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</si>
  <si>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</si>
  <si>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</si>
  <si>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</si>
  <si>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</si>
  <si>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</si>
  <si>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</si>
  <si>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</si>
  <si>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</si>
  <si>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</si>
  <si>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</si>
  <si>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</si>
  <si>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</si>
  <si>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</si>
  <si>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</si>
  <si>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</si>
  <si>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</si>
  <si>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</si>
  <si>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</si>
  <si>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</si>
  <si>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</si>
  <si>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</si>
  <si>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</si>
  <si>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</si>
  <si>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</si>
  <si>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</si>
  <si>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</si>
  <si>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</si>
  <si>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</si>
  <si>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</si>
  <si>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</si>
  <si>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</si>
  <si>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</si>
  <si>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</si>
  <si>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</si>
  <si>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</si>
  <si>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</si>
  <si>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</si>
  <si>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</si>
  <si>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</si>
  <si>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</si>
  <si>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</si>
  <si>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</si>
  <si>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</si>
  <si>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</si>
  <si>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</si>
  <si>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</si>
  <si>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</si>
  <si>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</si>
  <si>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</si>
  <si>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</si>
  <si>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</si>
  <si>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</si>
  <si>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</si>
  <si>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</si>
  <si>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</si>
  <si>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</si>
  <si>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</si>
  <si>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</si>
  <si>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</si>
  <si>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</si>
  <si>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</si>
  <si>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</si>
  <si>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</si>
  <si>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</si>
  <si>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</si>
  <si>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</si>
  <si>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</si>
  <si>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</si>
  <si>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</si>
  <si>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</si>
  <si>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</si>
  <si>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</si>
  <si>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</si>
  <si>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</si>
  <si>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</si>
  <si>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</si>
  <si>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</si>
  <si>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</si>
  <si>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</si>
  <si>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</si>
  <si>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</si>
  <si>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</si>
  <si>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</si>
  <si>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</si>
  <si>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</si>
  <si>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</si>
  <si>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</si>
  <si>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</si>
  <si>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</si>
  <si>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</si>
  <si>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</si>
  <si>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</si>
  <si>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</si>
  <si>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</si>
  <si>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</si>
  <si>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</si>
  <si>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</si>
  <si>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</si>
  <si>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</si>
  <si>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</si>
  <si>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</si>
  <si>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</si>
  <si>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</si>
  <si>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</si>
  <si>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</si>
  <si>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</si>
  <si>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</si>
  <si>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</si>
  <si>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</si>
  <si>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</si>
  <si>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</si>
  <si>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</si>
  <si>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</si>
  <si>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</si>
  <si>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</si>
  <si>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</si>
  <si>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</si>
  <si>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</si>
  <si>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</si>
  <si>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</si>
  <si>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</si>
  <si>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</si>
  <si>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</si>
  <si>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</si>
  <si>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</si>
  <si>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</si>
  <si>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</si>
  <si>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</si>
  <si>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</si>
  <si>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</si>
  <si>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</si>
  <si>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</si>
  <si>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</si>
  <si>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</si>
  <si>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</si>
  <si>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</si>
  <si>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</si>
  <si>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</si>
  <si>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</si>
  <si>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</si>
  <si>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</si>
  <si>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</si>
  <si>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</si>
  <si>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</si>
  <si>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</si>
  <si>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</si>
  <si>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</si>
  <si>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</si>
  <si>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</si>
  <si>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</si>
  <si>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</si>
  <si>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</si>
  <si>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</si>
  <si>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</si>
  <si>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</si>
  <si>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</si>
  <si>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</si>
  <si>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</si>
  <si>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</si>
  <si>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</si>
  <si>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</si>
  <si>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</si>
  <si>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</si>
  <si>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</si>
  <si>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</si>
  <si>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</si>
  <si>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</si>
  <si>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</si>
  <si>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</si>
  <si>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</si>
  <si>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</si>
  <si>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</si>
  <si>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</si>
  <si>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</si>
  <si>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</si>
  <si>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</si>
  <si>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</si>
  <si>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</si>
  <si>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</si>
  <si>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</si>
  <si>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</si>
  <si>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</si>
  <si>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</si>
  <si>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</si>
  <si>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</si>
  <si>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</si>
  <si>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</si>
  <si>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</si>
  <si>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</si>
  <si>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</si>
  <si>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</si>
  <si>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</si>
  <si>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</si>
  <si>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</si>
  <si>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</si>
  <si>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</si>
  <si>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</si>
  <si>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</si>
  <si>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</si>
  <si>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</si>
  <si>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</si>
  <si>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</si>
  <si>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</si>
  <si>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</si>
  <si>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</si>
  <si>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</si>
  <si>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</si>
  <si>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</si>
  <si>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</si>
  <si>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</si>
  <si>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</si>
  <si>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</si>
  <si>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</si>
  <si>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</si>
  <si>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</si>
  <si>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</si>
  <si>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</si>
  <si>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</si>
  <si>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</si>
  <si>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</si>
  <si>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</si>
  <si>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</si>
  <si>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</si>
  <si>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</si>
  <si>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</si>
  <si>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</si>
  <si>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</si>
  <si>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</si>
  <si>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</si>
  <si>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</si>
  <si>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</si>
  <si>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</si>
  <si>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</si>
  <si>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</si>
  <si>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</si>
  <si>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</si>
  <si>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</si>
  <si>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</si>
  <si>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</si>
  <si>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</si>
  <si>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</si>
  <si>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</si>
  <si>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</si>
  <si>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</si>
  <si>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</si>
  <si>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</si>
  <si>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</si>
  <si>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</si>
  <si>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</si>
  <si>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</si>
  <si>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</si>
  <si>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</si>
  <si>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</si>
  <si>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</si>
  <si>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</si>
  <si>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</si>
  <si>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</si>
  <si>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</si>
  <si>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</si>
  <si>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</si>
  <si>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</si>
  <si>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</si>
  <si>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</si>
  <si>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</si>
  <si>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</si>
  <si>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</si>
  <si>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</si>
  <si>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</si>
  <si>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</si>
  <si>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</si>
  <si>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</si>
  <si>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</si>
  <si>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</si>
  <si>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</si>
  <si>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</si>
  <si>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</si>
  <si>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</si>
  <si>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</si>
  <si>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</si>
  <si>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</si>
  <si>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</si>
  <si>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</si>
  <si>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</si>
  <si>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</si>
  <si>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</si>
  <si>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</si>
  <si>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</si>
  <si>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</si>
  <si>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</si>
  <si>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</si>
  <si>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</si>
  <si>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</si>
  <si>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</si>
  <si>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</si>
  <si>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</si>
  <si>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</si>
  <si>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</si>
  <si>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</si>
  <si>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</si>
  <si>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</si>
  <si>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</si>
  <si>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</si>
  <si>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</si>
  <si>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</si>
  <si>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</si>
  <si>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</si>
  <si>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</si>
  <si>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</si>
  <si>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</si>
  <si>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</si>
  <si>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</si>
  <si>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</si>
  <si>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</si>
  <si>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</si>
  <si>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</si>
  <si>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</si>
  <si>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</si>
  <si>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</si>
  <si>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</si>
  <si>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</si>
  <si>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</si>
  <si>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</si>
  <si>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</si>
  <si>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</si>
  <si>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</si>
  <si>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</si>
  <si>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</si>
  <si>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</si>
  <si>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</si>
  <si>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</si>
  <si>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</si>
  <si>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</si>
  <si>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</si>
  <si>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</si>
  <si>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</si>
  <si>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</si>
  <si>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</si>
  <si>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</si>
  <si>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</si>
  <si>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</si>
  <si>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</si>
  <si>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</si>
  <si>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</si>
  <si>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</si>
  <si>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</si>
  <si>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</si>
  <si>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</si>
  <si>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</si>
  <si>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</si>
  <si>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</si>
  <si>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</si>
  <si>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</si>
  <si>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</si>
  <si>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</si>
  <si>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</si>
  <si>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</si>
  <si>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</si>
  <si>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</si>
  <si>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</si>
  <si>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</si>
  <si>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</si>
  <si>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</si>
  <si>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</si>
  <si>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</si>
  <si>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</si>
  <si>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</si>
  <si>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</si>
  <si>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</si>
  <si>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</si>
  <si>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</si>
  <si>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</si>
  <si>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</si>
  <si>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</si>
  <si>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</si>
  <si>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</si>
  <si>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</si>
  <si>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</si>
  <si>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</si>
  <si>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</si>
  <si>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</si>
  <si>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</si>
  <si>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</si>
  <si>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</si>
  <si>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</si>
  <si>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</si>
  <si>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</si>
  <si>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</si>
  <si>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</si>
  <si>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</si>
  <si>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</si>
  <si>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</si>
  <si>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</si>
  <si>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</si>
  <si>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</si>
  <si>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</si>
  <si>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</si>
  <si>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</si>
  <si>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</si>
  <si>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</si>
  <si>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</si>
  <si>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</si>
  <si>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</si>
  <si>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</si>
  <si>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</si>
  <si>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</si>
  <si>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</si>
  <si>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</si>
  <si>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</si>
  <si>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</si>
  <si>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</si>
  <si>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</si>
  <si>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</si>
  <si>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</si>
  <si>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</si>
  <si>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</si>
  <si>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</si>
  <si>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</si>
  <si>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</si>
  <si>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</si>
  <si>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</si>
  <si>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</si>
  <si>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</si>
  <si>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</si>
  <si>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</si>
  <si>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</si>
  <si>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</si>
  <si>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</si>
  <si>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</si>
  <si>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</si>
  <si>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</si>
  <si>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</si>
  <si>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</si>
  <si>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</si>
  <si>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</si>
  <si>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</si>
  <si>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</si>
  <si>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</si>
  <si>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</si>
  <si>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</si>
  <si>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</si>
  <si>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</si>
  <si>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</si>
  <si>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</si>
  <si>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</si>
  <si>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</si>
  <si>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</si>
  <si>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</si>
  <si>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</si>
  <si>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</si>
  <si>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</si>
  <si>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</si>
  <si>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</si>
  <si>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</si>
  <si>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</si>
  <si>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</si>
  <si>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</si>
  <si>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</si>
  <si>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</si>
  <si>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</si>
  <si>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</si>
  <si>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</si>
  <si>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</si>
  <si>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</si>
  <si>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</si>
  <si>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</si>
  <si>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</si>
  <si>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</si>
  <si>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</si>
  <si>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</si>
  <si>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</si>
  <si>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</si>
  <si>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</si>
  <si>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</si>
  <si>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</si>
  <si>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</si>
  <si>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</si>
  <si>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</si>
  <si>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</si>
  <si>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</si>
  <si>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</si>
  <si>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</si>
  <si>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</si>
  <si>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</si>
  <si>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</si>
  <si>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</si>
  <si>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</si>
  <si>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</si>
  <si>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</si>
  <si>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</si>
  <si>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</si>
  <si>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</si>
  <si>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</si>
  <si>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</si>
  <si>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</si>
  <si>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</si>
  <si>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</si>
  <si>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</si>
  <si>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</si>
  <si>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</si>
  <si>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</si>
  <si>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</si>
  <si>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</si>
  <si>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</si>
  <si>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</si>
  <si>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</si>
  <si>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</si>
  <si>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</si>
  <si>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</si>
  <si>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</si>
  <si>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</si>
  <si>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</si>
  <si>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</si>
  <si>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</si>
  <si>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</si>
  <si>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</si>
  <si>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</si>
  <si>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</si>
  <si>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</si>
  <si>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</si>
  <si>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</si>
  <si>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</si>
  <si>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</si>
  <si>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</si>
  <si>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</si>
  <si>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</si>
  <si>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</si>
  <si>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</si>
  <si>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</si>
  <si>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</si>
  <si>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</si>
  <si>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</si>
  <si>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</si>
  <si>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</si>
  <si>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</si>
  <si>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</si>
  <si>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</si>
  <si>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</si>
  <si>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</si>
  <si>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</si>
  <si>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</si>
  <si>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</si>
  <si>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</si>
  <si>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</si>
  <si>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</si>
  <si>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</si>
  <si>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</si>
  <si>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</si>
  <si>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</si>
  <si>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</si>
  <si>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</si>
  <si>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</si>
  <si>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</si>
  <si>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</si>
  <si>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</si>
  <si>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</si>
  <si>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</si>
  <si>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</si>
  <si>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</si>
  <si>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</si>
  <si>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</si>
  <si>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</si>
  <si>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</si>
  <si>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</si>
  <si>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</si>
  <si>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</si>
  <si>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</si>
  <si>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</si>
  <si>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</si>
  <si>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</si>
  <si>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</si>
  <si>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</si>
  <si>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</si>
  <si>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</si>
  <si>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</si>
  <si>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</si>
  <si>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</si>
  <si>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</si>
  <si>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</si>
  <si>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</si>
  <si>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</si>
  <si>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</si>
  <si>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</si>
  <si>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</si>
  <si>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</si>
  <si>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</si>
  <si>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</si>
  <si>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</si>
  <si>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</si>
  <si>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</si>
  <si>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</si>
  <si>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</si>
  <si>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</si>
  <si>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</si>
  <si>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</si>
  <si>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</si>
  <si>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</si>
  <si>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</si>
  <si>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</si>
  <si>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</si>
  <si>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</si>
  <si>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</si>
  <si>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</si>
  <si>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</si>
  <si>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</si>
  <si>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</si>
  <si>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</si>
  <si>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</si>
  <si>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</si>
  <si>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</si>
  <si>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</si>
  <si>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</si>
  <si>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</si>
  <si>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</si>
  <si>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</si>
  <si>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</si>
  <si>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</si>
  <si>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</si>
  <si>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</si>
  <si>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</si>
  <si>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</si>
  <si>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</si>
  <si>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</si>
  <si>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</si>
  <si>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</si>
  <si>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</si>
  <si>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</si>
  <si>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</si>
  <si>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</si>
  <si>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</si>
  <si>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</si>
  <si>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</si>
  <si>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</si>
  <si>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</si>
  <si>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</si>
  <si>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</si>
  <si>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</si>
  <si>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</si>
  <si>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</si>
  <si>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</si>
  <si>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</si>
  <si>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</si>
  <si>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</si>
  <si>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</si>
  <si>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</si>
  <si>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</si>
  <si>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</si>
  <si>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</si>
  <si>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</si>
  <si>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</si>
  <si>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</si>
  <si>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</si>
  <si>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</si>
  <si>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</si>
  <si>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</si>
  <si>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</si>
  <si>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</si>
  <si>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</si>
  <si>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</si>
  <si>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</si>
  <si>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</si>
  <si>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</si>
  <si>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</si>
  <si>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</si>
  <si>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</si>
  <si>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</si>
  <si>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</si>
  <si>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</si>
  <si>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</si>
  <si>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</si>
  <si>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</si>
  <si>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</si>
  <si>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</si>
  <si>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</si>
  <si>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</si>
  <si>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</si>
  <si>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</si>
  <si>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</si>
  <si>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</si>
  <si>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</si>
  <si>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</si>
  <si>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</si>
  <si>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</si>
  <si>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</si>
  <si>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</si>
  <si>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</si>
  <si>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</si>
  <si>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</si>
  <si>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</si>
  <si>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</si>
  <si>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</si>
  <si>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</si>
  <si>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</si>
  <si>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</si>
  <si>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</si>
  <si>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</si>
  <si>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</si>
  <si>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</si>
  <si>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</si>
  <si>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</si>
  <si>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</si>
  <si>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</si>
  <si>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</si>
  <si>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</si>
  <si>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</si>
  <si>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</si>
  <si>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</si>
  <si>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</si>
  <si>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</si>
  <si>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</si>
  <si>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</si>
  <si>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</si>
  <si>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</si>
  <si>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</si>
  <si>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</si>
  <si>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</si>
  <si>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</si>
  <si>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</si>
  <si>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</si>
  <si>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</si>
  <si>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</si>
  <si>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</si>
  <si>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</si>
  <si>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</si>
  <si>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</si>
  <si>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</si>
  <si>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</si>
  <si>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</si>
  <si>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</si>
  <si>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</si>
  <si>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</si>
  <si>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</si>
  <si>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</si>
  <si>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</si>
  <si>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</si>
  <si>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</si>
  <si>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</si>
  <si>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</si>
  <si>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</si>
  <si>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</si>
  <si>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</si>
  <si>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</si>
  <si>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</si>
  <si>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</si>
  <si>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</si>
  <si>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</si>
  <si>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</si>
  <si>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</si>
  <si>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</si>
  <si>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</si>
  <si>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</si>
  <si>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</si>
  <si>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</si>
  <si>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</si>
  <si>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</si>
  <si>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</si>
  <si>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</si>
  <si>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</si>
  <si>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</si>
  <si>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</si>
  <si>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</si>
  <si>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</si>
  <si>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</si>
  <si>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</si>
  <si>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</si>
  <si>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</si>
  <si>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</si>
  <si>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</si>
  <si>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</si>
  <si>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</si>
  <si>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</si>
  <si>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</si>
  <si>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</si>
  <si>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</si>
  <si>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</si>
  <si>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</si>
  <si>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</si>
  <si>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</si>
  <si>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</si>
  <si>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</si>
  <si>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</si>
  <si>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</si>
  <si>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</si>
  <si>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</si>
  <si>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</si>
  <si>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</si>
  <si>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</si>
  <si>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</si>
  <si>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</si>
  <si>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</si>
  <si>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</si>
  <si>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</si>
  <si>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</si>
  <si>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</si>
  <si>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</si>
  <si>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</si>
  <si>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</si>
  <si>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</si>
  <si>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</si>
  <si>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</si>
  <si>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</si>
  <si>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</si>
  <si>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</si>
  <si>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</si>
  <si>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</si>
  <si>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</si>
  <si>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</si>
  <si>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</si>
  <si>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</si>
  <si>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</si>
  <si>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</si>
  <si>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</si>
  <si>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</si>
  <si>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</si>
  <si>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</si>
  <si>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</si>
  <si>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</si>
  <si>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</si>
  <si>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</si>
  <si>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</si>
  <si>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</si>
  <si>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</si>
  <si>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</si>
  <si>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</si>
  <si>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</si>
  <si>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</si>
  <si>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</si>
  <si>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</si>
  <si>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</si>
  <si>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</si>
  <si>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</si>
  <si>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</si>
  <si>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</si>
  <si>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</si>
  <si>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</si>
  <si>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</si>
  <si>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</si>
  <si>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</si>
  <si>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</si>
  <si>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</si>
  <si>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</si>
  <si>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</si>
  <si>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</si>
  <si>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</si>
  <si>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</si>
  <si>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</si>
  <si>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</si>
  <si>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</si>
  <si>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</si>
  <si>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</si>
  <si>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</si>
  <si>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</si>
  <si>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</si>
  <si>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</si>
  <si>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</si>
  <si>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</si>
  <si>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</si>
  <si>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</si>
  <si>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</si>
  <si>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</si>
  <si>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</si>
  <si>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</si>
  <si>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</si>
  <si>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</si>
  <si>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</si>
  <si>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</si>
  <si>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</si>
  <si>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</si>
  <si>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</si>
  <si>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</si>
  <si>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</si>
  <si>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</si>
  <si>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</si>
  <si>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</si>
  <si>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</si>
  <si>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</si>
  <si>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</si>
  <si>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</si>
  <si>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</si>
  <si>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</si>
  <si>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</si>
  <si>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</si>
  <si>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</si>
  <si>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</si>
  <si>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</si>
  <si>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</si>
  <si>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</si>
  <si>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</si>
  <si>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</si>
  <si>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</si>
  <si>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</si>
  <si>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</si>
  <si>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</si>
  <si>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</si>
  <si>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</si>
  <si>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</si>
  <si>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</si>
  <si>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</si>
  <si>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</si>
  <si>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</si>
  <si>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</si>
  <si>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</si>
  <si>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</si>
  <si>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</si>
  <si>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</si>
  <si>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</si>
  <si>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</si>
  <si>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</si>
  <si>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</si>
  <si>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</si>
  <si>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</si>
  <si>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</si>
  <si>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</si>
  <si>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</si>
  <si>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</si>
  <si>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</si>
  <si>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</si>
  <si>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</si>
  <si>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</si>
  <si>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</si>
  <si>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</si>
  <si>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</si>
  <si>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</si>
  <si>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</si>
  <si>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</si>
  <si>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</si>
  <si>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</si>
  <si>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</si>
  <si>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</si>
  <si>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</si>
  <si>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</si>
  <si>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</si>
  <si>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</si>
  <si>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</si>
  <si>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</si>
  <si>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</si>
  <si>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</si>
  <si>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</si>
  <si>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</si>
  <si>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</si>
  <si>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</si>
  <si>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</si>
  <si>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</si>
  <si>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</si>
  <si>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</si>
  <si>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</si>
  <si>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</si>
  <si>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</si>
  <si>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</si>
  <si>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</si>
  <si>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</si>
  <si>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</si>
  <si>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</si>
  <si>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</si>
  <si>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</si>
  <si>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</si>
  <si>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</si>
  <si>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</si>
  <si>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</si>
  <si>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</si>
  <si>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</si>
  <si>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</si>
  <si>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</si>
  <si>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</si>
  <si>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</si>
  <si>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</si>
  <si>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</si>
  <si>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</si>
  <si>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</si>
  <si>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</si>
  <si>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</si>
  <si>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</si>
  <si>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</si>
  <si>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</si>
  <si>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</si>
  <si>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</si>
  <si>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</si>
  <si>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</si>
  <si>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</si>
  <si>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</si>
  <si>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</si>
  <si>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</si>
  <si>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</si>
  <si>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</si>
  <si>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</si>
  <si>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</si>
  <si>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</si>
  <si>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</si>
  <si>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</si>
  <si>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</si>
  <si>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</si>
  <si>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</si>
  <si>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</si>
  <si>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</si>
  <si>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</si>
  <si>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</si>
  <si>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</si>
  <si>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</si>
  <si>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</si>
  <si>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</si>
  <si>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</si>
  <si>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</si>
  <si>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</si>
  <si>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</si>
  <si>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</si>
  <si>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</si>
  <si>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</si>
  <si>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</si>
  <si>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</si>
  <si>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</si>
  <si>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</si>
  <si>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</si>
  <si>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</si>
  <si>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</si>
  <si>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</si>
  <si>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</si>
  <si>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</si>
  <si>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</si>
  <si>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</si>
  <si>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</si>
  <si>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</si>
  <si>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</si>
  <si>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</si>
  <si>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</si>
  <si>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</si>
  <si>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</si>
  <si>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</si>
  <si>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</si>
  <si>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</si>
  <si>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</si>
  <si>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</si>
  <si>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</si>
  <si>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</si>
  <si>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</si>
  <si>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</si>
  <si>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</si>
  <si>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</si>
  <si>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</si>
  <si>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</si>
  <si>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</si>
  <si>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</si>
  <si>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</si>
  <si>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</si>
  <si>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</si>
  <si>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</si>
  <si>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</si>
  <si>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</si>
  <si>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</si>
  <si>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</si>
  <si>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</si>
  <si>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</si>
  <si>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</si>
  <si>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</si>
  <si>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</si>
  <si>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</si>
  <si>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</si>
  <si>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</si>
  <si>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</si>
  <si>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</si>
  <si>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</si>
  <si>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</si>
  <si>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</si>
  <si>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</si>
  <si>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</si>
  <si>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</si>
  <si>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</si>
  <si>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</si>
  <si>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</si>
  <si>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</si>
  <si>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</si>
  <si>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</si>
  <si>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</si>
  <si>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</si>
  <si>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</si>
  <si>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</si>
  <si>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</si>
  <si>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</si>
  <si>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</si>
  <si>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</si>
  <si>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</si>
  <si>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</si>
  <si>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</si>
  <si>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</si>
  <si>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</si>
  <si>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</si>
  <si>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</si>
  <si>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</si>
  <si>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</si>
  <si>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</si>
  <si>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</si>
  <si>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</si>
  <si>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</si>
  <si>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</si>
  <si>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</si>
  <si>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</si>
  <si>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</si>
  <si>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</si>
  <si>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</si>
  <si>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</si>
  <si>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</si>
  <si>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</si>
  <si>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</si>
  <si>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</si>
  <si>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</si>
  <si>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</si>
  <si>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</si>
  <si>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</si>
  <si>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</si>
  <si>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</si>
  <si>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</si>
  <si>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</si>
  <si>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</si>
  <si>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</si>
  <si>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</si>
  <si>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</si>
  <si>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</si>
  <si>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</si>
  <si>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</si>
  <si>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</si>
  <si>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</si>
  <si>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</si>
  <si>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</si>
  <si>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</si>
  <si>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</si>
  <si>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</si>
  <si>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</si>
  <si>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</si>
  <si>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</si>
  <si>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</si>
  <si>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</si>
  <si>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</si>
  <si>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</si>
  <si>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</si>
  <si>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</si>
  <si>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</si>
  <si>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</si>
  <si>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</si>
  <si>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</si>
  <si>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</si>
  <si>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</si>
  <si>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</si>
  <si>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</si>
  <si>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</si>
  <si>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</si>
  <si>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</si>
  <si>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</si>
  <si>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</si>
  <si>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</si>
  <si>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</si>
  <si>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</si>
  <si>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</si>
  <si>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</si>
  <si>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</si>
  <si>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</si>
  <si>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</si>
  <si>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</si>
  <si>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</si>
  <si>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</si>
  <si>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</si>
  <si>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</si>
  <si>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</si>
  <si>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</si>
  <si>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</si>
  <si>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</si>
  <si>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</si>
  <si>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</si>
  <si>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</si>
  <si>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</si>
  <si>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</si>
  <si>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</si>
  <si>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</si>
  <si>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</si>
  <si>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</si>
  <si>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</si>
  <si>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</si>
  <si>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</si>
  <si>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</si>
  <si>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</si>
  <si>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</si>
  <si>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</si>
  <si>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</si>
  <si>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</si>
  <si>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</si>
  <si>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</si>
  <si>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</si>
  <si>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</si>
  <si>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</si>
  <si>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</si>
  <si>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</si>
  <si>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</si>
  <si>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</si>
  <si>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</si>
  <si>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</si>
  <si>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</si>
  <si>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</si>
  <si>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</si>
  <si>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</si>
  <si>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</si>
  <si>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</si>
  <si>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</si>
  <si>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</si>
  <si>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</si>
  <si>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</si>
  <si>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</si>
  <si>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</si>
  <si>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</si>
  <si>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</si>
  <si>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</si>
  <si>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</si>
  <si>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</si>
  <si>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</si>
  <si>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</si>
  <si>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</si>
  <si>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</si>
  <si>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</si>
  <si>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</si>
  <si>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</si>
  <si>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</si>
  <si>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</si>
  <si>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</si>
  <si>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</si>
  <si>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</si>
  <si>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</si>
  <si>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</si>
  <si>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</si>
  <si>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</si>
  <si>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</si>
  <si>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</si>
  <si>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</si>
  <si>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</si>
  <si>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</si>
  <si>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</si>
  <si>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</si>
  <si>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</si>
  <si>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</si>
  <si>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</si>
  <si>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</si>
  <si>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</si>
  <si>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</si>
  <si>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</si>
  <si>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</si>
  <si>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</si>
  <si>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</si>
  <si>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</si>
  <si>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</si>
  <si>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</si>
  <si>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</si>
  <si>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</si>
  <si>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</si>
  <si>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</si>
  <si>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</si>
  <si>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</si>
  <si>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</si>
  <si>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</si>
  <si>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</si>
  <si>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</si>
  <si>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</si>
  <si>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</si>
  <si>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</si>
  <si>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</si>
  <si>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</si>
  <si>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</si>
  <si>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</si>
  <si>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</si>
  <si>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</si>
  <si>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</si>
  <si>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</si>
  <si>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</si>
  <si>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</si>
  <si>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</si>
  <si>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</si>
  <si>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</si>
  <si>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</si>
  <si>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</si>
  <si>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</si>
  <si>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</si>
  <si>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</si>
  <si>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</si>
  <si>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</si>
  <si>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</si>
  <si>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</si>
  <si>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</si>
  <si>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</si>
  <si>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</si>
  <si>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</si>
  <si>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</si>
  <si>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</si>
  <si>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</si>
  <si>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</si>
  <si>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</si>
  <si>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</si>
  <si>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</si>
  <si>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</si>
  <si>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</si>
  <si>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</si>
  <si>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</si>
  <si>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</si>
  <si>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</si>
  <si>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</si>
  <si>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</si>
  <si>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</si>
  <si>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</si>
  <si>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</si>
  <si>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</si>
  <si>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</si>
  <si>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</si>
  <si>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</si>
  <si>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</si>
  <si>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</si>
  <si>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</si>
  <si>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</si>
  <si>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</si>
  <si>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</si>
  <si>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</si>
  <si>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</si>
  <si>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</si>
  <si>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</si>
  <si>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</si>
  <si>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</si>
  <si>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</si>
  <si>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</si>
  <si>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</si>
  <si>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</si>
  <si>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</si>
  <si>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</si>
  <si>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</si>
  <si>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</si>
  <si>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</si>
  <si>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</si>
  <si>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</si>
  <si>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</si>
  <si>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</si>
  <si>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</si>
  <si>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</si>
  <si>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</si>
  <si>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</si>
  <si>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</si>
  <si>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</si>
  <si>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</si>
  <si>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</si>
  <si>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</si>
  <si>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</si>
  <si>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</si>
  <si>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</si>
  <si>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</si>
  <si>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</si>
  <si>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</si>
  <si>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</si>
  <si>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</si>
  <si>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</si>
  <si>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</si>
  <si>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</si>
  <si>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</si>
  <si>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</si>
  <si>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</si>
  <si>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</si>
  <si>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</si>
  <si>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</si>
  <si>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</si>
  <si>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</si>
  <si>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</si>
  <si>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</si>
  <si>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</si>
  <si>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</si>
  <si>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</si>
  <si>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</si>
  <si>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</si>
  <si>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</si>
  <si>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</si>
  <si>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</si>
  <si>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</si>
  <si>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</si>
  <si>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</si>
  <si>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</si>
  <si>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</si>
  <si>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</si>
  <si>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</si>
  <si>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</si>
  <si>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</si>
  <si>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</si>
  <si>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</si>
  <si>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</si>
  <si>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</si>
  <si>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</si>
  <si>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</si>
  <si>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</si>
  <si>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</si>
  <si>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</si>
  <si>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</si>
  <si>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</si>
  <si>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</si>
  <si>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</si>
  <si>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</si>
  <si>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</si>
  <si>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</si>
  <si>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</si>
  <si>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</si>
  <si>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</si>
  <si>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</si>
  <si>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</si>
  <si>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</si>
  <si>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</si>
  <si>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</si>
  <si>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</si>
  <si>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</si>
  <si>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</si>
  <si>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</si>
  <si>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</si>
  <si>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</si>
  <si>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</si>
  <si>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</si>
  <si>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</si>
  <si>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</si>
  <si>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</si>
  <si>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</si>
  <si>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</si>
  <si>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</si>
  <si>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</si>
  <si>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</si>
  <si>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</si>
  <si>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</si>
  <si>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</si>
  <si>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</si>
  <si>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</si>
  <si>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</si>
  <si>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</si>
  <si>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</si>
  <si>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</si>
  <si>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</si>
  <si>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</si>
  <si>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</si>
  <si>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</si>
  <si>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</si>
  <si>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</si>
  <si>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</si>
  <si>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</si>
  <si>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</si>
  <si>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</si>
  <si>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</si>
  <si>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</si>
  <si>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</si>
  <si>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</si>
  <si>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</si>
  <si>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</si>
  <si>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</si>
  <si>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</si>
  <si>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</si>
  <si>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</si>
  <si>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</si>
  <si>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</si>
  <si>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</si>
  <si>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</si>
  <si>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</si>
  <si>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</si>
  <si>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</si>
  <si>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</si>
  <si>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</si>
  <si>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</si>
  <si>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</si>
  <si>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</si>
  <si>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</si>
  <si>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</si>
  <si>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</si>
  <si>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</si>
  <si>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</si>
  <si>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</si>
  <si>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</si>
  <si>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</si>
  <si>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</si>
  <si>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</si>
  <si>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</si>
  <si>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</si>
  <si>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</si>
  <si>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</si>
  <si>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</si>
  <si>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</si>
  <si>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</si>
  <si>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</si>
  <si>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</si>
  <si>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</si>
  <si>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</si>
  <si>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</si>
  <si>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</si>
  <si>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</si>
  <si>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</si>
  <si>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</si>
  <si>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</si>
  <si>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</si>
  <si>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</si>
  <si>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</si>
  <si>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</si>
  <si>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</si>
  <si>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</si>
  <si>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</si>
  <si>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</si>
  <si>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</si>
  <si>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</si>
  <si>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</si>
  <si>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</si>
  <si>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</si>
  <si>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</si>
  <si>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</si>
  <si>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</si>
  <si>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</si>
  <si>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</si>
  <si>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</si>
  <si>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</si>
  <si>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</si>
  <si>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</si>
  <si>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</si>
  <si>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</si>
  <si>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</si>
  <si>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</si>
  <si>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</si>
  <si>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</si>
  <si>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</si>
  <si>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</si>
  <si>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</si>
  <si>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</si>
  <si>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</si>
  <si>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</si>
  <si>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</si>
  <si>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</si>
  <si>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</si>
  <si>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</si>
  <si>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</si>
  <si>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</si>
  <si>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</si>
  <si>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</si>
  <si>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</si>
  <si>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</si>
  <si>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</si>
  <si>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</si>
  <si>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</si>
  <si>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</si>
  <si>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</si>
  <si>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</si>
  <si>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</si>
  <si>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</si>
  <si>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</si>
  <si>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</si>
  <si>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</si>
  <si>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</si>
  <si>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</si>
  <si>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</si>
  <si>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</si>
  <si>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</si>
  <si>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</si>
  <si>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</si>
  <si>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</si>
  <si>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</si>
  <si>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</si>
  <si>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</si>
  <si>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</si>
  <si>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</si>
  <si>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</si>
  <si>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</si>
  <si>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</si>
  <si>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</si>
  <si>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</si>
  <si>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</si>
  <si>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</si>
  <si>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</si>
  <si>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</si>
  <si>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</si>
  <si>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</si>
  <si>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</si>
  <si>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</si>
  <si>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</si>
  <si>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</si>
  <si>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</si>
  <si>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</si>
  <si>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</si>
  <si>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</si>
  <si>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</si>
  <si>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</si>
  <si>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</si>
  <si>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</si>
  <si>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</si>
  <si>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</si>
  <si>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</si>
  <si>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</si>
  <si>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</si>
  <si>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</si>
  <si>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</si>
  <si>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</si>
  <si>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</si>
  <si>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</si>
  <si>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</si>
  <si>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</si>
  <si>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</si>
  <si>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</si>
  <si>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</si>
  <si>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</si>
  <si>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</si>
  <si>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</si>
  <si>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</si>
  <si>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</si>
  <si>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</si>
  <si>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</si>
  <si>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</si>
  <si>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</si>
  <si>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</si>
  <si>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</si>
  <si>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</si>
  <si>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</si>
  <si>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</si>
  <si>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</si>
  <si>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</si>
  <si>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</si>
  <si>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</si>
  <si>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</si>
  <si>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</si>
  <si>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</si>
  <si>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</si>
  <si>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</si>
  <si>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</si>
  <si>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</si>
  <si>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</si>
  <si>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</si>
  <si>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</si>
  <si>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</si>
  <si>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</si>
  <si>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</si>
  <si>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</si>
  <si>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</si>
  <si>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</si>
  <si>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</si>
  <si>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</si>
  <si>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</si>
  <si>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</si>
  <si>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</si>
  <si>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</si>
  <si>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</si>
  <si>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</si>
  <si>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</si>
  <si>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</si>
  <si>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</si>
  <si>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</si>
  <si>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</si>
  <si>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</si>
  <si>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</si>
  <si>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</si>
  <si>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</si>
  <si>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</si>
  <si>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</si>
  <si>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</si>
  <si>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</si>
  <si>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</si>
  <si>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</si>
  <si>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</si>
  <si>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</si>
  <si>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</si>
  <si>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</si>
  <si>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</si>
  <si>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</si>
  <si>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</si>
  <si>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</si>
  <si>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</si>
  <si>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</si>
  <si>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</si>
  <si>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</si>
  <si>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</si>
  <si>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</si>
  <si>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</si>
  <si>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</si>
  <si>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</si>
  <si>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</si>
  <si>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</si>
  <si>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</si>
  <si>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</si>
  <si>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</si>
  <si>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</si>
  <si>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</si>
  <si>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</si>
  <si>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</si>
  <si>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</si>
  <si>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</si>
  <si>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</si>
  <si>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</si>
  <si>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</si>
  <si>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</si>
  <si>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</si>
  <si>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</si>
  <si>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</si>
  <si>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</si>
  <si>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</si>
  <si>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</si>
  <si>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</si>
  <si>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</si>
  <si>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</si>
  <si>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</si>
  <si>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</si>
  <si>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</si>
  <si>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</si>
  <si>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</si>
  <si>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</si>
  <si>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</si>
  <si>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</si>
  <si>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</si>
  <si>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</si>
  <si>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</si>
  <si>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</si>
  <si>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</si>
  <si>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</si>
  <si>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</si>
  <si>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</si>
  <si>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</si>
  <si>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</si>
  <si>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</si>
  <si>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</si>
  <si>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</si>
  <si>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</si>
  <si>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</si>
  <si>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</si>
  <si>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</si>
  <si>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</si>
  <si>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</si>
  <si>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</si>
  <si>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</si>
  <si>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</si>
  <si>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</si>
  <si>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</si>
  <si>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</si>
  <si>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</si>
  <si>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</si>
  <si>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</si>
  <si>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</si>
  <si>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</si>
  <si>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</si>
  <si>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</si>
  <si>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</si>
  <si>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</si>
  <si>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</si>
  <si>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</si>
  <si>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</si>
  <si>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</si>
  <si>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</si>
  <si>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</si>
  <si>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</si>
  <si>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</si>
  <si>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</si>
  <si>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</si>
  <si>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</si>
  <si>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</si>
  <si>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</si>
  <si>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</si>
  <si>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</si>
  <si>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</si>
  <si>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</si>
  <si>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</si>
  <si>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</si>
  <si>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</si>
  <si>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</si>
  <si>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</si>
  <si>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</si>
  <si>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</si>
  <si>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</si>
  <si>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</si>
  <si>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</si>
  <si>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</si>
  <si>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</si>
  <si>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</si>
  <si>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</si>
  <si>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</si>
  <si>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</si>
  <si>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</si>
  <si>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</si>
  <si>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</si>
  <si>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</si>
  <si>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</si>
  <si>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</si>
  <si>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</si>
  <si>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</si>
  <si>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</si>
  <si>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</si>
  <si>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</si>
  <si>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</si>
  <si>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</si>
  <si>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</si>
  <si>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</si>
  <si>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</si>
  <si>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</si>
  <si>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</si>
  <si>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</si>
  <si>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</si>
  <si>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</si>
  <si>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</si>
  <si>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</si>
  <si>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</si>
  <si>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</si>
  <si>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</si>
  <si>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</si>
  <si>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</si>
  <si>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</si>
  <si>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</si>
  <si>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</si>
  <si>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</si>
  <si>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</si>
  <si>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</si>
  <si>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</si>
  <si>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</si>
  <si>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</si>
  <si>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</si>
  <si>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</si>
  <si>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</si>
  <si>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</si>
  <si>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</si>
  <si>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</si>
  <si>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</si>
  <si>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</si>
  <si>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</si>
  <si>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</si>
  <si>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</si>
  <si>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</si>
  <si>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</si>
  <si>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</si>
  <si>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</si>
  <si>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</si>
  <si>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</si>
  <si>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</si>
  <si>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</si>
  <si>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</si>
  <si>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</si>
  <si>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</si>
  <si>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</si>
  <si>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</si>
  <si>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</si>
  <si>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</si>
  <si>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</si>
  <si>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</si>
  <si>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</si>
  <si>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</si>
  <si>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</si>
  <si>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</si>
  <si>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</si>
  <si>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</si>
  <si>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</si>
  <si>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</si>
  <si>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</si>
  <si>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</si>
  <si>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</si>
  <si>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</si>
  <si>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</si>
  <si>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</si>
  <si>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</si>
  <si>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</si>
  <si>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</si>
  <si>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</si>
  <si>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</si>
  <si>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</si>
  <si>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</si>
  <si>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</si>
  <si>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</si>
  <si>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</si>
  <si>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</si>
  <si>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</si>
  <si>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</si>
  <si>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</si>
  <si>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</si>
  <si>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</si>
  <si>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</si>
  <si>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</si>
  <si>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</si>
  <si>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</si>
  <si>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</si>
  <si>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</si>
  <si>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</si>
  <si>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</si>
  <si>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</si>
  <si>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</si>
  <si>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</si>
  <si>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</si>
  <si>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</si>
  <si>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</si>
  <si>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</si>
  <si>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</si>
  <si>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</si>
  <si>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</si>
  <si>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</si>
  <si>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</si>
  <si>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</si>
  <si>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</si>
  <si>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</si>
  <si>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</si>
  <si>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</si>
  <si>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</si>
  <si>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</si>
  <si>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</si>
  <si>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</si>
  <si>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</si>
  <si>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</si>
  <si>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</si>
  <si>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</si>
  <si>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</si>
  <si>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</si>
  <si>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</si>
  <si>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</si>
  <si>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</si>
  <si>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</si>
  <si>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</si>
  <si>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</si>
  <si>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</si>
  <si>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</si>
  <si>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</si>
  <si>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</si>
  <si>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</si>
  <si>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</si>
  <si>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</si>
  <si>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</si>
  <si>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</si>
  <si>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</si>
  <si>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</si>
  <si>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</si>
  <si>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</si>
  <si>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</si>
  <si>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</si>
  <si>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</si>
  <si>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</si>
  <si>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</si>
  <si>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</si>
  <si>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</si>
  <si>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</si>
  <si>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</si>
  <si>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</si>
  <si>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</si>
  <si>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</si>
  <si>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</si>
  <si>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</si>
  <si>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</si>
  <si>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</si>
  <si>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</si>
  <si>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</si>
  <si>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</si>
  <si>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</si>
  <si>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</si>
  <si>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</si>
  <si>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</si>
  <si>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</si>
  <si>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</si>
  <si>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</si>
  <si>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</si>
  <si>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</si>
  <si>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</si>
  <si>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</si>
  <si>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</si>
  <si>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</si>
  <si>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</si>
  <si>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</si>
  <si>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</si>
  <si>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</si>
  <si>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</si>
  <si>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</si>
  <si>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</si>
  <si>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</si>
  <si>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</si>
  <si>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</si>
  <si>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</si>
  <si>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</si>
  <si>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</si>
  <si>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</si>
  <si>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</si>
  <si>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</si>
  <si>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</si>
  <si>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</si>
  <si>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</si>
  <si>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</si>
  <si>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</si>
  <si>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</si>
  <si>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</si>
  <si>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</si>
  <si>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</si>
  <si>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</si>
  <si>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</si>
  <si>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</si>
  <si>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</si>
  <si>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</si>
  <si>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</si>
  <si>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</si>
  <si>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</si>
  <si>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</si>
  <si>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</si>
  <si>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</si>
  <si>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</si>
  <si>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</si>
  <si>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</si>
  <si>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</si>
  <si>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</si>
  <si>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</si>
  <si>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</si>
  <si>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</si>
  <si>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</si>
  <si>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</si>
  <si>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</si>
  <si>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</si>
  <si>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</si>
  <si>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</si>
  <si>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</si>
  <si>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</si>
  <si>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</si>
  <si>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</si>
  <si>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</si>
  <si>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</si>
  <si>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</si>
  <si>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</si>
  <si>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</si>
  <si>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</si>
  <si>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</si>
  <si>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</si>
  <si>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</si>
  <si>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</si>
  <si>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</si>
  <si>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</si>
  <si>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</si>
  <si>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</si>
  <si>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</si>
  <si>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</si>
  <si>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</si>
  <si>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</si>
  <si>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</si>
  <si>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</si>
  <si>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</si>
  <si>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</si>
  <si>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</si>
  <si>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</si>
  <si>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</si>
  <si>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</si>
  <si>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</si>
  <si>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</si>
  <si>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</si>
  <si>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</si>
  <si>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</si>
  <si>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</si>
  <si>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</si>
  <si>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</si>
  <si>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</si>
  <si>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</si>
  <si>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</si>
  <si>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</si>
  <si>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</si>
  <si>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</si>
  <si>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</si>
  <si>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</si>
  <si>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</si>
  <si>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</si>
  <si>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</si>
  <si>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</si>
  <si>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</si>
  <si>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</si>
  <si>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</si>
  <si>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</si>
  <si>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</si>
  <si>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</si>
  <si>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</si>
  <si>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</si>
  <si>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</si>
  <si>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</si>
  <si>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</si>
  <si>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</si>
  <si>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</si>
  <si>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</si>
  <si>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</si>
  <si>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</si>
  <si>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</si>
  <si>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</si>
  <si>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</si>
  <si>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</si>
  <si>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</si>
  <si>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</si>
  <si>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</si>
  <si>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</si>
  <si>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</si>
  <si>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</si>
  <si>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</si>
  <si>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</si>
  <si>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</si>
  <si>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</si>
  <si>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</si>
  <si>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</si>
  <si>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</si>
  <si>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</si>
  <si>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</si>
  <si>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</si>
  <si>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</si>
  <si>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</si>
  <si>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</si>
  <si>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</si>
  <si>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</si>
  <si>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</si>
  <si>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</si>
  <si>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</si>
  <si>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</si>
  <si>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</si>
  <si>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</si>
  <si>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</si>
  <si>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</si>
  <si>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</si>
  <si>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</si>
  <si>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</si>
  <si>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</si>
  <si>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</si>
  <si>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</si>
  <si>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</si>
  <si>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</si>
  <si>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</si>
  <si>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</si>
  <si>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</si>
  <si>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</si>
  <si>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</si>
  <si>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</si>
  <si>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</si>
  <si>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</si>
  <si>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</si>
  <si>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</si>
  <si>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</si>
  <si>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</si>
  <si>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</si>
  <si>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</si>
  <si>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</si>
  <si>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</si>
  <si>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</si>
  <si>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</si>
  <si>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</si>
  <si>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</si>
  <si>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</si>
  <si>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</si>
  <si>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</si>
  <si>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</si>
  <si>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</si>
  <si>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</si>
  <si>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</si>
  <si>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</si>
  <si>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</si>
  <si>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</si>
  <si>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</si>
  <si>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</si>
  <si>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</si>
  <si>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</si>
  <si>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</si>
  <si>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</si>
  <si>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</si>
  <si>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</si>
  <si>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</si>
  <si>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</si>
  <si>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</si>
  <si>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</si>
  <si>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</si>
  <si>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</si>
  <si>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</si>
  <si>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</si>
  <si>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</si>
  <si>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</si>
  <si>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</si>
  <si>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</si>
  <si>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</si>
  <si>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</si>
  <si>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</si>
  <si>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</si>
  <si>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</si>
  <si>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</si>
  <si>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</si>
  <si>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</si>
  <si>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</si>
  <si>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</si>
  <si>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</si>
  <si>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</si>
  <si>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</si>
  <si>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</si>
  <si>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</si>
  <si>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</si>
  <si>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</si>
  <si>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</si>
  <si>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</si>
  <si>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</si>
  <si>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</si>
  <si>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</si>
  <si>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</si>
  <si>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</si>
  <si>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</si>
  <si>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</si>
  <si>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</si>
  <si>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</si>
  <si>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</si>
  <si>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</si>
  <si>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</si>
  <si>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</si>
  <si>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</si>
  <si>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</si>
  <si>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</si>
  <si>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</si>
  <si>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</si>
  <si>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</si>
  <si>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</si>
  <si>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</si>
  <si>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</si>
  <si>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</si>
  <si>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</si>
  <si>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</si>
  <si>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</si>
  <si>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</si>
  <si>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</si>
  <si>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</si>
  <si>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</si>
  <si>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</si>
  <si>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</si>
  <si>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</si>
  <si>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</si>
  <si>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</si>
  <si>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</si>
  <si>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</si>
  <si>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</si>
  <si>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</si>
  <si>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</si>
  <si>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</si>
  <si>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</si>
  <si>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</si>
  <si>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</si>
  <si>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</si>
  <si>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</si>
  <si>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</si>
  <si>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</si>
  <si>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</si>
  <si>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</si>
  <si>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</si>
  <si>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</si>
  <si>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</si>
  <si>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</si>
  <si>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</si>
  <si>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</si>
  <si>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</si>
  <si>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</si>
  <si>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</si>
  <si>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</si>
  <si>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</si>
  <si>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</si>
  <si>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</si>
  <si>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</si>
  <si>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</si>
  <si>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</si>
  <si>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</si>
  <si>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</si>
  <si>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</si>
  <si>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</si>
  <si>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</si>
  <si>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</si>
  <si>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</si>
  <si>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</si>
  <si>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</si>
  <si>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</si>
  <si>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</si>
  <si>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</si>
  <si>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</si>
  <si>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</si>
  <si>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</si>
  <si>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</si>
  <si>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</si>
  <si>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</si>
  <si>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</si>
  <si>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</si>
  <si>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</si>
  <si>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</si>
  <si>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</si>
  <si>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</si>
  <si>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</si>
  <si>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</si>
  <si>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</si>
  <si>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</si>
  <si>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</si>
  <si>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</si>
  <si>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</si>
  <si>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</si>
  <si>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</si>
  <si>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</si>
  <si>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</si>
  <si>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</si>
  <si>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</si>
  <si>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</si>
  <si>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</si>
  <si>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</si>
  <si>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</si>
  <si>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</si>
  <si>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</si>
  <si>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</si>
  <si>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</si>
  <si>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</si>
  <si>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</si>
  <si>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</si>
  <si>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</si>
  <si>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</si>
  <si>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</si>
  <si>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</si>
  <si>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</si>
  <si>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</si>
  <si>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</si>
  <si>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</si>
  <si>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</si>
  <si>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</si>
  <si>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</si>
  <si>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</si>
  <si>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</si>
  <si>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</si>
  <si>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</si>
  <si>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</si>
  <si>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</si>
  <si>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</si>
  <si>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</si>
  <si>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</si>
  <si>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</si>
  <si>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</si>
  <si>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</si>
  <si>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</si>
  <si>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</si>
  <si>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</si>
  <si>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</si>
  <si>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</si>
  <si>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</si>
  <si>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</si>
  <si>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</si>
  <si>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</si>
  <si>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</si>
  <si>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</si>
  <si>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</si>
  <si>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</si>
  <si>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</si>
  <si>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</si>
  <si>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</si>
  <si>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</si>
  <si>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</si>
  <si>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</si>
  <si>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</si>
  <si>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</si>
  <si>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</si>
  <si>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</si>
  <si>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</si>
  <si>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</si>
  <si>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</si>
  <si>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</si>
  <si>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</si>
  <si>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</si>
  <si>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</si>
  <si>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</si>
  <si>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</si>
  <si>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</si>
  <si>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</si>
  <si>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</si>
  <si>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</si>
  <si>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</si>
  <si>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</si>
  <si>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</si>
  <si>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</si>
  <si>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</si>
  <si>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</si>
  <si>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</si>
  <si>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</si>
  <si>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</si>
  <si>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</si>
  <si>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</si>
  <si>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</si>
  <si>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</si>
  <si>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</si>
  <si>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</si>
  <si>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</si>
  <si>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</si>
  <si>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</si>
  <si>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</si>
  <si>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</si>
  <si>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</si>
  <si>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</si>
  <si>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</si>
  <si>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</si>
  <si>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</si>
  <si>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</si>
  <si>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</si>
  <si>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</si>
  <si>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</si>
  <si>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</si>
  <si>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</si>
  <si>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</si>
  <si>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</si>
  <si>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</si>
  <si>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</si>
  <si>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</si>
  <si>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</si>
  <si>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</si>
  <si>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</si>
  <si>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</si>
  <si>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</si>
  <si>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</si>
  <si>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</si>
  <si>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</si>
  <si>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</si>
  <si>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</si>
  <si>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</si>
  <si>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</si>
  <si>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</si>
  <si>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</si>
  <si>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</si>
  <si>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</si>
  <si>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</si>
  <si>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</si>
  <si>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</si>
  <si>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</si>
  <si>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</si>
  <si>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</si>
  <si>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</si>
  <si>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</si>
  <si>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</si>
  <si>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</si>
  <si>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</si>
  <si>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</si>
  <si>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</si>
  <si>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</si>
  <si>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</si>
  <si>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</si>
  <si>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</si>
  <si>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</si>
  <si>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</si>
  <si>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</si>
  <si>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</si>
  <si>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</si>
  <si>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</si>
  <si>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</si>
  <si>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</si>
  <si>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</si>
  <si>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</si>
  <si>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</si>
  <si>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</si>
  <si>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</si>
  <si>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</si>
  <si>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</si>
  <si>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</si>
  <si>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</si>
  <si>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</si>
  <si>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</si>
  <si>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</si>
  <si>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</si>
  <si>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</si>
  <si>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</si>
  <si>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</si>
  <si>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</si>
  <si>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</si>
  <si>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</si>
  <si>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</si>
  <si>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</si>
  <si>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</si>
  <si>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</si>
  <si>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</si>
  <si>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</si>
  <si>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</si>
  <si>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</si>
  <si>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</si>
  <si>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</si>
  <si>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</si>
  <si>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</si>
  <si>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</si>
  <si>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</si>
  <si>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</si>
  <si>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</si>
  <si>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</si>
  <si>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</si>
  <si>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</si>
  <si>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</si>
  <si>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</si>
  <si>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</si>
  <si>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</si>
  <si>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</si>
  <si>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</si>
  <si>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</si>
  <si>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</si>
  <si>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</si>
  <si>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</si>
  <si>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</si>
  <si>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</si>
  <si>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</si>
  <si>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</si>
  <si>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</si>
  <si>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</si>
  <si>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</si>
  <si>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</si>
  <si>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</si>
  <si>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</si>
  <si>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</si>
  <si>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</si>
  <si>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</si>
  <si>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</si>
  <si>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</si>
  <si>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</si>
  <si>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</si>
  <si>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</si>
  <si>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</si>
  <si>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</si>
  <si>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</si>
  <si>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</si>
  <si>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</si>
  <si>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</si>
  <si>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</si>
  <si>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</si>
  <si>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</si>
  <si>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</si>
  <si>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</si>
  <si>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</si>
  <si>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</si>
  <si>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</si>
  <si>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</si>
  <si>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</si>
  <si>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</si>
  <si>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</si>
  <si>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</si>
  <si>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</si>
  <si>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</si>
  <si>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</si>
  <si>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</si>
  <si>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</si>
  <si>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</si>
  <si>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</si>
  <si>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</si>
  <si>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</si>
  <si>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</si>
  <si>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</si>
  <si>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</si>
  <si>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</si>
  <si>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</si>
  <si>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</si>
  <si>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</si>
  <si>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</si>
  <si>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</si>
  <si>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</si>
  <si>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</si>
  <si>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</si>
  <si>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</si>
  <si>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</si>
  <si>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</si>
  <si>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</si>
  <si>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</si>
  <si>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</si>
  <si>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</si>
  <si>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</si>
  <si>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</si>
  <si>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</si>
  <si>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</si>
  <si>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</si>
  <si>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</si>
  <si>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</si>
  <si>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</si>
  <si>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</si>
  <si>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</si>
  <si>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</si>
  <si>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</si>
  <si>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</si>
  <si>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</si>
  <si>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</si>
  <si>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</si>
  <si>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</si>
  <si>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</si>
  <si>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</si>
  <si>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</si>
  <si>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</si>
  <si>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</si>
  <si>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</si>
  <si>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</si>
  <si>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</si>
  <si>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</si>
  <si>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</si>
  <si>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</si>
  <si>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</si>
  <si>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</si>
  <si>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</si>
  <si>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</si>
  <si>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</si>
  <si>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</si>
  <si>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</si>
  <si>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</si>
  <si>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</si>
  <si>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</si>
  <si>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</si>
  <si>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</si>
  <si>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</si>
  <si>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</si>
  <si>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</si>
  <si>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</si>
  <si>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</si>
  <si>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</si>
  <si>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</si>
  <si>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</si>
  <si>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</si>
  <si>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</si>
  <si>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</si>
  <si>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</si>
  <si>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</si>
  <si>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</si>
  <si>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</si>
  <si>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</si>
  <si>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</si>
  <si>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</si>
  <si>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</si>
  <si>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</si>
  <si>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</si>
  <si>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</si>
  <si>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</si>
  <si>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</si>
  <si>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</si>
  <si>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</si>
  <si>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</si>
  <si>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</si>
  <si>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</si>
  <si>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</si>
  <si>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</si>
  <si>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</si>
  <si>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</si>
  <si>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</si>
  <si>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</si>
  <si>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</si>
  <si>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</si>
  <si>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</si>
  <si>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</si>
  <si>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</si>
  <si>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</si>
  <si>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</si>
  <si>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</si>
  <si>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</si>
  <si>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</si>
  <si>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</si>
  <si>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</si>
  <si>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</si>
  <si>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</si>
  <si>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</si>
  <si>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</si>
  <si>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</si>
  <si>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</si>
  <si>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</si>
  <si>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</si>
  <si>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</si>
  <si>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</si>
  <si>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</si>
  <si>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</si>
  <si>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</si>
  <si>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</si>
  <si>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</si>
  <si>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</si>
  <si>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</si>
  <si>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</si>
  <si>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</si>
  <si>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</si>
  <si>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</si>
  <si>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</si>
  <si>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</si>
  <si>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</si>
  <si>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</si>
  <si>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</si>
  <si>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</si>
  <si>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</si>
  <si>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</si>
  <si>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</si>
  <si>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</si>
  <si>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</si>
  <si>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</si>
  <si>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</si>
  <si>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</si>
  <si>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</si>
  <si>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</si>
  <si>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</si>
  <si>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</si>
  <si>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</si>
  <si>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</si>
  <si>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</si>
  <si>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</si>
  <si>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</si>
  <si>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</si>
  <si>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</si>
  <si>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</si>
  <si>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</si>
  <si>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</si>
  <si>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</si>
  <si>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</si>
  <si>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</si>
  <si>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</si>
  <si>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</si>
  <si>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</si>
  <si>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</si>
  <si>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</si>
  <si>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</si>
  <si>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</si>
  <si>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</si>
  <si>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</si>
  <si>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</si>
  <si>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</si>
  <si>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</si>
  <si>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</si>
  <si>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</si>
  <si>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</si>
  <si>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</si>
  <si>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</si>
  <si>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</si>
  <si>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</si>
  <si>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</si>
  <si>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</si>
  <si>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</si>
  <si>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</si>
  <si>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</si>
  <si>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</si>
  <si>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</si>
  <si>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</si>
  <si>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</si>
  <si>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</si>
  <si>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</si>
  <si>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</si>
  <si>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</si>
  <si>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</si>
  <si>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</si>
  <si>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</si>
  <si>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</si>
  <si>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</si>
  <si>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</si>
  <si>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</si>
  <si>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</si>
  <si>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</si>
  <si>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</si>
  <si>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</si>
  <si>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</si>
  <si>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</si>
  <si>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</si>
  <si>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</si>
  <si>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</si>
  <si>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</si>
  <si>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</si>
  <si>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</si>
  <si>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</si>
  <si>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</si>
  <si>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</si>
  <si>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</si>
  <si>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</si>
  <si>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</si>
  <si>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</si>
  <si>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</si>
  <si>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</si>
  <si>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</si>
  <si>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</si>
  <si>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</si>
  <si>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</si>
  <si>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</si>
  <si>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</si>
  <si>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</si>
  <si>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</si>
  <si>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</si>
  <si>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</si>
  <si>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</si>
  <si>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</si>
  <si>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</si>
  <si>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</si>
  <si>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</si>
  <si>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</si>
  <si>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</si>
  <si>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</si>
  <si>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</si>
  <si>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</si>
  <si>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</si>
  <si>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</si>
  <si>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</si>
  <si>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</si>
  <si>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</si>
  <si>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</si>
  <si>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</si>
  <si>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</si>
  <si>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</si>
  <si>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</si>
  <si>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</si>
  <si>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</si>
  <si>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</si>
  <si>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</si>
  <si>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</si>
  <si>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</si>
  <si>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</si>
  <si>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</si>
  <si>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</si>
  <si>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</si>
  <si>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</si>
  <si>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</si>
  <si>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</si>
  <si>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</si>
  <si>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</si>
  <si>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</si>
  <si>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</si>
  <si>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</si>
  <si>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</si>
  <si>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</si>
  <si>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</si>
  <si>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</si>
  <si>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</si>
  <si>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</si>
  <si>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</si>
  <si>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</si>
  <si>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</si>
  <si>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</si>
  <si>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</si>
  <si>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</si>
  <si>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</si>
  <si>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</si>
  <si>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</si>
  <si>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</si>
  <si>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</si>
  <si>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</si>
  <si>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</si>
  <si>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</si>
  <si>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</si>
  <si>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</si>
  <si>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</si>
  <si>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</si>
  <si>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</si>
  <si>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</si>
  <si>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</si>
  <si>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</si>
  <si>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</si>
  <si>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</si>
  <si>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</si>
  <si>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</si>
  <si>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</si>
  <si>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</si>
  <si>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</si>
  <si>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</si>
  <si>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</si>
  <si>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</si>
  <si>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</si>
  <si>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</si>
  <si>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</si>
  <si>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</si>
  <si>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</si>
  <si>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</si>
  <si>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</si>
  <si>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</si>
  <si>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</si>
  <si>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</si>
  <si>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</si>
  <si>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</si>
  <si>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</si>
  <si>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</si>
  <si>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</si>
  <si>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</si>
  <si>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</si>
  <si>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</si>
  <si>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</si>
  <si>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</si>
  <si>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</si>
  <si>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</si>
  <si>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</si>
  <si>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</si>
  <si>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</si>
  <si>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</si>
  <si>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</si>
  <si>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</si>
  <si>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</si>
  <si>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</si>
  <si>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</si>
  <si>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</si>
  <si>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</si>
  <si>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</si>
  <si>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</si>
  <si>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</si>
  <si>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</si>
  <si>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</si>
  <si>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</si>
  <si>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</si>
  <si>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</si>
  <si>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</si>
  <si>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</si>
  <si>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</si>
  <si>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</si>
  <si>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</si>
  <si>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</si>
  <si>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</si>
  <si>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</si>
  <si>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</si>
  <si>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</si>
  <si>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</si>
  <si>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</si>
  <si>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</si>
  <si>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</si>
  <si>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</si>
  <si>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</si>
  <si>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</si>
  <si>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</si>
  <si>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</si>
  <si>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</si>
  <si>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</si>
  <si>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</si>
  <si>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</si>
  <si>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</si>
  <si>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</si>
  <si>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</si>
  <si>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</si>
  <si>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</si>
  <si>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</si>
  <si>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</si>
  <si>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</si>
  <si>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</si>
  <si>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</si>
  <si>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</si>
  <si>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</si>
  <si>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</si>
  <si>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</si>
  <si>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</si>
  <si>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</si>
  <si>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</si>
  <si>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</si>
  <si>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</si>
  <si>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</si>
  <si>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</si>
  <si>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</si>
  <si>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</si>
  <si>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</si>
  <si>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</si>
  <si>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</si>
  <si>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</si>
  <si>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</si>
  <si>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</si>
  <si>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</si>
  <si>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</si>
  <si>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</si>
  <si>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</si>
  <si>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</si>
  <si>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</si>
  <si>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</si>
  <si>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</si>
  <si>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</si>
  <si>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</si>
  <si>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</si>
  <si>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</si>
  <si>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</si>
  <si>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</si>
  <si>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</si>
  <si>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</si>
  <si>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</si>
  <si>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</si>
  <si>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</si>
  <si>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</si>
  <si>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</si>
  <si>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</si>
  <si>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</si>
  <si>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</si>
  <si>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</si>
  <si>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</si>
  <si>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</si>
  <si>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</si>
  <si>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</si>
  <si>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</si>
  <si>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</si>
  <si>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</si>
  <si>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</si>
  <si>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</si>
  <si>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</si>
  <si>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</si>
  <si>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</si>
  <si>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</si>
  <si>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</si>
  <si>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</si>
  <si>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</si>
  <si>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</si>
  <si>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</si>
  <si>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</si>
  <si>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</si>
  <si>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</si>
  <si>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</si>
  <si>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</si>
  <si>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</si>
  <si>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</si>
  <si>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</si>
  <si>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</si>
  <si>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</si>
  <si>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</si>
  <si>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</si>
  <si>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</si>
  <si>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</si>
  <si>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</si>
  <si>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</si>
  <si>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</si>
  <si>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</si>
  <si>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</si>
  <si>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</si>
  <si>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</si>
  <si>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</si>
  <si>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</si>
  <si>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</si>
  <si>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</si>
  <si>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</si>
  <si>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</si>
  <si>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</si>
  <si>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</si>
  <si>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</si>
  <si>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</si>
  <si>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</si>
  <si>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</si>
  <si>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</si>
  <si>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</si>
  <si>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</si>
  <si>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</si>
  <si>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</si>
  <si>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</si>
  <si>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</si>
  <si>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</si>
  <si>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</si>
  <si>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</si>
  <si>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</si>
  <si>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</si>
  <si>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</si>
  <si>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</si>
  <si>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</si>
  <si>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</si>
  <si>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</si>
  <si>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</si>
  <si>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</si>
  <si>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</si>
  <si>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</si>
  <si>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</si>
  <si>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</si>
  <si>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</si>
  <si>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</si>
  <si>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</si>
  <si>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</si>
  <si>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</si>
  <si>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</si>
  <si>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</si>
  <si>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</si>
  <si>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</si>
  <si>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</si>
  <si>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</si>
  <si>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</si>
  <si>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</si>
  <si>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</si>
  <si>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</si>
  <si>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</si>
  <si>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</si>
  <si>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</si>
  <si>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</si>
  <si>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</si>
  <si>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</si>
  <si>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</si>
  <si>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</si>
  <si>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</si>
  <si>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</si>
  <si>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</si>
  <si>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</si>
  <si>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</si>
  <si>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</si>
  <si>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</si>
  <si>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</si>
  <si>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</si>
  <si>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</si>
  <si>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</si>
  <si>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</si>
  <si>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</si>
  <si>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</si>
  <si>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</si>
  <si>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</si>
  <si>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</si>
  <si>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</si>
  <si>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</si>
  <si>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</si>
  <si>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</si>
  <si>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</si>
  <si>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</si>
  <si>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</si>
  <si>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</si>
  <si>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</si>
  <si>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</si>
  <si>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</si>
  <si>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</si>
  <si>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</si>
  <si>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</si>
  <si>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</si>
  <si>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</si>
  <si>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</si>
  <si>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</si>
  <si>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</si>
  <si>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</si>
  <si>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</si>
  <si>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</si>
  <si>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</si>
  <si>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</si>
  <si>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</si>
  <si>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</si>
  <si>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</si>
  <si>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</si>
  <si>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</si>
  <si>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</si>
  <si>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</si>
  <si>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</si>
  <si>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</si>
  <si>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</si>
  <si>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</si>
  <si>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</si>
  <si>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</si>
  <si>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</si>
  <si>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</si>
  <si>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</si>
  <si>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</si>
  <si>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</si>
  <si>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</si>
  <si>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</si>
  <si>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</si>
  <si>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</si>
  <si>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</si>
  <si>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</si>
  <si>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</si>
  <si>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</si>
  <si>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</si>
  <si>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</si>
  <si>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</si>
  <si>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</si>
  <si>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</si>
  <si>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</si>
  <si>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</si>
  <si>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</si>
  <si>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</si>
  <si>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</si>
  <si>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</si>
  <si>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</si>
  <si>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</si>
  <si>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</si>
  <si>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</si>
  <si>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</si>
  <si>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</si>
  <si>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</si>
  <si>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</si>
  <si>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</si>
  <si>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</si>
  <si>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</si>
  <si>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</si>
  <si>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</si>
  <si>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</si>
  <si>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</si>
  <si>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</si>
  <si>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</si>
  <si>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</si>
  <si>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</si>
  <si>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</si>
  <si>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</si>
  <si>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</si>
  <si>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</si>
  <si>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</si>
  <si>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</si>
  <si>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</si>
  <si>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</si>
  <si>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</si>
  <si>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</si>
  <si>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</si>
  <si>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</si>
  <si>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</si>
  <si>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</si>
  <si>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</si>
  <si>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</si>
  <si>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</si>
  <si>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</si>
  <si>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</si>
  <si>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</si>
  <si>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</si>
  <si>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</si>
  <si>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</si>
  <si>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</si>
  <si>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</si>
  <si>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</si>
  <si>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</si>
  <si>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</si>
  <si>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</si>
  <si>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</si>
  <si>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</si>
  <si>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</si>
  <si>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</si>
  <si>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</si>
  <si>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</si>
  <si>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</si>
  <si>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</si>
  <si>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</si>
  <si>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</si>
  <si>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</si>
  <si>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</si>
  <si>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</si>
  <si>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</si>
  <si>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</si>
  <si>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</si>
  <si>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</si>
  <si>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</si>
  <si>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</si>
  <si>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</si>
  <si>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</si>
  <si>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</si>
  <si>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</si>
  <si>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</si>
  <si>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</si>
  <si>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</si>
  <si>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</si>
  <si>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</si>
  <si>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</si>
  <si>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</si>
  <si>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</si>
  <si>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</si>
  <si>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</si>
  <si>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</si>
  <si>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</si>
  <si>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</si>
  <si>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</si>
  <si>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</si>
  <si>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</si>
  <si>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</si>
  <si>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</si>
  <si>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</si>
  <si>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</si>
  <si>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</si>
  <si>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</si>
  <si>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</si>
  <si>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</si>
  <si>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</si>
  <si>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</si>
  <si>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</si>
  <si>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</si>
  <si>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</si>
  <si>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</si>
  <si>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</si>
  <si>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</si>
  <si>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</si>
  <si>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</si>
  <si>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</si>
  <si>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</si>
  <si>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</si>
  <si>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</si>
  <si>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</si>
  <si>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</si>
  <si>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</si>
  <si>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</si>
  <si>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</si>
  <si>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</si>
  <si>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</si>
  <si>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</si>
  <si>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</si>
  <si>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</si>
  <si>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</si>
  <si>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</si>
  <si>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</si>
  <si>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</si>
  <si>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</si>
  <si>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</si>
  <si>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</si>
  <si>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</si>
  <si>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</si>
  <si>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</si>
  <si>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</si>
  <si>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</si>
  <si>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</si>
  <si>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</si>
  <si>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</si>
  <si>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</si>
  <si>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</si>
  <si>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</si>
  <si>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</si>
  <si>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</si>
  <si>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</si>
  <si>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</si>
  <si>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</si>
  <si>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</si>
  <si>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</si>
  <si>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</si>
  <si>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</si>
  <si>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</si>
  <si>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</si>
  <si>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</si>
  <si>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</si>
  <si>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</si>
  <si>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</si>
  <si>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</si>
  <si>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</si>
  <si>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</si>
  <si>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</si>
  <si>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</si>
  <si>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</si>
  <si>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</si>
  <si>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</si>
  <si>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</si>
  <si>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</si>
  <si>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</si>
  <si>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</si>
  <si>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</si>
  <si>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</si>
  <si>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</si>
  <si>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</si>
  <si>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</si>
  <si>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</si>
  <si>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</si>
  <si>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</si>
  <si>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</si>
  <si>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</si>
  <si>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</si>
  <si>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</si>
  <si>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</si>
  <si>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</si>
  <si>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</si>
  <si>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</si>
  <si>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</si>
  <si>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</si>
  <si>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</si>
  <si>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</si>
  <si>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</si>
  <si>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</si>
  <si>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</si>
  <si>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</si>
  <si>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</si>
  <si>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</si>
  <si>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</si>
  <si>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</si>
  <si>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</si>
  <si>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</si>
  <si>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</si>
  <si>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</si>
  <si>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</si>
  <si>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</si>
  <si>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</si>
  <si>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</si>
  <si>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</si>
  <si>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</si>
  <si>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</si>
  <si>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</si>
  <si>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</si>
  <si>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</si>
  <si>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</si>
  <si>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</si>
  <si>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</si>
  <si>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</si>
  <si>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</si>
  <si>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</si>
  <si>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</si>
  <si>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</si>
  <si>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</si>
  <si>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</si>
  <si>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</si>
  <si>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</si>
  <si>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</si>
  <si>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</si>
  <si>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</si>
  <si>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</si>
  <si>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</si>
  <si>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</si>
  <si>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</si>
  <si>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</si>
  <si>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</si>
  <si>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</si>
  <si>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</si>
  <si>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</si>
  <si>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</si>
  <si>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</si>
  <si>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</si>
  <si>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</si>
  <si>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</si>
  <si>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</si>
  <si>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</si>
  <si>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</si>
  <si>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</si>
  <si>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</si>
  <si>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</si>
  <si>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</si>
  <si>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</si>
  <si>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</si>
  <si>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</si>
  <si>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</si>
  <si>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</si>
  <si>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</si>
  <si>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</si>
  <si>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</si>
  <si>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</si>
  <si>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</si>
  <si>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</si>
  <si>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</si>
  <si>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</si>
  <si>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</si>
  <si>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</si>
  <si>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</si>
  <si>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</si>
  <si>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</si>
  <si>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</si>
  <si>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</si>
  <si>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</si>
  <si>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</si>
  <si>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</si>
  <si>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</si>
  <si>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</si>
  <si>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</si>
  <si>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</si>
  <si>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</si>
  <si>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</si>
  <si>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</si>
  <si>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</si>
  <si>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</si>
  <si>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</si>
  <si>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</si>
  <si>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</si>
  <si>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</si>
  <si>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</si>
  <si>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</si>
  <si>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</si>
  <si>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</si>
  <si>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</si>
  <si>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</si>
  <si>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</si>
  <si>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</si>
  <si>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</si>
  <si>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</si>
  <si>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</si>
  <si>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</si>
  <si>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</si>
  <si>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</si>
  <si>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</si>
  <si>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</si>
  <si>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</si>
  <si>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</si>
  <si>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</si>
  <si>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</si>
  <si>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</si>
  <si>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</si>
  <si>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</si>
  <si>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</si>
  <si>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</si>
  <si>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</si>
  <si>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</si>
  <si>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</si>
  <si>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</si>
  <si>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</si>
  <si>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</si>
  <si>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</si>
  <si>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</si>
  <si>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</si>
  <si>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</si>
  <si>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</si>
  <si>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</si>
  <si>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</si>
  <si>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</si>
  <si>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</si>
  <si>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</si>
  <si>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</si>
  <si>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</si>
  <si>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</si>
  <si>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</si>
  <si>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</si>
  <si>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</si>
  <si>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</si>
  <si>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</si>
  <si>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</si>
  <si>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</si>
  <si>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</si>
  <si>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</si>
  <si>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</si>
  <si>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</si>
  <si>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</si>
  <si>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</si>
  <si>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</si>
  <si>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</si>
  <si>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</si>
  <si>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</si>
  <si>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</si>
  <si>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</si>
  <si>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</si>
  <si>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</si>
  <si>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</si>
  <si>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</si>
  <si>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</si>
  <si>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</si>
  <si>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</si>
  <si>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</si>
  <si>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</si>
  <si>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</si>
  <si>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</si>
  <si>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</si>
  <si>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</si>
  <si>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</si>
  <si>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</si>
  <si>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</si>
  <si>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</si>
  <si>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</si>
  <si>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</si>
  <si>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</si>
  <si>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</si>
  <si>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</si>
  <si>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</si>
  <si>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</si>
  <si>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</si>
  <si>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</si>
  <si>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</si>
  <si>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</si>
  <si>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</si>
  <si>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</si>
  <si>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</si>
  <si>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</si>
  <si>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</si>
  <si>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</si>
  <si>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</si>
  <si>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</si>
  <si>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</si>
  <si>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</si>
  <si>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</si>
  <si>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</si>
  <si>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</si>
  <si>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</si>
  <si>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</si>
  <si>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</si>
  <si>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</si>
  <si>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</si>
  <si>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</si>
  <si>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</si>
  <si>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</si>
  <si>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</si>
  <si>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</si>
  <si>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</si>
  <si>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</si>
  <si>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</si>
  <si>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</si>
  <si>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</si>
  <si>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</si>
  <si>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</si>
  <si>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</si>
  <si>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</si>
  <si>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</si>
  <si>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</si>
  <si>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</si>
  <si>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</si>
  <si>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</si>
  <si>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</si>
  <si>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</si>
  <si>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</si>
  <si>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</si>
  <si>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</si>
  <si>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</si>
  <si>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</si>
  <si>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</si>
  <si>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</si>
  <si>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</si>
  <si>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</si>
  <si>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</si>
  <si>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</si>
  <si>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</si>
  <si>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</si>
  <si>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</si>
  <si>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</si>
  <si>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</si>
  <si>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</si>
  <si>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</si>
  <si>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</si>
  <si>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</si>
  <si>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</si>
  <si>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</si>
  <si>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</si>
  <si>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</si>
  <si>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</si>
  <si>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</si>
  <si>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</si>
  <si>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</si>
  <si>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</si>
  <si>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</si>
  <si>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</si>
  <si>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</si>
  <si>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</si>
  <si>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</si>
  <si>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</si>
  <si>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</si>
  <si>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</si>
  <si>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</si>
  <si>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</si>
  <si>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</si>
  <si>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</si>
  <si>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</si>
  <si>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</si>
  <si>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</si>
  <si>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</si>
  <si>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</si>
  <si>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</si>
  <si>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</si>
  <si>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</si>
  <si>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</si>
  <si>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</si>
  <si>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</si>
  <si>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</si>
  <si>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</si>
  <si>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</si>
  <si>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</si>
  <si>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</si>
  <si>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</si>
  <si>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</si>
  <si>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</si>
  <si>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</si>
  <si>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</si>
  <si>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</si>
  <si>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</si>
  <si>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</si>
  <si>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</si>
  <si>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</si>
  <si>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</si>
  <si>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</si>
  <si>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</si>
  <si>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</si>
  <si>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</si>
  <si>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</si>
  <si>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</si>
  <si>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</si>
  <si>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</si>
  <si>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</si>
  <si>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</si>
  <si>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</si>
  <si>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</si>
  <si>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</si>
  <si>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</si>
  <si>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</si>
  <si>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</si>
  <si>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</si>
  <si>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</si>
  <si>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</si>
  <si>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</si>
  <si>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</si>
  <si>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</si>
  <si>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</si>
  <si>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</si>
  <si>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</si>
  <si>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</si>
  <si>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</si>
  <si>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</si>
  <si>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</si>
  <si>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</si>
  <si>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</si>
  <si>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</si>
  <si>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</si>
  <si>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</si>
  <si>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</si>
  <si>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</si>
  <si>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</si>
  <si>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</si>
  <si>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</si>
  <si>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</si>
  <si>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</si>
  <si>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</si>
  <si>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</si>
  <si>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</si>
  <si>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</si>
  <si>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</si>
  <si>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</si>
  <si>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</si>
  <si>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</si>
  <si>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</si>
  <si>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</si>
  <si>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</si>
  <si>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</si>
  <si>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</si>
  <si>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</si>
  <si>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</si>
  <si>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</si>
  <si>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</si>
  <si>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</si>
  <si>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</si>
  <si>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</si>
  <si>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</si>
  <si>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</si>
  <si>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</si>
  <si>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</si>
  <si>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</si>
  <si>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</si>
  <si>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</si>
  <si>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</si>
  <si>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</si>
  <si>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</si>
  <si>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</si>
  <si>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</si>
  <si>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</si>
  <si>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</si>
  <si>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</si>
  <si>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</si>
  <si>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</si>
  <si>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</si>
  <si>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</si>
  <si>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</si>
  <si>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</si>
  <si>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</si>
  <si>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</si>
  <si>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</si>
  <si>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</si>
  <si>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</si>
  <si>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</si>
  <si>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</si>
  <si>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</si>
  <si>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</si>
  <si>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</si>
  <si>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</si>
  <si>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</si>
  <si>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</si>
  <si>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</si>
  <si>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</si>
  <si>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</si>
  <si>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</si>
  <si>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</si>
  <si>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</si>
  <si>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</si>
  <si>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</si>
  <si>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</si>
  <si>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</si>
  <si>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</si>
  <si>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</si>
  <si>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</si>
  <si>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</si>
  <si>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</si>
  <si>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</si>
  <si>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</si>
  <si>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</si>
  <si>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</si>
  <si>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</si>
  <si>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</si>
  <si>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</si>
  <si>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</si>
  <si>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</si>
  <si>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</si>
  <si>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</si>
  <si>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</si>
  <si>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</si>
  <si>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</si>
  <si>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</si>
  <si>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</si>
  <si>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</si>
  <si>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</si>
  <si>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</si>
  <si>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</si>
  <si>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</si>
  <si>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</si>
  <si>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</si>
  <si>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</si>
  <si>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</si>
  <si>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</si>
  <si>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</si>
  <si>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</si>
  <si>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</si>
  <si>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</si>
  <si>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</si>
  <si>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</si>
  <si>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</si>
  <si>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</si>
  <si>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</si>
  <si>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</si>
  <si>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</si>
  <si>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</si>
  <si>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</si>
  <si>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</si>
  <si>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</si>
  <si>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</si>
  <si>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</si>
  <si>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</si>
  <si>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</si>
  <si>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</si>
  <si>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</si>
  <si>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</si>
  <si>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</si>
  <si>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</si>
  <si>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</si>
  <si>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</si>
  <si>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</si>
  <si>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</si>
  <si>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</si>
  <si>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</si>
  <si>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</si>
  <si>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</si>
  <si>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</si>
  <si>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</si>
  <si>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</si>
  <si>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</si>
  <si>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</si>
  <si>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</si>
  <si>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</si>
  <si>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</si>
  <si>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</si>
  <si>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</si>
  <si>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</si>
  <si>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</si>
  <si>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</si>
  <si>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</si>
  <si>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</si>
  <si>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</si>
  <si>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</si>
  <si>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</si>
  <si>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</si>
  <si>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</si>
  <si>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</si>
  <si>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</si>
  <si>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</si>
  <si>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</si>
  <si>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</si>
  <si>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</si>
  <si>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</si>
  <si>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</si>
  <si>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</si>
  <si>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</si>
  <si>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</si>
  <si>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</si>
  <si>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</si>
  <si>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</si>
  <si>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</si>
  <si>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</si>
  <si>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</si>
  <si>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</si>
  <si>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</si>
  <si>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</si>
  <si>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</si>
  <si>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</si>
  <si>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</si>
  <si>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</si>
  <si>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</si>
  <si>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</si>
  <si>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</si>
  <si>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</si>
  <si>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</si>
  <si>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</si>
  <si>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</si>
  <si>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</si>
  <si>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</si>
  <si>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</si>
  <si>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</si>
  <si>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</si>
  <si>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</si>
  <si>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</si>
  <si>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</si>
  <si>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</si>
  <si>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</si>
  <si>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</si>
  <si>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</si>
  <si>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</si>
  <si>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</si>
  <si>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</si>
  <si>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</si>
  <si>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</si>
  <si>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</si>
  <si>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</si>
  <si>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</si>
  <si>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</si>
  <si>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</si>
  <si>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</si>
  <si>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</si>
  <si>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</si>
  <si>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</si>
  <si>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</si>
  <si>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</si>
  <si>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</si>
  <si>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</si>
  <si>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</si>
  <si>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</si>
  <si>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</si>
  <si>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</si>
  <si>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</si>
  <si>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</si>
  <si>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</si>
  <si>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</si>
  <si>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</si>
  <si>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</si>
  <si>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</si>
  <si>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</si>
  <si>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</si>
  <si>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</si>
  <si>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</si>
  <si>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</si>
  <si>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</si>
  <si>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</si>
  <si>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</si>
  <si>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</si>
  <si>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</si>
  <si>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</si>
  <si>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</si>
  <si>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</si>
  <si>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</si>
  <si>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</si>
  <si>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</si>
  <si>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</si>
  <si>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</si>
  <si>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</si>
  <si>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</si>
  <si>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</si>
  <si>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</si>
  <si>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</si>
  <si>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</si>
  <si>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</si>
  <si>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</si>
  <si>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</si>
  <si>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</si>
  <si>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</si>
  <si>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</si>
  <si>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</si>
  <si>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</si>
  <si>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</si>
  <si>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</si>
  <si>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</si>
  <si>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</si>
  <si>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</si>
  <si>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</si>
  <si>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</si>
  <si>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</si>
  <si>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</si>
  <si>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</si>
  <si>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</si>
  <si>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</si>
  <si>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</si>
  <si>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</si>
  <si>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</si>
  <si>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</si>
  <si>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</si>
  <si>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</si>
  <si>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</si>
  <si>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</si>
  <si>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</si>
  <si>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</si>
  <si>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</si>
  <si>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</si>
  <si>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</si>
  <si>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</si>
  <si>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</si>
  <si>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</si>
  <si>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</si>
  <si>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</si>
  <si>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</si>
  <si>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</si>
  <si>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</si>
  <si>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</si>
  <si>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</si>
  <si>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</si>
  <si>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</si>
  <si>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</si>
  <si>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</si>
  <si>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</si>
  <si>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</si>
  <si>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</si>
  <si>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</si>
  <si>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</si>
  <si>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</si>
  <si>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</si>
  <si>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</si>
  <si>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</si>
  <si>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</si>
  <si>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</si>
  <si>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</si>
  <si>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</si>
  <si>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</si>
  <si>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</si>
  <si>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</si>
  <si>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</si>
  <si>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</si>
  <si>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</si>
  <si>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</si>
  <si>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</si>
  <si>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</si>
  <si>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</si>
  <si>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</si>
  <si>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</si>
  <si>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</si>
  <si>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</si>
  <si>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</si>
  <si>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</si>
  <si>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</si>
  <si>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</si>
  <si>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</si>
  <si>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</si>
  <si>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</si>
  <si>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</si>
  <si>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</si>
  <si>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</si>
  <si>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</si>
  <si>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</si>
  <si>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</si>
  <si>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</si>
  <si>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</si>
  <si>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</si>
  <si>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</si>
  <si>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</si>
  <si>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</si>
  <si>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</si>
  <si>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</si>
  <si>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</si>
  <si>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</si>
  <si>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</si>
  <si>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</si>
  <si>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</si>
  <si>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</si>
  <si>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</si>
  <si>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</si>
  <si>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</si>
  <si>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</si>
  <si>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</si>
  <si>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</si>
  <si>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</si>
  <si>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</si>
  <si>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</si>
  <si>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</si>
  <si>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</si>
  <si>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</si>
  <si>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</si>
  <si>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</si>
  <si>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</si>
  <si>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</si>
  <si>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</si>
  <si>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</si>
  <si>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</si>
  <si>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</si>
  <si>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</si>
  <si>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</si>
  <si>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</si>
  <si>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</si>
  <si>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</si>
  <si>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</si>
  <si>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</si>
  <si>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</si>
  <si>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</si>
  <si>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</si>
  <si>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</si>
  <si>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</si>
  <si>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</si>
  <si>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</si>
  <si>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</si>
  <si>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</si>
  <si>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</si>
  <si>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</si>
  <si>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</si>
  <si>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</si>
  <si>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</si>
  <si>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</si>
  <si>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</si>
  <si>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</si>
  <si>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</si>
  <si>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</si>
  <si>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</si>
  <si>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</si>
  <si>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</si>
  <si>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</si>
  <si>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</si>
  <si>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</si>
  <si>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</si>
  <si>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</si>
  <si>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</si>
  <si>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</si>
  <si>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</si>
  <si>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</si>
  <si>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</si>
  <si>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</si>
  <si>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</si>
  <si>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</si>
  <si>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</si>
  <si>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</si>
  <si>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</si>
  <si>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</si>
  <si>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</si>
  <si>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</si>
  <si>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</si>
  <si>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</si>
  <si>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</si>
  <si>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</si>
  <si>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</si>
  <si>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</si>
  <si>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</si>
  <si>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</si>
  <si>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</si>
  <si>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</si>
  <si>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</si>
  <si>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</si>
  <si>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</si>
  <si>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</si>
  <si>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</si>
  <si>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</si>
  <si>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</si>
  <si>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</si>
  <si>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</si>
  <si>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</si>
  <si>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</si>
  <si>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</si>
  <si>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</si>
  <si>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</si>
  <si>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</si>
  <si>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</si>
  <si>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</si>
  <si>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</si>
  <si>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</si>
  <si>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</si>
  <si>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</si>
  <si>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</si>
  <si>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</si>
  <si>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</si>
  <si>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</si>
  <si>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</si>
  <si>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</si>
  <si>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</si>
  <si>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</si>
  <si>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</si>
  <si>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</si>
  <si>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</si>
  <si>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</si>
  <si>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</si>
  <si>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</si>
  <si>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</si>
  <si>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</si>
  <si>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</si>
  <si>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</si>
  <si>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</si>
  <si>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</si>
  <si>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</si>
  <si>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</si>
  <si>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</si>
  <si>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</si>
  <si>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</si>
  <si>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</si>
  <si>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</si>
  <si>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</si>
  <si>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</si>
  <si>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</si>
  <si>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</si>
  <si>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</si>
  <si>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</si>
  <si>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</si>
  <si>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</si>
  <si>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</si>
  <si>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</si>
  <si>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</si>
  <si>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</si>
  <si>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</si>
  <si>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</si>
  <si>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</si>
  <si>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</si>
  <si>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</si>
  <si>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</si>
  <si>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</si>
  <si>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</si>
  <si>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</si>
  <si>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</si>
  <si>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</si>
  <si>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</si>
  <si>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</si>
  <si>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</si>
  <si>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</si>
  <si>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</si>
  <si>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</si>
  <si>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</si>
  <si>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</si>
  <si>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</si>
  <si>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</si>
  <si>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</si>
  <si>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</si>
  <si>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</si>
  <si>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</si>
  <si>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</si>
  <si>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</si>
  <si>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</si>
  <si>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</si>
  <si>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</si>
  <si>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</si>
  <si>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</si>
  <si>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</si>
  <si>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</si>
  <si>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</si>
  <si>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</si>
  <si>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</si>
  <si>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</si>
  <si>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</si>
  <si>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</si>
  <si>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</si>
  <si>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</si>
  <si>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</si>
  <si>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</si>
  <si>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</si>
  <si>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</si>
  <si>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</si>
  <si>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</si>
  <si>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</si>
  <si>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</si>
  <si>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</si>
  <si>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</si>
  <si>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</si>
  <si>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</si>
  <si>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</si>
  <si>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</si>
  <si>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</si>
  <si>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</si>
  <si>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</si>
  <si>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</si>
  <si>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</si>
  <si>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</si>
  <si>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</si>
  <si>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</si>
  <si>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</si>
  <si>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</si>
  <si>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</si>
  <si>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</si>
  <si>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</si>
  <si>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</si>
  <si>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</si>
  <si>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</si>
  <si>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</si>
  <si>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</si>
  <si>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</si>
  <si>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</si>
  <si>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</si>
  <si>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</si>
  <si>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</si>
  <si>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</si>
  <si>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</si>
  <si>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</si>
  <si>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</si>
  <si>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</si>
  <si>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</si>
  <si>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</si>
  <si>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</si>
  <si>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</si>
  <si>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</si>
  <si>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</si>
  <si>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</si>
  <si>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</si>
  <si>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</si>
  <si>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</si>
  <si>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</si>
  <si>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</si>
  <si>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</si>
  <si>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</si>
  <si>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</si>
  <si>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</si>
  <si>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</si>
  <si>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</si>
  <si>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</si>
  <si>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</si>
  <si>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</si>
  <si>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</si>
  <si>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</si>
  <si>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</si>
  <si>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</si>
  <si>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</si>
  <si>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</si>
  <si>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</si>
  <si>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</si>
  <si>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</si>
  <si>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</si>
  <si>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</si>
  <si>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</si>
  <si>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</si>
  <si>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</si>
  <si>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</si>
  <si>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</si>
  <si>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</si>
  <si>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</si>
  <si>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</si>
  <si>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</si>
  <si>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</si>
  <si>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</si>
  <si>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</si>
  <si>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</si>
  <si>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</si>
  <si>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</si>
  <si>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</si>
  <si>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</si>
  <si>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</si>
  <si>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</si>
  <si>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</si>
  <si>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</si>
  <si>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</si>
  <si>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</si>
  <si>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</si>
  <si>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</si>
  <si>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</si>
  <si>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</si>
  <si>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</si>
  <si>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</si>
  <si>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</si>
  <si>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</si>
  <si>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</si>
  <si>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</si>
  <si>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</si>
  <si>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</si>
  <si>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</si>
  <si>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</si>
  <si>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</si>
  <si>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</si>
  <si>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</si>
  <si>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</si>
  <si>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</si>
  <si>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</si>
  <si>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</si>
  <si>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</si>
  <si>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</si>
  <si>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</si>
  <si>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</si>
  <si>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</si>
  <si>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</si>
  <si>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</si>
  <si>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</si>
  <si>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</si>
  <si>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</si>
  <si>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</si>
  <si>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</si>
  <si>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</si>
  <si>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</si>
  <si>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</si>
  <si>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</si>
  <si>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</si>
  <si>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</si>
  <si>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</si>
  <si>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</si>
  <si>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</si>
  <si>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</si>
  <si>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</si>
  <si>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</si>
  <si>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</si>
  <si>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</si>
  <si>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</si>
  <si>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</si>
  <si>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</si>
  <si>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</si>
  <si>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</si>
  <si>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</si>
  <si>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</si>
  <si>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</si>
  <si>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</si>
  <si>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</si>
  <si>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</si>
  <si>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</si>
  <si>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</si>
  <si>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</si>
  <si>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</si>
  <si>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</si>
  <si>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</si>
  <si>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</si>
  <si>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</si>
  <si>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</si>
  <si>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</si>
  <si>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</si>
  <si>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</si>
  <si>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</si>
  <si>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</si>
  <si>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</si>
  <si>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</si>
  <si>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</si>
  <si>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</si>
  <si>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</si>
  <si>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</si>
  <si>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</si>
  <si>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</si>
  <si>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</si>
  <si>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</si>
  <si>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</si>
  <si>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</si>
  <si>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</si>
  <si>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</si>
  <si>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</si>
  <si>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</si>
  <si>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</si>
  <si>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</si>
  <si>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</si>
  <si>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</si>
  <si>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</si>
  <si>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</si>
  <si>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</si>
  <si>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</si>
  <si>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</si>
  <si>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</si>
  <si>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</si>
  <si>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</si>
  <si>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</si>
  <si>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</si>
  <si>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</si>
  <si>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</si>
  <si>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</si>
  <si>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</si>
  <si>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</si>
  <si>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</si>
  <si>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</si>
  <si>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</si>
  <si>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</si>
  <si>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</si>
  <si>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</si>
  <si>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</si>
  <si>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</si>
  <si>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</si>
  <si>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</si>
  <si>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</si>
  <si>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</si>
  <si>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</si>
  <si>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</si>
  <si>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</si>
  <si>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</si>
  <si>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</si>
  <si>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</si>
  <si>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</si>
  <si>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</si>
  <si>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</si>
  <si>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</si>
  <si>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</si>
  <si>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</si>
  <si>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</si>
  <si>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</si>
  <si>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</si>
  <si>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</si>
  <si>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</si>
  <si>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</si>
  <si>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</si>
  <si>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</si>
  <si>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</si>
  <si>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</si>
  <si>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</si>
  <si>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</si>
  <si>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</si>
  <si>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</si>
  <si>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</si>
  <si>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</si>
  <si>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</si>
  <si>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</si>
  <si>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</si>
  <si>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</si>
  <si>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</si>
  <si>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</si>
  <si>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</si>
  <si>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</si>
  <si>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</si>
  <si>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</si>
  <si>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</si>
  <si>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</si>
  <si>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</si>
  <si>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</si>
  <si>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</si>
  <si>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</si>
  <si>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</si>
  <si>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</si>
  <si>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</si>
  <si>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</si>
  <si>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</si>
  <si>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</si>
  <si>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</si>
  <si>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</si>
  <si>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</si>
  <si>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</si>
  <si>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</si>
  <si>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</si>
  <si>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</si>
  <si>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</si>
  <si>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</si>
  <si>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</si>
  <si>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</si>
  <si>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</si>
  <si>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</si>
  <si>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</si>
  <si>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</si>
  <si>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</si>
  <si>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</si>
  <si>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</si>
  <si>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</si>
  <si>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</si>
  <si>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</si>
  <si>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</si>
  <si>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</si>
  <si>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</si>
  <si>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</si>
  <si>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</si>
  <si>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</si>
  <si>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</si>
  <si>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</si>
  <si>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</si>
  <si>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</si>
  <si>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</si>
  <si>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</si>
  <si>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</si>
  <si>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</si>
  <si>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</si>
  <si>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</si>
  <si>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</si>
  <si>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</si>
  <si>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</si>
  <si>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</si>
  <si>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</si>
  <si>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</si>
  <si>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</si>
  <si>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</si>
  <si>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</si>
  <si>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</si>
  <si>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</si>
  <si>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</si>
  <si>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</si>
  <si>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</si>
  <si>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</si>
  <si>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</si>
  <si>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</si>
  <si>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</si>
  <si>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</si>
  <si>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</si>
  <si>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</si>
  <si>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</si>
  <si>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</si>
  <si>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</si>
  <si>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</si>
  <si>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</si>
  <si>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</si>
  <si>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</si>
  <si>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</si>
  <si>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</si>
  <si>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</si>
  <si>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</si>
  <si>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</si>
  <si>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</si>
  <si>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</si>
  <si>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</si>
  <si>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</si>
  <si>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</si>
  <si>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</si>
  <si>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</si>
  <si>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</si>
  <si>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</si>
  <si>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</si>
  <si>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</si>
  <si>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</si>
  <si>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</si>
  <si>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</si>
  <si>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</si>
  <si>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</si>
  <si>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</si>
  <si>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</si>
  <si>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</si>
  <si>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</si>
  <si>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</si>
  <si>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</si>
  <si>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</si>
  <si>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</si>
  <si>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</si>
  <si>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</si>
  <si>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</si>
  <si>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</si>
  <si>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</si>
  <si>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</si>
  <si>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</si>
  <si>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</si>
  <si>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</si>
  <si>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</si>
  <si>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</si>
  <si>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</si>
  <si>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</si>
  <si>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</si>
  <si>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</si>
  <si>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</si>
  <si>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</si>
  <si>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</si>
  <si>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</si>
  <si>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</si>
  <si>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</si>
  <si>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</si>
  <si>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</si>
  <si>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</si>
  <si>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</si>
  <si>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</si>
  <si>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</si>
  <si>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</si>
  <si>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</si>
  <si>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</si>
  <si>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</si>
  <si>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</si>
  <si>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</si>
  <si>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</si>
  <si>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</si>
  <si>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</si>
  <si>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</si>
  <si>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</si>
  <si>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</si>
  <si>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</si>
  <si>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</si>
  <si>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</si>
  <si>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</si>
  <si>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</si>
  <si>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</si>
  <si>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</si>
  <si>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</si>
  <si>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</si>
  <si>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</si>
  <si>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</si>
  <si>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</si>
  <si>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</si>
  <si>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</si>
  <si>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</si>
  <si>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</si>
  <si>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</si>
  <si>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</si>
  <si>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</si>
  <si>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</si>
  <si>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</si>
  <si>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</si>
  <si>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</si>
  <si>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</si>
  <si>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</si>
  <si>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</si>
  <si>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</si>
  <si>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</si>
  <si>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</si>
  <si>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</si>
  <si>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</si>
  <si>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</si>
  <si>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</si>
  <si>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</si>
  <si>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</si>
  <si>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</si>
  <si>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</si>
  <si>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</si>
  <si>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</si>
  <si>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</si>
  <si>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</si>
  <si>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</si>
  <si>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</si>
  <si>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</si>
  <si>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</si>
  <si>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</si>
  <si>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</si>
  <si>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</si>
  <si>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</si>
  <si>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</si>
  <si>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</si>
  <si>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</si>
  <si>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</si>
  <si>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</si>
  <si>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</si>
  <si>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</si>
  <si>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</si>
  <si>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</si>
  <si>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</si>
  <si>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</si>
  <si>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</si>
  <si>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</si>
  <si>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</si>
  <si>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</si>
  <si>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</si>
  <si>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</si>
  <si>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</si>
  <si>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</si>
  <si>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</si>
  <si>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</si>
  <si>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</si>
  <si>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</si>
  <si>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</si>
  <si>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</si>
  <si>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</si>
  <si>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</si>
  <si>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</si>
  <si>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</si>
  <si>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</si>
  <si>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</si>
  <si>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</si>
  <si>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</si>
  <si>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</si>
  <si>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</si>
  <si>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</si>
  <si>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</si>
  <si>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</si>
  <si>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</si>
  <si>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</si>
  <si>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</si>
  <si>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</si>
  <si>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</si>
  <si>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</si>
  <si>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</si>
  <si>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</si>
  <si>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</si>
  <si>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</si>
  <si>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</si>
  <si>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</si>
  <si>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</si>
  <si>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</si>
  <si>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</si>
  <si>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</si>
  <si>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</si>
  <si>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</si>
  <si>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</si>
  <si>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</si>
  <si>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</si>
  <si>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</si>
  <si>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</si>
  <si>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</si>
  <si>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</si>
  <si>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</si>
  <si>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</si>
  <si>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</si>
  <si>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</si>
  <si>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</si>
  <si>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</si>
  <si>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</si>
  <si>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</si>
  <si>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</si>
  <si>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</si>
  <si>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</si>
  <si>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</si>
  <si>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</si>
  <si>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</si>
  <si>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</si>
  <si>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</si>
  <si>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</si>
  <si>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</si>
  <si>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</si>
  <si>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</si>
  <si>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</si>
  <si>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</si>
  <si>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</si>
  <si>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</si>
  <si>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</si>
  <si>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</si>
  <si>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</si>
  <si>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</si>
  <si>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</si>
  <si>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</si>
  <si>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</si>
  <si>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</si>
  <si>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</si>
  <si>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</si>
  <si>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</si>
  <si>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</si>
  <si>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</si>
  <si>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</si>
  <si>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</si>
  <si>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</si>
  <si>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</si>
  <si>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</si>
  <si>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</si>
  <si>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</si>
  <si>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</si>
  <si>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</si>
  <si>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</si>
  <si>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</si>
  <si>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</si>
  <si>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</si>
  <si>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</si>
  <si>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</si>
  <si>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</si>
  <si>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</si>
  <si>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</si>
  <si>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</si>
  <si>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</si>
  <si>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</si>
  <si>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</si>
  <si>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</si>
  <si>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</si>
  <si>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</si>
  <si>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</si>
  <si>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</si>
  <si>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</si>
  <si>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</si>
  <si>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</si>
  <si>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</si>
  <si>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</si>
  <si>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</si>
  <si>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</si>
  <si>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</si>
  <si>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</si>
  <si>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</si>
  <si>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</si>
  <si>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</si>
  <si>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</si>
  <si>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</si>
  <si>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</si>
  <si>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</si>
  <si>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</si>
  <si>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</si>
  <si>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</si>
  <si>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</si>
  <si>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</si>
  <si>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</si>
  <si>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</si>
  <si>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</si>
  <si>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</si>
  <si>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</si>
  <si>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</si>
  <si>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</si>
  <si>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</si>
  <si>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</si>
  <si>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</si>
  <si>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</si>
  <si>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</si>
  <si>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</si>
  <si>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</si>
  <si>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</si>
  <si>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</si>
  <si>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</si>
  <si>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</si>
  <si>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</si>
  <si>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</si>
  <si>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</si>
  <si>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</si>
  <si>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</si>
  <si>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</si>
  <si>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</si>
  <si>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</si>
  <si>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</si>
  <si>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</si>
  <si>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</si>
  <si>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</si>
  <si>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</si>
  <si>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</si>
  <si>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</si>
  <si>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</si>
  <si>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</si>
  <si>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</si>
  <si>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</si>
  <si>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</si>
  <si>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</si>
  <si>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</si>
  <si>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</si>
  <si>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</si>
  <si>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</si>
  <si>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</si>
  <si>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</si>
  <si>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</si>
  <si>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</si>
  <si>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</si>
  <si>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</si>
  <si>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</si>
  <si>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</si>
  <si>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</si>
  <si>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</si>
  <si>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</si>
  <si>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</si>
  <si>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</si>
  <si>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</si>
  <si>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</si>
  <si>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</si>
  <si>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</si>
  <si>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</si>
  <si>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</si>
  <si>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</si>
  <si>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</si>
  <si>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</si>
  <si>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</si>
  <si>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</si>
  <si>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</si>
  <si>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</si>
  <si>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</si>
  <si>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</si>
  <si>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</si>
  <si>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</si>
  <si>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</si>
  <si>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</si>
  <si>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</si>
  <si>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</si>
  <si>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</si>
  <si>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</si>
  <si>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</si>
  <si>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</si>
  <si>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</si>
  <si>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</si>
  <si>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</si>
  <si>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</si>
  <si>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</si>
  <si>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</si>
  <si>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</si>
  <si>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</si>
  <si>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</si>
  <si>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</si>
  <si>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</si>
  <si>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</si>
  <si>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</si>
  <si>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</si>
  <si>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</si>
  <si>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</si>
  <si>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</si>
  <si>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</si>
  <si>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</si>
  <si>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</si>
  <si>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</si>
  <si>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</si>
  <si>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</si>
  <si>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</si>
  <si>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</si>
  <si>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</si>
  <si>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</si>
  <si>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</si>
  <si>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</si>
  <si>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</si>
  <si>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</si>
  <si>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</si>
  <si>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</si>
  <si>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</si>
  <si>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</si>
  <si>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</si>
  <si>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</si>
  <si>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</si>
  <si>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</si>
  <si>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</si>
  <si>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</si>
  <si>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</si>
  <si>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</si>
  <si>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</si>
  <si>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</si>
  <si>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</si>
  <si>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</si>
  <si>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</si>
  <si>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</si>
  <si>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</si>
  <si>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</si>
  <si>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</si>
  <si>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</si>
  <si>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</si>
  <si>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</si>
  <si>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</si>
  <si>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</si>
  <si>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</si>
  <si>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</si>
  <si>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</si>
  <si>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</si>
  <si>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</si>
  <si>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</si>
  <si>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</si>
  <si>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</si>
  <si>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</si>
  <si>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</si>
  <si>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</si>
  <si>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</si>
  <si>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</si>
  <si>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</si>
  <si>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</si>
  <si>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</si>
  <si>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</si>
  <si>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</si>
  <si>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</si>
  <si>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</si>
  <si>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</si>
  <si>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</si>
  <si>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</si>
  <si>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</si>
  <si>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</si>
  <si>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</si>
  <si>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</si>
  <si>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</si>
  <si>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</si>
  <si>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</si>
  <si>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</si>
  <si>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</si>
  <si>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</si>
  <si>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</si>
  <si>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</si>
  <si>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</si>
  <si>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</si>
  <si>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</si>
  <si>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</si>
  <si>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</si>
  <si>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</si>
  <si>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</si>
  <si>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</si>
  <si>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</si>
  <si>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</si>
  <si>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</si>
  <si>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</si>
  <si>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</si>
  <si>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</si>
  <si>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</si>
  <si>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</si>
  <si>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</si>
  <si>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</si>
  <si>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</si>
  <si>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</si>
  <si>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</si>
  <si>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</si>
  <si>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</si>
  <si>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</si>
  <si>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</si>
  <si>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</si>
  <si>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</si>
  <si>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</si>
  <si>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</si>
  <si>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</si>
  <si>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</si>
  <si>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</si>
  <si>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</si>
  <si>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</si>
  <si>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</si>
  <si>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</si>
  <si>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</si>
  <si>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</si>
  <si>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</si>
  <si>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</si>
  <si>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</si>
  <si>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</si>
  <si>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</si>
  <si>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</si>
  <si>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</si>
  <si>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</si>
  <si>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</si>
  <si>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</si>
  <si>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</si>
  <si>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</si>
  <si>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</si>
  <si>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</si>
  <si>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</si>
  <si>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</si>
  <si>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</si>
  <si>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</si>
  <si>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</si>
  <si>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</si>
  <si>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</si>
  <si>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</si>
  <si>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</si>
  <si>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</si>
  <si>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</si>
  <si>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</si>
  <si>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</si>
  <si>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</si>
  <si>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</si>
  <si>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</si>
  <si>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</si>
  <si>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</si>
  <si>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</si>
  <si>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</si>
  <si>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</si>
  <si>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</si>
  <si>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</si>
  <si>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</si>
  <si>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</si>
  <si>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</si>
  <si>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</si>
  <si>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</si>
  <si>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</si>
  <si>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</si>
  <si>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</si>
  <si>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</si>
  <si>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</si>
  <si>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</si>
  <si>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</si>
  <si>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</si>
  <si>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</si>
  <si>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</si>
  <si>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</si>
  <si>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</si>
  <si>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</si>
  <si>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</si>
  <si>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</si>
  <si>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</si>
  <si>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</si>
  <si>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</si>
  <si>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</si>
  <si>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</si>
  <si>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</si>
  <si>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</si>
  <si>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</si>
  <si>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</si>
  <si>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</si>
  <si>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</si>
  <si>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</si>
  <si>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</si>
  <si>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</si>
  <si>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</si>
  <si>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</si>
  <si>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</si>
  <si>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</si>
  <si>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</si>
  <si>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</si>
  <si>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</si>
  <si>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</si>
  <si>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</si>
  <si>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</si>
  <si>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</si>
  <si>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</si>
  <si>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</si>
  <si>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</si>
  <si>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</si>
  <si>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</si>
  <si>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</si>
  <si>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</si>
  <si>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</si>
  <si>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</si>
  <si>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</si>
  <si>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</si>
  <si>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</si>
  <si>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</si>
  <si>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</si>
  <si>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</si>
  <si>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</si>
  <si>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</si>
  <si>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</si>
  <si>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</si>
  <si>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</si>
  <si>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</si>
  <si>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</si>
  <si>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</si>
  <si>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</si>
  <si>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</si>
  <si>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</si>
  <si>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</si>
  <si>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</si>
  <si>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</si>
  <si>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</si>
  <si>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</si>
  <si>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</si>
  <si>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</si>
  <si>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</si>
  <si>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</si>
  <si>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</si>
  <si>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</si>
  <si>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</si>
  <si>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</si>
  <si>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</si>
  <si>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</si>
  <si>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</si>
  <si>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</si>
  <si>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</si>
  <si>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</si>
  <si>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</si>
  <si>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</si>
  <si>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</si>
  <si>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</si>
  <si>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</si>
  <si>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</si>
  <si>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</si>
  <si>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</si>
  <si>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</si>
  <si>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</si>
  <si>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</si>
  <si>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</si>
  <si>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</si>
  <si>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</si>
  <si>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</si>
  <si>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</si>
  <si>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</si>
  <si>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</si>
  <si>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</si>
  <si>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</si>
  <si>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</si>
  <si>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</si>
  <si>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</si>
  <si>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</si>
  <si>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</si>
  <si>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</si>
  <si>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</si>
  <si>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</si>
  <si>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</si>
  <si>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</si>
  <si>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</si>
  <si>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</si>
  <si>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</si>
  <si>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</si>
  <si>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</si>
  <si>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</si>
  <si>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</si>
  <si>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</si>
  <si>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</si>
  <si>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</si>
  <si>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</si>
  <si>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</si>
  <si>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</si>
  <si>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</si>
  <si>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</si>
  <si>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</si>
  <si>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</si>
  <si>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</si>
  <si>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</si>
  <si>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</si>
  <si>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</si>
  <si>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</si>
  <si>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</si>
  <si>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</si>
  <si>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</si>
  <si>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</si>
  <si>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</si>
  <si>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</si>
  <si>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</si>
  <si>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</si>
  <si>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</si>
  <si>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</si>
  <si>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</si>
  <si>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</si>
  <si>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</si>
  <si>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</si>
  <si>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</si>
  <si>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</si>
  <si>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</si>
  <si>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</si>
  <si>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</si>
  <si>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</si>
  <si>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</si>
  <si>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</si>
  <si>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</si>
  <si>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</si>
  <si>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</si>
  <si>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</si>
  <si>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</si>
  <si>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</si>
  <si>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</si>
  <si>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</si>
  <si>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</si>
  <si>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</si>
  <si>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</si>
  <si>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</si>
  <si>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</si>
  <si>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</si>
  <si>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</si>
  <si>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</si>
  <si>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</si>
  <si>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</si>
  <si>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</si>
  <si>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</si>
  <si>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</si>
  <si>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</si>
  <si>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</si>
  <si>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</si>
  <si>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</si>
  <si>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</si>
  <si>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</si>
  <si>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</si>
  <si>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</si>
  <si>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</si>
  <si>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</si>
  <si>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</si>
  <si>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</si>
  <si>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</si>
  <si>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</si>
  <si>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</si>
  <si>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</si>
  <si>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</si>
  <si>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</si>
  <si>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</si>
  <si>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</si>
  <si>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</si>
  <si>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</si>
  <si>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</si>
  <si>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</si>
  <si>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</si>
  <si>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</si>
  <si>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</si>
  <si>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</si>
  <si>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</si>
  <si>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</si>
  <si>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</si>
  <si>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</si>
  <si>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</si>
  <si>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</si>
  <si>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</si>
  <si>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</si>
  <si>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</si>
  <si>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</si>
  <si>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</si>
  <si>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</si>
  <si>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</si>
  <si>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</si>
  <si>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</si>
  <si>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</si>
  <si>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</si>
  <si>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</si>
  <si>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</si>
  <si>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</si>
  <si>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</si>
  <si>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</si>
  <si>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</si>
  <si>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</si>
  <si>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</si>
  <si>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</si>
  <si>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</si>
  <si>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</si>
  <si>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</si>
  <si>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</si>
  <si>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</si>
  <si>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</si>
  <si>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</si>
  <si>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</si>
  <si>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</si>
  <si>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</si>
  <si>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</si>
  <si>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</si>
  <si>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</si>
  <si>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</si>
  <si>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</si>
  <si>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</si>
  <si>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</si>
  <si>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</si>
  <si>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</si>
  <si>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</si>
  <si>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</si>
  <si>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</si>
  <si>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</si>
  <si>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</si>
  <si>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</si>
  <si>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</si>
  <si>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</si>
  <si>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</si>
  <si>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</si>
  <si>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</si>
  <si>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</si>
  <si>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</si>
  <si>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</si>
  <si>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</si>
  <si>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</si>
  <si>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</si>
  <si>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</si>
  <si>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</si>
  <si>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</si>
  <si>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</si>
  <si>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</si>
  <si>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</si>
  <si>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</si>
  <si>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</si>
  <si>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</si>
  <si>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</si>
  <si>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</si>
  <si>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</si>
  <si>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</si>
  <si>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</si>
  <si>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</si>
  <si>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</si>
  <si>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</si>
  <si>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</si>
  <si>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</si>
  <si>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</si>
  <si>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</si>
  <si>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</si>
  <si>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</si>
  <si>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</si>
  <si>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</si>
  <si>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</si>
  <si>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</si>
  <si>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</si>
  <si>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</si>
  <si>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</si>
  <si>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</si>
  <si>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</si>
  <si>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</si>
  <si>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</si>
  <si>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</si>
  <si>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</si>
  <si>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</si>
  <si>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</si>
  <si>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</si>
  <si>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</si>
  <si>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</si>
  <si>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</si>
  <si>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</si>
  <si>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</si>
  <si>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</si>
  <si>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</si>
  <si>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</si>
  <si>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</si>
  <si>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</si>
  <si>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</si>
  <si>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</si>
  <si>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</si>
  <si>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</si>
  <si>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</si>
  <si>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</si>
  <si>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</si>
  <si>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</si>
  <si>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</si>
  <si>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</si>
  <si>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</si>
  <si>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</si>
  <si>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</si>
  <si>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</si>
  <si>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</si>
  <si>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</si>
  <si>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</si>
  <si>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</si>
  <si>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</si>
  <si>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</si>
  <si>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</si>
  <si>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</si>
  <si>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</si>
  <si>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</si>
  <si>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</si>
  <si>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</si>
  <si>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</si>
  <si>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</si>
  <si>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</si>
  <si>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</si>
  <si>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</si>
  <si>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</si>
  <si>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</si>
  <si>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</si>
  <si>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</si>
  <si>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</si>
  <si>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</si>
  <si>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</si>
  <si>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</si>
  <si>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</si>
  <si>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</si>
  <si>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</si>
  <si>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</si>
  <si>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</si>
  <si>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</si>
  <si>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</si>
  <si>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</si>
  <si>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</si>
  <si>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</si>
  <si>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</si>
  <si>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</si>
  <si>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</si>
  <si>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</si>
  <si>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</si>
  <si>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</si>
  <si>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</si>
  <si>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</si>
  <si>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</si>
  <si>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</si>
  <si>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</si>
  <si>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</si>
  <si>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</si>
  <si>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</si>
  <si>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</si>
  <si>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</si>
  <si>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</si>
  <si>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</si>
  <si>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</si>
  <si>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</si>
  <si>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</si>
  <si>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</si>
  <si>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</si>
  <si>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</si>
  <si>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</si>
  <si>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</si>
  <si>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</si>
  <si>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</si>
  <si>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</si>
  <si>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</si>
  <si>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</si>
  <si>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</si>
  <si>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</si>
  <si>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</si>
  <si>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</si>
  <si>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</si>
  <si>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</si>
  <si>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</si>
  <si>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</si>
  <si>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</si>
  <si>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</si>
  <si>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</si>
  <si>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</si>
  <si>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</si>
  <si>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</si>
  <si>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</si>
  <si>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</si>
  <si>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</si>
  <si>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</si>
  <si>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</si>
  <si>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</si>
  <si>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</si>
  <si>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</si>
  <si>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</si>
  <si>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</si>
  <si>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</si>
  <si>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</si>
  <si>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</si>
  <si>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</si>
  <si>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</si>
  <si>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</si>
  <si>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</si>
  <si>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</si>
  <si>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</si>
  <si>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</si>
  <si>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</si>
  <si>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</si>
  <si>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</si>
  <si>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</si>
  <si>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</si>
  <si>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</si>
  <si>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</si>
  <si>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</si>
  <si>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</si>
  <si>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</si>
  <si>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</si>
  <si>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</si>
  <si>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</si>
  <si>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</si>
  <si>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</si>
  <si>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</si>
  <si>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</si>
  <si>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</si>
  <si>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</si>
  <si>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</si>
  <si>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</si>
  <si>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</si>
  <si>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</si>
  <si>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</si>
  <si>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</si>
  <si>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</si>
  <si>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</si>
  <si>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</si>
  <si>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</si>
  <si>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</si>
  <si>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</si>
  <si>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</si>
  <si>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</si>
  <si>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</si>
  <si>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</si>
  <si>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</si>
  <si>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</si>
  <si>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</si>
  <si>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</si>
  <si>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</si>
  <si>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</si>
  <si>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</si>
  <si>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</si>
  <si>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</si>
  <si>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</si>
  <si>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</si>
  <si>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</si>
  <si>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</si>
  <si>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</si>
  <si>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</si>
  <si>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</si>
  <si>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</si>
  <si>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</si>
  <si>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</si>
  <si>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</si>
  <si>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</si>
  <si>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</si>
  <si>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</si>
  <si>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</si>
  <si>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</si>
  <si>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</si>
  <si>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</si>
  <si>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</si>
  <si>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</si>
  <si>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</si>
  <si>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</si>
  <si>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</si>
  <si>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</si>
  <si>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</si>
  <si>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</si>
  <si>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</si>
  <si>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</si>
  <si>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</si>
  <si>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</si>
  <si>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</si>
  <si>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</si>
  <si>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</si>
  <si>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</si>
  <si>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</si>
  <si>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</si>
  <si>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</si>
  <si>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</si>
  <si>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</si>
  <si>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</si>
  <si>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</si>
  <si>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</si>
  <si>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</si>
  <si>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</si>
  <si>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</si>
  <si>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</si>
  <si>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</si>
  <si>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</si>
  <si>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</si>
  <si>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</si>
  <si>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</si>
  <si>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</si>
  <si>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</si>
  <si>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</si>
  <si>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</si>
  <si>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</si>
  <si>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</si>
  <si>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</si>
  <si>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</si>
  <si>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</si>
  <si>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</si>
  <si>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</si>
  <si>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</si>
  <si>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</si>
  <si>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</si>
  <si>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</si>
  <si>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</si>
  <si>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</si>
  <si>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</si>
  <si>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</si>
  <si>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</si>
  <si>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</si>
  <si>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</si>
  <si>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</si>
  <si>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</si>
  <si>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</si>
  <si>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</si>
  <si>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</si>
  <si>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</si>
  <si>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</si>
  <si>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</si>
  <si>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</si>
  <si>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</si>
  <si>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</si>
  <si>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</si>
  <si>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</si>
  <si>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</si>
  <si>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</si>
  <si>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</si>
  <si>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</si>
  <si>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</si>
  <si>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</si>
  <si>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</si>
  <si>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</si>
  <si>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</si>
  <si>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</si>
  <si>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</si>
  <si>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</si>
  <si>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</si>
  <si>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</si>
  <si>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</si>
  <si>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</si>
  <si>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</si>
  <si>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</si>
  <si>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</si>
  <si>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</si>
  <si>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</si>
  <si>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</si>
  <si>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</si>
  <si>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</si>
  <si>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</si>
  <si>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</si>
  <si>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</si>
  <si>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</si>
  <si>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</si>
  <si>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</si>
  <si>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</si>
  <si>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</si>
  <si>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</si>
  <si>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</si>
  <si>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</si>
  <si>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</si>
  <si>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</si>
  <si>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</si>
  <si>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</si>
  <si>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</si>
  <si>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</si>
  <si>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</si>
  <si>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</si>
  <si>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</si>
  <si>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</si>
  <si>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</si>
  <si>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</si>
  <si>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</si>
  <si>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</si>
  <si>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</si>
  <si>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</si>
  <si>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</si>
  <si>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</si>
  <si>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</si>
  <si>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</si>
  <si>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</si>
  <si>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</si>
  <si>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</si>
  <si>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</si>
  <si>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</si>
  <si>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</si>
  <si>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</si>
  <si>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</si>
  <si>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</si>
  <si>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</si>
  <si>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</si>
  <si>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</si>
  <si>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</si>
  <si>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</si>
  <si>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</si>
  <si>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</si>
  <si>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</si>
  <si>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</si>
  <si>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</si>
  <si>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</si>
  <si>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</si>
  <si>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</si>
  <si>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</si>
  <si>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</si>
  <si>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</si>
  <si>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</si>
  <si>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</si>
  <si>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</si>
  <si>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</si>
  <si>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</si>
  <si>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</si>
  <si>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</si>
  <si>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</si>
  <si>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</si>
  <si>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</si>
  <si>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</si>
  <si>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</si>
  <si>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</si>
  <si>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</si>
  <si>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</si>
  <si>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</si>
  <si>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</si>
  <si>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</si>
  <si>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</si>
  <si>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</si>
  <si>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</si>
  <si>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</si>
  <si>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</si>
  <si>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</si>
  <si>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</si>
  <si>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</si>
  <si>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</si>
  <si>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</si>
  <si>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</si>
  <si>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</si>
  <si>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</si>
  <si>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</si>
  <si>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</si>
  <si>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</si>
  <si>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</si>
  <si>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</si>
  <si>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</si>
  <si>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</si>
  <si>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</si>
  <si>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</si>
  <si>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</si>
  <si>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</si>
  <si>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</si>
  <si>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</si>
  <si>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</si>
  <si>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</si>
  <si>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</si>
  <si>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</si>
  <si>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</si>
  <si>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</si>
  <si>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</si>
  <si>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</si>
  <si>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</si>
  <si>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</si>
  <si>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</si>
  <si>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</si>
  <si>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</si>
  <si>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</si>
  <si>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</si>
  <si>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</si>
  <si>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</si>
  <si>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</si>
  <si>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</si>
  <si>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</si>
  <si>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</si>
  <si>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</si>
  <si>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</si>
  <si>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</si>
  <si>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</si>
  <si>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</si>
  <si>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</si>
  <si>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</si>
  <si>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</si>
  <si>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</si>
  <si>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</si>
  <si>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</si>
  <si>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</si>
  <si>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</si>
  <si>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</si>
  <si>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</si>
  <si>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</si>
  <si>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</si>
  <si>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</si>
  <si>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</si>
  <si>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</si>
  <si>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</si>
  <si>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</si>
  <si>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</si>
  <si>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</si>
  <si>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</si>
  <si>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</si>
  <si>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</si>
  <si>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</si>
  <si>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</si>
  <si>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</si>
  <si>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</si>
  <si>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</si>
  <si>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</si>
  <si>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</si>
  <si>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</si>
  <si>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</si>
  <si>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</si>
  <si>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</si>
  <si>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</si>
  <si>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</si>
  <si>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</si>
  <si>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</si>
  <si>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</si>
  <si>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</si>
  <si>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</si>
  <si>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</si>
  <si>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</si>
  <si>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</si>
  <si>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</si>
  <si>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</si>
  <si>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</si>
  <si>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</si>
  <si>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</si>
  <si>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</si>
  <si>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</si>
  <si>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</si>
  <si>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</si>
  <si>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</si>
  <si>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</si>
  <si>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</si>
  <si>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</si>
  <si>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</si>
  <si>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</si>
  <si>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</si>
  <si>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</si>
  <si>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</si>
  <si>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</si>
  <si>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</si>
  <si>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</si>
  <si>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</si>
  <si>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</si>
  <si>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</si>
  <si>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</si>
  <si>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</si>
  <si>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</si>
  <si>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</si>
  <si>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</si>
  <si>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</si>
  <si>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</si>
  <si>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</si>
  <si>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</si>
  <si>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</si>
  <si>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</si>
  <si>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</si>
  <si>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</si>
  <si>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</si>
  <si>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</si>
  <si>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</si>
  <si>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</si>
  <si>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</si>
  <si>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</si>
  <si>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</si>
  <si>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</si>
  <si>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</si>
  <si>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</si>
  <si>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</si>
  <si>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</si>
  <si>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</si>
  <si>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</si>
  <si>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</si>
  <si>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</si>
  <si>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</si>
  <si>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</si>
  <si>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</si>
  <si>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</si>
  <si>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</si>
  <si>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</si>
  <si>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</si>
  <si>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</si>
  <si>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</si>
  <si>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</si>
  <si>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</si>
  <si>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</si>
  <si>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</si>
  <si>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</si>
  <si>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</si>
  <si>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</si>
  <si>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</si>
  <si>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</si>
  <si>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</si>
  <si>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</si>
  <si>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</si>
  <si>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</si>
  <si>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</si>
  <si>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</si>
  <si>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</si>
  <si>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</si>
  <si>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</si>
  <si>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</si>
  <si>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</si>
  <si>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</si>
  <si>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</si>
  <si>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</si>
  <si>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</si>
  <si>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</si>
  <si>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</si>
  <si>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</si>
  <si>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</si>
  <si>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</si>
  <si>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</si>
  <si>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</si>
  <si>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</si>
  <si>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</si>
  <si>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</si>
  <si>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</si>
  <si>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</si>
  <si>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</si>
  <si>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</si>
  <si>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</si>
  <si>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</si>
  <si>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</si>
  <si>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</si>
  <si>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</si>
  <si>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</si>
  <si>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</si>
  <si>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</si>
  <si>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</si>
  <si>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</si>
  <si>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</si>
  <si>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</si>
  <si>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</si>
  <si>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</si>
  <si>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</si>
  <si>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</si>
  <si>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</si>
  <si>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</si>
  <si>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</si>
  <si>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</si>
  <si>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</si>
  <si>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</si>
  <si>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</si>
  <si>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</si>
  <si>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</si>
  <si>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</si>
  <si>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</si>
  <si>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</si>
  <si>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</si>
  <si>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</si>
  <si>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</si>
  <si>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</si>
  <si>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</si>
  <si>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</si>
  <si>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</si>
  <si>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</si>
  <si>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</si>
  <si>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</si>
  <si>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</si>
  <si>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</si>
  <si>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</si>
  <si>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</si>
  <si>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</si>
  <si>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</si>
  <si>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</si>
  <si>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</si>
  <si>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</si>
  <si>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</si>
  <si>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</si>
  <si>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</si>
  <si>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</si>
  <si>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</si>
  <si>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</si>
  <si>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</si>
  <si>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</si>
  <si>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</si>
  <si>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</si>
  <si>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</si>
  <si>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</si>
  <si>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</si>
  <si>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</si>
  <si>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</si>
  <si>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</si>
  <si>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</si>
  <si>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</si>
  <si>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</si>
  <si>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</si>
  <si>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</si>
  <si>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</si>
  <si>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</si>
  <si>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</si>
  <si>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</si>
  <si>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</si>
  <si>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</si>
  <si>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</si>
  <si>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</si>
  <si>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</si>
  <si>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</si>
  <si>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</si>
  <si>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</si>
  <si>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</si>
  <si>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</si>
  <si>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</si>
  <si>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</si>
  <si>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</si>
  <si>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</si>
  <si>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</si>
  <si>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</si>
  <si>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</si>
  <si>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</si>
  <si>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</si>
  <si>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</si>
  <si>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</si>
  <si>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</si>
  <si>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</si>
  <si>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</si>
  <si>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</si>
  <si>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</si>
  <si>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</si>
  <si>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</si>
  <si>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</si>
  <si>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</si>
  <si>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</si>
  <si>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</si>
  <si>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</si>
  <si>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</si>
  <si>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</si>
  <si>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</si>
  <si>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</si>
  <si>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</si>
  <si>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</si>
  <si>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</si>
  <si>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</si>
  <si>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</si>
  <si>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</si>
  <si>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</si>
  <si>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</si>
  <si>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</si>
  <si>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</si>
  <si>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</si>
  <si>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</si>
  <si>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</si>
  <si>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</si>
  <si>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</si>
  <si>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</si>
  <si>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</si>
  <si>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</si>
  <si>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</si>
  <si>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</si>
  <si>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</si>
  <si>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</si>
  <si>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</si>
  <si>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</si>
  <si>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</si>
  <si>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</si>
  <si>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</si>
  <si>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</si>
  <si>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</si>
  <si>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</si>
  <si>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</si>
  <si>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</si>
  <si>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</si>
  <si>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</si>
  <si>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</si>
  <si>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</si>
  <si>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</si>
  <si>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</si>
  <si>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</si>
  <si>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</si>
  <si>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</si>
  <si>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</si>
  <si>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</si>
  <si>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</si>
  <si>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</si>
  <si>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</si>
  <si>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</si>
  <si>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</si>
  <si>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</si>
  <si>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</si>
  <si>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</si>
  <si>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</si>
  <si>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</si>
  <si>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</si>
  <si>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</si>
  <si>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</si>
  <si>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</si>
  <si>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</si>
  <si>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</si>
  <si>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</si>
  <si>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</si>
  <si>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</si>
  <si>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</si>
  <si>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</si>
  <si>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</si>
  <si>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</si>
  <si>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</si>
  <si>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</si>
  <si>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</si>
  <si>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</si>
  <si>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</si>
  <si>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</si>
  <si>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</si>
  <si>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</si>
  <si>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</si>
  <si>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</si>
  <si>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</si>
  <si>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</si>
  <si>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</si>
  <si>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</si>
  <si>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</si>
  <si>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</si>
  <si>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</si>
  <si>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</si>
  <si>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</si>
  <si>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</si>
  <si>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</si>
  <si>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</si>
  <si>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</si>
  <si>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</si>
  <si>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</si>
  <si>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</si>
  <si>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</si>
  <si>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</si>
  <si>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</si>
  <si>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</si>
  <si>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</si>
  <si>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</si>
  <si>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</si>
  <si>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</si>
  <si>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</si>
  <si>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</si>
  <si>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</si>
  <si>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</si>
  <si>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</si>
  <si>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</si>
  <si>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</si>
  <si>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</si>
  <si>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</si>
  <si>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</si>
  <si>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</si>
  <si>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</si>
  <si>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</si>
  <si>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</si>
  <si>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</si>
  <si>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</si>
  <si>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</si>
  <si>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</si>
  <si>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</si>
  <si>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</si>
  <si>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</si>
  <si>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</si>
  <si>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</si>
  <si>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</si>
  <si>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</si>
  <si>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</si>
  <si>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</si>
  <si>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</si>
  <si>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</si>
  <si>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</si>
  <si>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</si>
  <si>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</si>
  <si>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</si>
  <si>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</si>
  <si>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</si>
  <si>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</si>
  <si>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</si>
  <si>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</si>
  <si>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</si>
  <si>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</si>
  <si>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</si>
  <si>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</si>
  <si>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</si>
  <si>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</si>
  <si>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</si>
  <si>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</si>
  <si>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</si>
  <si>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</si>
  <si>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</si>
  <si>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</si>
  <si>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</si>
  <si>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</si>
  <si>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</si>
  <si>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</si>
  <si>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</si>
  <si>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</si>
  <si>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</si>
  <si>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</si>
  <si>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</si>
  <si>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</si>
  <si>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</si>
  <si>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</si>
  <si>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</si>
  <si>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</si>
  <si>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</si>
  <si>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</si>
  <si>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</si>
  <si>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</si>
  <si>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</si>
  <si>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</si>
  <si>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</si>
  <si>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</si>
  <si>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</si>
  <si>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</si>
  <si>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</si>
  <si>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</si>
  <si>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</si>
  <si>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</si>
  <si>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</si>
  <si>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</si>
  <si>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</si>
  <si>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</si>
  <si>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</si>
  <si>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</si>
  <si>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</si>
  <si>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</si>
  <si>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</si>
  <si>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</si>
  <si>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</si>
  <si>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</si>
  <si>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</si>
  <si>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</si>
  <si>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</si>
  <si>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</si>
  <si>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</si>
  <si>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</si>
  <si>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</si>
  <si>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</si>
  <si>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</si>
  <si>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</si>
  <si>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</si>
  <si>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</si>
  <si>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</si>
  <si>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</si>
  <si>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</si>
  <si>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</si>
  <si>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</si>
  <si>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</si>
  <si>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</si>
  <si>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</si>
  <si>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</si>
  <si>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</si>
  <si>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</si>
  <si>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</si>
  <si>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</si>
  <si>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</si>
  <si>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</si>
  <si>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</si>
  <si>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</si>
  <si>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</si>
  <si>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</si>
  <si>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</si>
  <si>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</si>
  <si>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</si>
  <si>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</si>
  <si>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</si>
  <si>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</si>
  <si>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</si>
  <si>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</si>
  <si>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</si>
  <si>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</si>
  <si>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</si>
  <si>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</si>
  <si>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</si>
  <si>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</si>
  <si>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</si>
  <si>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</si>
  <si>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</si>
  <si>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</si>
  <si>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</si>
  <si>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</si>
  <si>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</si>
  <si>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</si>
  <si>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</si>
  <si>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</si>
  <si>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</si>
  <si>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</si>
  <si>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</si>
  <si>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</si>
  <si>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</si>
  <si>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</si>
  <si>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</si>
  <si>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</si>
  <si>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</si>
  <si>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</si>
  <si>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</si>
  <si>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</si>
  <si>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</si>
  <si>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</si>
  <si>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</si>
  <si>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</si>
  <si>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</si>
  <si>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</si>
  <si>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</si>
  <si>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</si>
  <si>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</si>
  <si>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</si>
  <si>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</si>
  <si>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</si>
  <si>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</si>
  <si>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</si>
  <si>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</si>
  <si>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</si>
  <si>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</si>
  <si>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</si>
  <si>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</si>
  <si>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</si>
  <si>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</si>
  <si>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</si>
  <si>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</si>
  <si>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</si>
  <si>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</si>
  <si>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</si>
  <si>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</si>
  <si>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</si>
  <si>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</si>
  <si>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</si>
  <si>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</si>
  <si>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</si>
  <si>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</si>
  <si>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</si>
  <si>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</si>
  <si>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</si>
  <si>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</si>
  <si>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</si>
  <si>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</si>
  <si>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</si>
  <si>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</si>
  <si>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</si>
  <si>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</si>
  <si>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</si>
  <si>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</si>
  <si>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</si>
  <si>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</si>
  <si>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</si>
  <si>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</si>
  <si>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</si>
  <si>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</si>
  <si>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</si>
  <si>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</si>
  <si>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</si>
  <si>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</si>
  <si>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</si>
  <si>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</si>
  <si>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</si>
  <si>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</si>
  <si>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</si>
  <si>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</si>
  <si>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</si>
  <si>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</si>
  <si>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</si>
  <si>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</si>
  <si>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</si>
  <si>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</si>
  <si>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</si>
  <si>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</si>
  <si>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</si>
  <si>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</si>
  <si>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</si>
  <si>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</si>
  <si>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</si>
  <si>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</si>
  <si>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</si>
  <si>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</si>
  <si>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</si>
  <si>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</si>
  <si>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</si>
  <si>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</si>
  <si>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</si>
  <si>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</si>
  <si>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</si>
  <si>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</si>
  <si>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</si>
  <si>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</si>
  <si>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</si>
  <si>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</si>
  <si>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</si>
  <si>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</si>
  <si>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</si>
  <si>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</si>
  <si>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</si>
  <si>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</si>
  <si>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</si>
  <si>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</si>
  <si>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</si>
  <si>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</si>
  <si>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</si>
  <si>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</si>
  <si>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</si>
  <si>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</si>
  <si>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</si>
  <si>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</si>
  <si>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</si>
  <si>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</si>
  <si>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</si>
  <si>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</si>
  <si>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</si>
  <si>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</si>
  <si>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</si>
  <si>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</si>
  <si>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</si>
  <si>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</si>
  <si>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</si>
  <si>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</si>
  <si>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</si>
  <si>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</si>
  <si>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</si>
  <si>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</si>
  <si>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</si>
  <si>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</si>
  <si>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</si>
  <si>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</si>
  <si>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</si>
  <si>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</si>
  <si>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</si>
  <si>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</si>
  <si>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</si>
  <si>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</si>
  <si>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</si>
  <si>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</si>
  <si>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</si>
  <si>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</si>
  <si>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</si>
  <si>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</si>
  <si>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</si>
  <si>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</si>
  <si>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</si>
  <si>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</si>
  <si>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</si>
  <si>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</si>
  <si>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</si>
  <si>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</si>
  <si>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</si>
  <si>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</si>
  <si>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</si>
  <si>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</si>
  <si>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</si>
  <si>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</si>
  <si>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</si>
  <si>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</si>
  <si>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</si>
  <si>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</si>
  <si>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</si>
  <si>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</si>
  <si>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</si>
  <si>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</si>
  <si>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</si>
  <si>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</si>
  <si>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</si>
  <si>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</si>
  <si>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</si>
  <si>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</si>
  <si>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</si>
  <si>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</si>
  <si>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</si>
  <si>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</si>
  <si>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</si>
  <si>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</si>
  <si>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</si>
  <si>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</si>
  <si>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</si>
  <si>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</si>
  <si>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</si>
  <si>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</si>
  <si>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</si>
  <si>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</si>
  <si>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</si>
  <si>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</si>
  <si>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</si>
  <si>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</si>
  <si>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</si>
  <si>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</si>
  <si>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</si>
  <si>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</si>
  <si>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</si>
  <si>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</si>
  <si>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</si>
  <si>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</si>
  <si>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</si>
  <si>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</si>
  <si>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</si>
  <si>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</si>
  <si>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</si>
  <si>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</si>
  <si>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</si>
  <si>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</si>
  <si>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</si>
  <si>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</si>
  <si>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</si>
  <si>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</si>
  <si>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</si>
  <si>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</si>
  <si>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</si>
  <si>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</si>
  <si>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</si>
  <si>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</si>
  <si>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</si>
  <si>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</si>
  <si>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</si>
  <si>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</si>
  <si>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</si>
  <si>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</si>
  <si>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</si>
  <si>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</si>
  <si>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</si>
  <si>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</si>
  <si>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</si>
  <si>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</si>
  <si>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</si>
  <si>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</si>
  <si>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</si>
  <si>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</si>
  <si>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</si>
  <si>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</si>
  <si>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</si>
  <si>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</si>
  <si>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</si>
  <si>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</si>
  <si>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</si>
  <si>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</si>
  <si>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</si>
  <si>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</si>
  <si>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</si>
  <si>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</si>
  <si>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</si>
  <si>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</si>
  <si>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</si>
  <si>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</si>
  <si>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</si>
  <si>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</si>
  <si>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</si>
  <si>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</si>
  <si>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</si>
  <si>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</si>
  <si>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</si>
  <si>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</si>
  <si>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</si>
  <si>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</si>
  <si>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</si>
  <si>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</si>
  <si>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</si>
  <si>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</si>
  <si>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</si>
  <si>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</si>
  <si>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</si>
  <si>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</si>
  <si>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</si>
  <si>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</si>
  <si>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</si>
  <si>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</si>
  <si>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</si>
  <si>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</si>
  <si>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</si>
  <si>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</si>
  <si>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</si>
  <si>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</si>
  <si>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</si>
  <si>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</si>
  <si>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</si>
  <si>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</si>
  <si>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</si>
  <si>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</si>
  <si>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</si>
  <si>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</si>
  <si>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</si>
  <si>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</si>
  <si>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</si>
  <si>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</si>
  <si>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</si>
  <si>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</si>
  <si>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</si>
  <si>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</si>
  <si>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</si>
  <si>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</si>
  <si>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</si>
  <si>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</si>
  <si>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</si>
  <si>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</si>
  <si>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</si>
  <si>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</si>
  <si>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</si>
  <si>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</si>
  <si>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</si>
  <si>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</si>
  <si>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</si>
  <si>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</si>
  <si>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</si>
  <si>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</si>
  <si>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</si>
  <si>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</si>
  <si>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</si>
  <si>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</si>
  <si>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</si>
  <si>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</si>
  <si>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</si>
  <si>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</si>
  <si>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</si>
  <si>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</si>
  <si>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</si>
  <si>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</si>
  <si>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</si>
  <si>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</si>
  <si>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</si>
  <si>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</si>
  <si>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</si>
  <si>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</si>
  <si>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</si>
  <si>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</si>
  <si>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</si>
  <si>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</si>
  <si>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</si>
  <si>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</si>
  <si>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</si>
  <si>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</si>
  <si>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</si>
  <si>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</si>
  <si>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</si>
  <si>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</si>
  <si>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</si>
  <si>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</si>
  <si>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</si>
  <si>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</si>
  <si>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</si>
  <si>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</si>
  <si>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</si>
  <si>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</si>
  <si>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</si>
  <si>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</si>
  <si>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</si>
  <si>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</si>
  <si>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</si>
  <si>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</si>
  <si>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</si>
  <si>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</si>
  <si>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</si>
  <si>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</si>
  <si>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</si>
  <si>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</si>
  <si>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</si>
  <si>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</si>
  <si>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</si>
  <si>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</si>
  <si>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</si>
  <si>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</si>
  <si>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</si>
  <si>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</si>
  <si>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</si>
  <si>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</si>
  <si>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</si>
  <si>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</si>
  <si>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</si>
  <si>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</si>
  <si>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</si>
  <si>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</si>
  <si>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</si>
  <si>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</si>
  <si>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</si>
  <si>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</si>
  <si>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</si>
  <si>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</si>
  <si>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</si>
  <si>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</si>
  <si>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</si>
  <si>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</si>
  <si>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</si>
  <si>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</si>
  <si>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</si>
  <si>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</si>
  <si>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</si>
  <si>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</si>
  <si>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</si>
  <si>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</si>
  <si>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</si>
  <si>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</si>
  <si>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</si>
  <si>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</si>
  <si>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</si>
  <si>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</si>
  <si>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</si>
  <si>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</si>
  <si>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</si>
  <si>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</si>
  <si>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</si>
  <si>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</si>
  <si>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</si>
  <si>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</si>
  <si>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</si>
  <si>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</si>
  <si>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</si>
  <si>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</si>
  <si>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</si>
  <si>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</si>
  <si>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</si>
  <si>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</si>
  <si>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</si>
  <si>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</si>
  <si>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</si>
  <si>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</si>
  <si>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</si>
  <si>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</si>
  <si>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</si>
  <si>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</si>
  <si>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</si>
  <si>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</si>
  <si>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</si>
  <si>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</si>
  <si>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</si>
  <si>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</si>
  <si>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</si>
  <si>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</si>
  <si>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</si>
  <si>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</si>
  <si>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</si>
  <si>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</si>
  <si>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</si>
  <si>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</si>
  <si>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</si>
  <si>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</si>
  <si>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</si>
  <si>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</si>
  <si>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</si>
  <si>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</si>
  <si>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</si>
  <si>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</si>
  <si>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</si>
  <si>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</si>
  <si>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</si>
  <si>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</si>
  <si>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</si>
  <si>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</si>
  <si>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</si>
  <si>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</si>
  <si>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</si>
  <si>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</si>
  <si>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</si>
  <si>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</si>
  <si>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</si>
  <si>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</si>
  <si>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</si>
  <si>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</si>
  <si>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</si>
  <si>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</si>
  <si>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</si>
  <si>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</si>
  <si>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</si>
  <si>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</si>
  <si>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</si>
  <si>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</si>
  <si>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</si>
  <si>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</si>
  <si>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</si>
  <si>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</si>
  <si>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</si>
  <si>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</si>
  <si>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</si>
  <si>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</si>
  <si>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</si>
  <si>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</si>
  <si>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</si>
  <si>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</si>
  <si>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</si>
  <si>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</si>
  <si>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</si>
  <si>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</si>
  <si>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</si>
  <si>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</si>
  <si>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</si>
  <si>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</si>
  <si>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</si>
  <si>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</si>
  <si>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</si>
  <si>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</si>
  <si>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</si>
  <si>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</si>
  <si>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</si>
  <si>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</si>
  <si>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</si>
  <si>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</si>
  <si>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</si>
  <si>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</si>
  <si>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</si>
  <si>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</si>
  <si>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</si>
  <si>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</si>
  <si>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</si>
  <si>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</si>
  <si>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</si>
  <si>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</si>
  <si>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</si>
  <si>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</si>
  <si>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</si>
  <si>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</si>
  <si>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</si>
  <si>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</si>
  <si>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</si>
  <si>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</si>
  <si>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</si>
  <si>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</si>
  <si>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</si>
  <si>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</si>
  <si>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</si>
  <si>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</si>
  <si>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</si>
  <si>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</si>
  <si>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</si>
  <si>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</si>
  <si>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</si>
  <si>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</si>
  <si>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</si>
  <si>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</si>
  <si>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</si>
  <si>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</si>
  <si>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</si>
  <si>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</si>
  <si>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</si>
  <si>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</si>
  <si>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</si>
  <si>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</si>
  <si>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</si>
  <si>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</si>
  <si>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</si>
  <si>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</si>
  <si>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</si>
  <si>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</si>
  <si>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</si>
  <si>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</si>
  <si>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</si>
  <si>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</si>
  <si>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</si>
  <si>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</si>
  <si>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</si>
  <si>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</si>
  <si>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</si>
  <si>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</si>
  <si>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</si>
  <si>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</si>
  <si>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</si>
  <si>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</si>
  <si>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</si>
  <si>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</si>
  <si>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</si>
  <si>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</si>
  <si>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</si>
  <si>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</si>
  <si>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</si>
  <si>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</si>
  <si>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</si>
  <si>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</si>
  <si>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</si>
  <si>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</si>
  <si>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</si>
  <si>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</si>
  <si>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</si>
  <si>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</si>
  <si>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</si>
  <si>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</si>
  <si>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</si>
  <si>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</si>
  <si>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</si>
  <si>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</si>
  <si>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</si>
  <si>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</si>
  <si>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</si>
  <si>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</si>
  <si>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</si>
  <si>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</si>
  <si>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</si>
  <si>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</si>
  <si>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</si>
  <si>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</si>
  <si>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</si>
  <si>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</si>
  <si>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</si>
  <si>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</si>
  <si>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</si>
  <si>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</si>
  <si>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</si>
  <si>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</si>
  <si>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</si>
  <si>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</si>
  <si>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</si>
  <si>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</si>
  <si>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</si>
  <si>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</si>
  <si>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</si>
  <si>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</si>
  <si>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</si>
  <si>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</si>
  <si>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</si>
  <si>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</si>
  <si>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</si>
  <si>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</si>
  <si>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</si>
  <si>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</si>
  <si>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</si>
  <si>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</si>
  <si>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</si>
  <si>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</si>
  <si>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</si>
  <si>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</si>
  <si>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</si>
  <si>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</si>
  <si>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</si>
  <si>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</si>
  <si>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</si>
  <si>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</si>
  <si>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</si>
  <si>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</si>
  <si>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</si>
  <si>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</si>
  <si>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</si>
  <si>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</si>
  <si>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</si>
  <si>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</si>
  <si>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</si>
  <si>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</si>
  <si>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</si>
  <si>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</si>
  <si>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</si>
  <si>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</si>
  <si>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</si>
  <si>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</si>
  <si>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</si>
  <si>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</si>
  <si>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</si>
  <si>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</si>
  <si>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</si>
  <si>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</si>
  <si>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</si>
  <si>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</si>
  <si>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</si>
  <si>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</si>
  <si>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</si>
  <si>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</si>
  <si>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</si>
  <si>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</si>
  <si>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</si>
  <si>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</si>
  <si>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</si>
  <si>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</si>
  <si>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</si>
  <si>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</si>
  <si>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</si>
  <si>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</si>
  <si>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</si>
  <si>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</si>
  <si>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</si>
  <si>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</si>
  <si>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</si>
  <si>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</si>
  <si>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</si>
  <si>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</si>
  <si>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</si>
  <si>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</si>
  <si>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</si>
  <si>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</si>
  <si>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</si>
  <si>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</si>
  <si>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</si>
  <si>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</si>
  <si>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</si>
  <si>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</si>
  <si>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</si>
  <si>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</si>
  <si>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</si>
  <si>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</si>
  <si>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</si>
  <si>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</si>
  <si>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</si>
  <si>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</si>
  <si>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</si>
  <si>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</si>
  <si>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</si>
  <si>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</si>
  <si>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</si>
  <si>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</si>
  <si>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</si>
  <si>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</si>
  <si>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</si>
  <si>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</si>
  <si>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</si>
  <si>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</si>
  <si>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</si>
  <si>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</si>
  <si>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</si>
  <si>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</si>
  <si>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</si>
  <si>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</si>
  <si>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</si>
  <si>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</si>
  <si>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</si>
  <si>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</si>
  <si>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</si>
  <si>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</si>
  <si>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</si>
  <si>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</si>
  <si>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</si>
  <si>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</si>
  <si>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</si>
  <si>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</si>
  <si>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</si>
  <si>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</si>
  <si>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</si>
  <si>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</si>
  <si>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</si>
  <si>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</si>
  <si>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</si>
  <si>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</si>
  <si>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</si>
  <si>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</si>
  <si>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</si>
  <si>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</si>
  <si>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</si>
  <si>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</si>
  <si>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</si>
  <si>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</si>
  <si>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</si>
  <si>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</si>
  <si>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</si>
  <si>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</si>
  <si>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</si>
  <si>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</si>
  <si>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</si>
  <si>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</si>
  <si>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</si>
  <si>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</si>
  <si>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</si>
  <si>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</si>
  <si>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</si>
  <si>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</si>
  <si>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</si>
  <si>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</si>
  <si>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</si>
  <si>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</si>
  <si>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</si>
  <si>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</si>
  <si>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</si>
  <si>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</si>
  <si>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</si>
  <si>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</si>
  <si>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</si>
  <si>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</si>
  <si>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</si>
  <si>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</si>
  <si>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</si>
  <si>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</si>
  <si>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</si>
  <si>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</si>
  <si>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</si>
  <si>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</si>
  <si>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</si>
  <si>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</si>
  <si>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</si>
  <si>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</si>
  <si>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</si>
  <si>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</si>
  <si>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</si>
  <si>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</si>
  <si>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</si>
  <si>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</si>
  <si>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</si>
  <si>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</si>
  <si>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</si>
  <si>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</si>
  <si>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</si>
  <si>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</si>
  <si>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</si>
  <si>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</si>
  <si>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</si>
  <si>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</si>
  <si>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</si>
  <si>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</si>
  <si>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</si>
  <si>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</si>
  <si>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</si>
  <si>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</si>
  <si>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</si>
  <si>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</si>
  <si>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</si>
  <si>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</si>
  <si>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</si>
  <si>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</si>
  <si>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</si>
  <si>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</si>
  <si>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</si>
  <si>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</si>
  <si>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</si>
  <si>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</si>
  <si>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</si>
  <si>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</si>
  <si>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</si>
  <si>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</si>
  <si>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</si>
  <si>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</si>
  <si>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</si>
  <si>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</si>
  <si>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</si>
  <si>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</si>
  <si>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</si>
  <si>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</si>
  <si>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</si>
  <si>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</si>
  <si>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</si>
  <si>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</si>
  <si>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</si>
  <si>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</si>
  <si>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</si>
  <si>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</si>
  <si>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</si>
  <si>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</si>
  <si>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</si>
  <si>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</si>
  <si>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</si>
  <si>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</si>
  <si>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</si>
  <si>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</si>
  <si>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</si>
  <si>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</si>
  <si>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</si>
  <si>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</si>
  <si>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</si>
  <si>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</si>
  <si>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</si>
  <si>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</si>
  <si>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</si>
  <si>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</si>
  <si>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</si>
  <si>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</si>
  <si>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</si>
  <si>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</si>
  <si>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</si>
  <si>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</si>
  <si>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</si>
  <si>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</si>
  <si>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</si>
  <si>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</si>
  <si>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</si>
  <si>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</si>
  <si>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</si>
  <si>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</si>
  <si>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</si>
  <si>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</si>
  <si>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</si>
  <si>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</si>
  <si>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</si>
  <si>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</si>
  <si>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</si>
  <si>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</si>
  <si>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</si>
  <si>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</si>
  <si>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</si>
  <si>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</si>
  <si>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</si>
  <si>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</si>
  <si>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</si>
  <si>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</si>
  <si>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</si>
  <si>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</si>
  <si>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</si>
  <si>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</si>
  <si>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</si>
  <si>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</si>
  <si>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</si>
  <si>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</si>
  <si>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</si>
  <si>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</si>
  <si>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</si>
  <si>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</si>
  <si>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</si>
  <si>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</si>
  <si>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</si>
  <si>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</si>
  <si>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</si>
  <si>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</si>
  <si>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</si>
  <si>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</si>
  <si>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</si>
  <si>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</si>
  <si>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</si>
  <si>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</si>
  <si>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</si>
  <si>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</si>
  <si>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</si>
  <si>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</si>
  <si>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</si>
  <si>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</si>
  <si>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</si>
  <si>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</si>
  <si>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</si>
  <si>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</si>
  <si>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</si>
  <si>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</si>
  <si>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</si>
  <si>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</si>
  <si>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</si>
  <si>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</si>
  <si>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</si>
  <si>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</si>
  <si>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</si>
  <si>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</si>
  <si>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</si>
  <si>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</si>
  <si>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</si>
  <si>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</si>
  <si>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</si>
  <si>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</si>
  <si>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</si>
  <si>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</si>
  <si>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</si>
  <si>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</si>
  <si>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</si>
  <si>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</si>
  <si>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</si>
  <si>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</si>
  <si>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</si>
  <si>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</si>
  <si>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</si>
  <si>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</si>
  <si>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</si>
  <si>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</si>
  <si>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</si>
  <si>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</si>
  <si>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</si>
  <si>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</si>
  <si>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</si>
  <si>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</si>
  <si>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</si>
  <si>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</si>
  <si>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</si>
  <si>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</si>
  <si>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</si>
  <si>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</si>
  <si>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</si>
  <si>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</si>
  <si>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</si>
  <si>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</si>
  <si>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</si>
  <si>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</si>
  <si>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</si>
  <si>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</si>
  <si>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</si>
  <si>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</si>
  <si>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</si>
  <si>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</si>
  <si>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</si>
  <si>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</si>
  <si>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</si>
  <si>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</si>
  <si>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</si>
  <si>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</si>
  <si>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</si>
  <si>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</si>
  <si>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</si>
  <si>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</si>
  <si>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</si>
  <si>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</si>
  <si>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</si>
  <si>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</si>
  <si>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</si>
  <si>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</si>
  <si>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</si>
  <si>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</si>
  <si>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</si>
  <si>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</si>
  <si>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</si>
  <si>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</si>
  <si>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</si>
  <si>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</si>
  <si>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</si>
  <si>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</si>
  <si>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</si>
  <si>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</si>
  <si>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</si>
  <si>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</si>
  <si>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</si>
  <si>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</si>
  <si>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</si>
  <si>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</si>
  <si>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</si>
  <si>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</si>
  <si>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</si>
  <si>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</si>
  <si>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</si>
  <si>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</si>
  <si>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</si>
  <si>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</si>
  <si>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</si>
  <si>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</si>
  <si>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</si>
  <si>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</si>
  <si>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</si>
  <si>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</si>
  <si>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</si>
  <si>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</si>
  <si>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</si>
  <si>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</si>
  <si>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</si>
  <si>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</si>
  <si>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</si>
  <si>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</si>
  <si>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</si>
  <si>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</si>
  <si>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</si>
  <si>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</si>
  <si>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</si>
  <si>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</si>
  <si>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</si>
  <si>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</si>
  <si>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</si>
  <si>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</si>
  <si>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</si>
  <si>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</si>
  <si>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</si>
  <si>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</si>
  <si>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</si>
  <si>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</si>
  <si>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</si>
  <si>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</si>
  <si>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</si>
  <si>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</si>
  <si>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</si>
  <si>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</si>
  <si>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</si>
  <si>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</si>
  <si>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</si>
  <si>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</si>
  <si>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</si>
  <si>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</si>
  <si>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</si>
  <si>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</si>
  <si>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</si>
  <si>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</si>
  <si>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</si>
  <si>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</si>
  <si>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</si>
  <si>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</si>
  <si>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</si>
  <si>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</si>
  <si>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</si>
  <si>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</si>
  <si>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</si>
  <si>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</si>
  <si>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</si>
  <si>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</si>
  <si>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</si>
  <si>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</si>
  <si>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</si>
  <si>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</si>
  <si>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</si>
  <si>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</si>
  <si>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</si>
  <si>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</si>
  <si>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</si>
  <si>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</si>
  <si>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</si>
  <si>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</si>
  <si>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</si>
  <si>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</si>
  <si>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</si>
  <si>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</si>
  <si>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</si>
  <si>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</si>
  <si>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</si>
  <si>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</si>
  <si>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</si>
  <si>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</si>
  <si>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</si>
  <si>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</si>
  <si>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</si>
  <si>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</si>
  <si>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</si>
  <si>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</si>
  <si>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</si>
  <si>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</si>
  <si>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</si>
  <si>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</si>
  <si>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</si>
  <si>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</si>
  <si>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</si>
  <si>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</si>
  <si>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</si>
  <si>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</si>
  <si>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</si>
  <si>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</si>
  <si>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</si>
  <si>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</si>
  <si>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</si>
  <si>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</si>
  <si>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</si>
  <si>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</si>
  <si>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</si>
  <si>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</si>
  <si>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</si>
  <si>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</si>
  <si>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</si>
  <si>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</si>
  <si>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</si>
  <si>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</si>
  <si>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</si>
  <si>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</si>
  <si>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</si>
  <si>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</si>
  <si>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</si>
  <si>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</si>
  <si>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</si>
  <si>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</si>
  <si>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</si>
  <si>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</si>
  <si>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</si>
  <si>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</si>
  <si>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</si>
  <si>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</si>
  <si>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</si>
  <si>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</si>
  <si>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</si>
  <si>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</si>
  <si>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</si>
  <si>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</si>
  <si>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</si>
  <si>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</si>
  <si>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</si>
  <si>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</si>
  <si>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</si>
  <si>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</si>
  <si>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</si>
  <si>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</si>
  <si>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</si>
  <si>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</si>
  <si>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</si>
  <si>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</si>
  <si>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</si>
  <si>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</si>
  <si>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</si>
  <si>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</si>
  <si>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</si>
  <si>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</si>
  <si>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</si>
  <si>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</si>
  <si>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</si>
  <si>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</si>
  <si>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</si>
  <si>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</si>
  <si>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</si>
  <si>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</si>
  <si>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</si>
  <si>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</si>
  <si>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</si>
  <si>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</si>
  <si>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</si>
  <si>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</si>
  <si>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</si>
  <si>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</si>
  <si>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</si>
  <si>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</si>
  <si>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</si>
  <si>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</si>
  <si>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</si>
  <si>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</si>
  <si>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</si>
  <si>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</si>
  <si>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</si>
  <si>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</si>
  <si>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</si>
  <si>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</si>
  <si>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</si>
  <si>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</si>
  <si>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</si>
  <si>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</si>
  <si>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</si>
  <si>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</si>
  <si>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</si>
  <si>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</si>
  <si>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</si>
  <si>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</si>
  <si>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</si>
  <si>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</si>
  <si>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</si>
  <si>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</si>
  <si>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</si>
  <si>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</si>
  <si>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</si>
  <si>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</si>
  <si>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</si>
  <si>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</si>
  <si>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</si>
  <si>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</si>
  <si>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</si>
  <si>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</si>
  <si>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</si>
  <si>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</si>
  <si>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</si>
  <si>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</si>
  <si>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</si>
  <si>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</si>
  <si>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</si>
  <si>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</si>
  <si>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</si>
  <si>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</si>
  <si>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</si>
  <si>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</si>
  <si>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</si>
  <si>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</si>
  <si>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</si>
  <si>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</si>
  <si>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</si>
  <si>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</si>
  <si>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</si>
  <si>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</si>
  <si>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</si>
  <si>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</si>
  <si>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</si>
  <si>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</si>
  <si>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</si>
  <si>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</si>
  <si>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</si>
  <si>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</si>
  <si>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</si>
  <si>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</si>
  <si>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</si>
  <si>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</si>
  <si>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</si>
  <si>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</si>
  <si>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</si>
  <si>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</si>
  <si>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</si>
  <si>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</si>
  <si>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</si>
  <si>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</si>
  <si>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</si>
  <si>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</si>
  <si>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</si>
  <si>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</si>
  <si>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</si>
  <si>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</si>
  <si>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</si>
  <si>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</si>
  <si>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</si>
  <si>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</si>
  <si>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</si>
  <si>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</si>
  <si>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</si>
  <si>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</si>
  <si>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</si>
  <si>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</si>
  <si>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</si>
  <si>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</si>
  <si>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</si>
  <si>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</si>
  <si>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</si>
  <si>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</si>
  <si>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</si>
  <si>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</si>
  <si>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</si>
  <si>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</si>
  <si>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</si>
  <si>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</si>
  <si>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</si>
  <si>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</si>
  <si>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</si>
  <si>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</si>
  <si>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</si>
  <si>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</si>
  <si>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</si>
  <si>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</si>
  <si>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</si>
  <si>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</si>
  <si>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</si>
  <si>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</si>
  <si>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</si>
  <si>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</si>
  <si>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</si>
  <si>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</si>
  <si>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</si>
  <si>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</si>
  <si>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</si>
  <si>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</si>
  <si>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</si>
  <si>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</si>
  <si>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</si>
  <si>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</si>
  <si>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</si>
  <si>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</si>
  <si>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</si>
  <si>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</si>
  <si>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</si>
  <si>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</si>
  <si>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</si>
  <si>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</si>
  <si>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</si>
  <si>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</si>
  <si>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</si>
  <si>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</si>
  <si>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</si>
  <si>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</si>
  <si>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</si>
  <si>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</si>
  <si>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</si>
  <si>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</si>
  <si>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</si>
  <si>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</si>
  <si>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</si>
  <si>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</si>
  <si>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</si>
  <si>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</si>
  <si>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</si>
  <si>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</si>
  <si>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</si>
  <si>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</si>
  <si>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</si>
  <si>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</si>
  <si>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</si>
  <si>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</si>
  <si>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</si>
  <si>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</si>
  <si>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</si>
  <si>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</si>
  <si>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</si>
  <si>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</si>
  <si>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</si>
  <si>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</si>
  <si>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</si>
  <si>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</si>
  <si>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</si>
  <si>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</si>
  <si>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</si>
  <si>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</si>
  <si>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</si>
  <si>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</si>
  <si>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</si>
  <si>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</si>
  <si>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</si>
  <si>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</si>
  <si>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</si>
  <si>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</si>
  <si>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</si>
  <si>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</si>
  <si>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</si>
  <si>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</si>
  <si>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</si>
  <si>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</si>
  <si>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</si>
  <si>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</si>
  <si>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</si>
  <si>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</si>
  <si>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</si>
  <si>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</si>
  <si>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</si>
  <si>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</si>
  <si>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</si>
  <si>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</si>
  <si>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</si>
  <si>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</si>
  <si>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</si>
  <si>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</si>
  <si>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</si>
  <si>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</si>
  <si>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</si>
  <si>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</si>
  <si>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</si>
  <si>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</si>
  <si>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</si>
  <si>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</si>
  <si>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</si>
  <si>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</si>
  <si>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</si>
  <si>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</si>
  <si>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</si>
  <si>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</si>
  <si>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</si>
  <si>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</si>
  <si>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</si>
  <si>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</si>
  <si>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</si>
  <si>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</si>
  <si>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</si>
  <si>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</si>
  <si>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</si>
  <si>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</si>
  <si>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</si>
  <si>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</si>
  <si>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</si>
  <si>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</si>
  <si>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</si>
  <si>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</si>
  <si>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</si>
  <si>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</si>
  <si>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</si>
  <si>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</si>
  <si>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</si>
  <si>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</si>
  <si>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</si>
  <si>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</si>
  <si>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</si>
  <si>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</si>
  <si>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</si>
  <si>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</si>
  <si>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</si>
  <si>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</si>
  <si>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</si>
  <si>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</si>
  <si>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</si>
  <si>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</si>
  <si>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</si>
  <si>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</si>
  <si>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</si>
  <si>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</si>
  <si>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</si>
  <si>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</si>
  <si>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</si>
  <si>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</si>
  <si>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</si>
  <si>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</si>
  <si>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</si>
  <si>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</si>
  <si>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</si>
  <si>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</si>
  <si>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</si>
  <si>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</si>
  <si>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</si>
  <si>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</si>
  <si>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</si>
  <si>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</si>
  <si>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</si>
  <si>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 xml:space="preserve">Avg Donation 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</si>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</sst>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  <xf numFmtId="10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Alignment="1">
      <alignment horizontal="center" wrapText="1"/>
    </xf>
  </cellXfs>
  <cellStyles count="1">
    <cellStyle name="Normal" xfId="0" builtinId="0"/>
  </cellStyles>
  <dxfs count="6">
    <dxf>
      <fill>
        <patternFill>
          <bgColor theme="9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7-444C-B986-D79E7F13C7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0-D840-9855-52B74BA834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0-D840-9855-52B74BA83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243103"/>
        <c:axId val="1874208863"/>
      </c:lineChart>
      <c:catAx>
        <c:axId val="187424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208863"/>
        <c:crosses val="autoZero"/>
        <c:auto val="1"/>
        <c:lblAlgn val="ctr"/>
        <c:lblOffset val="100"/>
        <c:noMultiLvlLbl val="0"/>
      </c:catAx>
      <c:valAx>
        <c:axId val="187420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24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09448818897642"/>
          <c:y val="0.41273788399689476"/>
          <c:w val="9.5538834272934817E-2"/>
          <c:h val="0.109613785072640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17-8442-B05E-728972A414B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17-8442-B05E-728972A414B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17-8442-B05E-728972A41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11231"/>
        <c:axId val="1426972207"/>
      </c:lineChart>
      <c:catAx>
        <c:axId val="183621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2207"/>
        <c:crosses val="autoZero"/>
        <c:auto val="1"/>
        <c:lblAlgn val="ctr"/>
        <c:lblOffset val="100"/>
        <c:noMultiLvlLbl val="0"/>
      </c:catAx>
      <c:valAx>
        <c:axId val="142697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1-A942-A7CC-CEED74AA4AB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F71-A942-A7CC-CEED74AA4AB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F71-A942-A7CC-CEED74AA4AB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5-BE4F-B761-121D3449E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5793999"/>
        <c:axId val="1765795647"/>
      </c:lineChart>
      <c:catAx>
        <c:axId val="176579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95647"/>
        <c:crosses val="autoZero"/>
        <c:auto val="1"/>
        <c:lblAlgn val="ctr"/>
        <c:lblOffset val="100"/>
        <c:noMultiLvlLbl val="0"/>
      </c:catAx>
      <c:valAx>
        <c:axId val="176579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9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777402307648465"/>
          <c:y val="1.73228346456692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252465210204462E-2"/>
          <c:y val="2.3622047244094488E-2"/>
          <c:w val="0.89204154418650095"/>
          <c:h val="0.94614446028892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B-D945-AD9E-223DEB3D04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5B-D945-AD9E-223DEB3D04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5B-D945-AD9E-223DEB3D04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5B-D945-AD9E-223DEB3D0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868272"/>
        <c:axId val="96970272"/>
      </c:barChart>
      <c:catAx>
        <c:axId val="9686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0272"/>
        <c:crosses val="autoZero"/>
        <c:auto val="1"/>
        <c:lblAlgn val="ctr"/>
        <c:lblOffset val="100"/>
        <c:noMultiLvlLbl val="0"/>
      </c:catAx>
      <c:valAx>
        <c:axId val="969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5-114F-B021-A452EB08D3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5F-F445-BBB5-40355E3821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5F-F445-BBB5-40355E382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02272"/>
        <c:axId val="67460880"/>
      </c:barChart>
      <c:catAx>
        <c:axId val="6790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0880"/>
        <c:crosses val="autoZero"/>
        <c:auto val="1"/>
        <c:lblAlgn val="ctr"/>
        <c:lblOffset val="100"/>
        <c:noMultiLvlLbl val="0"/>
      </c:catAx>
      <c:valAx>
        <c:axId val="674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0</xdr:row>
      <xdr:rowOff>114300</xdr:rowOff>
    </xdr:from>
    <xdr:to>
      <xdr:col>21</xdr:col>
      <xdr:colOff>127000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833D1-BEB4-9141-A19A-1AA351362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69272</xdr:colOff>
      <xdr:row>4</xdr:row>
      <xdr:rowOff>126999</xdr:rowOff>
    </xdr:from>
    <xdr:to>
      <xdr:col>20</xdr:col>
      <xdr:colOff>184727</xdr:colOff>
      <xdr:row>31</xdr:row>
      <xdr:rowOff>46180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25CC7-1D83-7942-BA5E-020DE6C3B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127000</xdr:rowOff>
    </xdr:from>
    <xdr:to>
      <xdr:col>31</xdr:col>
      <xdr:colOff>254000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C4998-D742-0D46-8112-A3D6D3BC6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2</xdr:row>
      <xdr:rowOff>127000</xdr:rowOff>
    </xdr:from>
    <xdr:to>
      <xdr:col>25</xdr:col>
      <xdr:colOff>520700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DF8FB-484F-CA4F-81FB-C58EB5D71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7</xdr:row>
      <xdr:rowOff>152400</xdr:rowOff>
    </xdr:from>
    <xdr:to>
      <xdr:col>21</xdr:col>
      <xdr:colOff>457200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12BB0-E41E-0843-9606-33B216858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4.673458449077" createdVersion="7" refreshedVersion="7" minRefreshableVersion="3" recordCount="4114" xr:uid="{1EA43A71-E042-854E-80CD-9DFA22E9E6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n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4.702981944443" createdVersion="7" refreshedVersion="7" minRefreshableVersion="3" recordCount="4114" xr:uid="{DADFB607-B764-404B-8D85-FA962D5C13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n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9.96233425926" createdVersion="7" refreshedVersion="7" minRefreshableVersion="3" recordCount="4115" xr:uid="{5DC70688-8788-674E-9F07-28F85905563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n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525BB-7F7B-B449-92CE-34722E733727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8C169-4110-BD41-B180-1090447CB7A5}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77D91-8C9D-7F43-881B-93886C10665F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4CF55-7546-814F-BE18-2A6B17012491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1" zoomScale="120" zoomScaleNormal="120" workbookViewId="0">
      <pane ySplit="1" topLeftCell="A2" activePane="bottomLeft" state="frozen"/>
      <selection activeCell="F1" sqref="F1"/>
      <selection pane="bottomLeft" activeCell="X6" sqref="X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25.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7" t="s">
        <v>8359</v>
      </c>
      <c r="S1" s="15" t="s">
        <v>8365</v>
      </c>
      <c r="T1" s="18" t="s">
        <v>8366</v>
      </c>
      <c r="U1" s="17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1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1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1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1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1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1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1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1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1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1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1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1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1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6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</sheetData>
  <autoFilter ref="A1:W4115" xr:uid="{00000000-0001-0000-0000-000000000000}"/>
  <conditionalFormatting sqref="F1:F1048576">
    <cfRule type="cellIs" dxfId="5" priority="2" operator="equal">
      <formula>"successful"</formula>
    </cfRule>
    <cfRule type="cellIs" dxfId="4" priority="4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"live"</formula>
    </cfRule>
  </conditionalFormatting>
  <conditionalFormatting sqref="F6">
    <cfRule type="cellIs" dxfId="0" priority="3" operator="equal">
      <formula>"Successful"</formula>
    </cfRule>
  </conditionalFormatting>
  <conditionalFormatting sqref="O1:O1048576 P1 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FE40-8826-E440-87BA-0FCD12D7174A}">
  <sheetPr codeName="Sheet3"/>
  <dimension ref="A1:E18"/>
  <sheetViews>
    <sheetView tabSelected="1" workbookViewId="0">
      <selection activeCell="G22" sqref="G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8362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8796D-0745-C84C-B9C7-06967145B12F}">
  <sheetPr codeName="Sheet2"/>
  <dimension ref="A1:H12"/>
  <sheetViews>
    <sheetView zoomScale="110" zoomScaleNormal="110" workbookViewId="0">
      <selection activeCell="M2" sqref="M2"/>
    </sheetView>
  </sheetViews>
  <sheetFormatPr baseColWidth="10" defaultRowHeight="15" x14ac:dyDescent="0.2"/>
  <cols>
    <col min="1" max="1" width="12.5" bestFit="1" customWidth="1"/>
    <col min="2" max="2" width="8.83203125" customWidth="1"/>
    <col min="3" max="3" width="7.33203125" bestFit="1" customWidth="1"/>
    <col min="4" max="4" width="8" customWidth="1"/>
    <col min="5" max="5" width="7.33203125" bestFit="1" customWidth="1"/>
    <col min="6" max="7" width="9.5" style="23" bestFit="1" customWidth="1"/>
    <col min="8" max="8" width="9.5" bestFit="1" customWidth="1"/>
  </cols>
  <sheetData>
    <row r="1" spans="1:8" s="3" customFormat="1" ht="32" x14ac:dyDescent="0.2">
      <c r="A1" s="24" t="s">
        <v>8382</v>
      </c>
      <c r="B1" s="3" t="s">
        <v>8400</v>
      </c>
      <c r="C1" s="3" t="s">
        <v>8401</v>
      </c>
      <c r="D1" s="3" t="s">
        <v>8402</v>
      </c>
      <c r="E1" s="3" t="s">
        <v>8403</v>
      </c>
      <c r="F1" s="22" t="s">
        <v>8404</v>
      </c>
      <c r="G1" s="22" t="s">
        <v>8405</v>
      </c>
      <c r="H1" s="3" t="s">
        <v>8406</v>
      </c>
    </row>
    <row r="2" spans="1:8" x14ac:dyDescent="0.2">
      <c r="A2" t="s">
        <v>8407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>
        <f>D2/E2</f>
        <v>0</v>
      </c>
    </row>
    <row r="3" spans="1:8" x14ac:dyDescent="0.2">
      <c r="A3" t="s">
        <v>8408</v>
      </c>
      <c r="B3">
        <f>COUNTIFS(kickstarter!$F:$F,"=successful",kickstarter!$D:$D,"&gt;999",kickstarter!$R:$R,"=plays",kickstarter!$D:$D,"&lt;5000")</f>
        <v>388</v>
      </c>
      <c r="C3">
        <f>COUNTIFS(kickstarter!$F:$F,"=failed",kickstarter!$D:$D,"&gt;999",kickstarter!$R:$R,"=plays",kickstarter!$D:$D,"&lt;5000")</f>
        <v>146</v>
      </c>
      <c r="D3">
        <f>COUNTIFS(kickstarter!$F:$F,"=canceled",kickstarter!$D:$D,"&gt;1000",kickstarter!$R:$R,"=plays",kickstarter!$D:$D,"&gt;5000")</f>
        <v>0</v>
      </c>
      <c r="E3">
        <f>SUM(B3:D3)</f>
        <v>534</v>
      </c>
      <c r="F3" s="23">
        <f>B3/E3</f>
        <v>0.72659176029962547</v>
      </c>
      <c r="G3" s="23">
        <f>C3/E3</f>
        <v>0.27340823970037453</v>
      </c>
      <c r="H3">
        <f>D3/E3</f>
        <v>0</v>
      </c>
    </row>
    <row r="4" spans="1:8" x14ac:dyDescent="0.2">
      <c r="A4" t="s">
        <v>8409</v>
      </c>
      <c r="B4">
        <f>COUNTIFS(kickstarter!$F:$F,"=successful",kickstarter!$D:$D,"&gt;4999",kickstarter!$R:$R,"=plays",kickstarter!$D:$D,"&lt;10000")</f>
        <v>93</v>
      </c>
      <c r="C4">
        <f>COUNTIFS(kickstarter!$F:$F,"=failed",kickstarter!$D:$D,"&gt;4999",kickstarter!$R:$R,"=plays",kickstarter!$D:$D,"&lt;10000")</f>
        <v>76</v>
      </c>
      <c r="D4">
        <f>COUNTIFS(kickstarter!$F:$F,"=canceled",kickstarter!$D:$D,"&gt;4999",kickstarter!$R:$R,"=plays",kickstarter!$D:$D,"&lt;10000")</f>
        <v>0</v>
      </c>
      <c r="E4">
        <f>SUM(B4:D4)</f>
        <v>169</v>
      </c>
      <c r="F4" s="23">
        <f>B4/E4</f>
        <v>0.55029585798816572</v>
      </c>
      <c r="G4" s="23">
        <f>C4/E4</f>
        <v>0.44970414201183434</v>
      </c>
      <c r="H4">
        <f t="shared" ref="H4:H12" si="0">D4/E4</f>
        <v>0</v>
      </c>
    </row>
    <row r="5" spans="1:8" x14ac:dyDescent="0.2">
      <c r="A5" t="s">
        <v>8410</v>
      </c>
      <c r="B5">
        <f>COUNTIFS(kickstarter!$F:$F,"=successful",kickstarter!$D:$D,"&gt;9999",kickstarter!$R:$R,"=plays",kickstarter!$D:$D,"&lt;15000")</f>
        <v>39</v>
      </c>
      <c r="C5">
        <f>COUNTIFS(kickstarter!$F:$F,"=failed",kickstarter!$D:$D,"&gt;9999",kickstarter!$R:$R,"=plays",kickstarter!$D:$D,"&lt;15000")</f>
        <v>33</v>
      </c>
      <c r="D5">
        <f>COUNTIFS(kickstarter!$F:$F,"=canceled",kickstarter!$D:$D,"&gt;9999",kickstarter!$R:$R,"=plays",kickstarter!$D:$D,"&lt;15000")</f>
        <v>0</v>
      </c>
      <c r="E5">
        <f t="shared" ref="E5:E12" si="1">SUM(B5:D5)</f>
        <v>72</v>
      </c>
      <c r="F5" s="23">
        <f t="shared" ref="F5:F12" si="2">B5/E5</f>
        <v>0.54166666666666663</v>
      </c>
      <c r="G5" s="23">
        <f t="shared" ref="G5:G12" si="3">C5/E5</f>
        <v>0.45833333333333331</v>
      </c>
      <c r="H5">
        <f t="shared" si="0"/>
        <v>0</v>
      </c>
    </row>
    <row r="6" spans="1:8" x14ac:dyDescent="0.2">
      <c r="A6" t="s">
        <v>8411</v>
      </c>
      <c r="B6">
        <f>COUNTIFS(kickstarter!$F:$F,"=successful",kickstarter!$D:$D,"&gt;14999",kickstarter!$R:$R,"=plays",kickstarter!$D:$D,"&lt;20000")</f>
        <v>12</v>
      </c>
      <c r="C6">
        <f>COUNTIFS(kickstarter!$F:$F,"=failed",kickstarter!$D:$D,"&gt;14999",kickstarter!$R:$R,"=plays",kickstarter!$D:$D,"&lt;20000")</f>
        <v>12</v>
      </c>
      <c r="D6">
        <f>COUNTIFS(kickstarter!$F:$F,"=canceled",kickstarter!$D:$D,"&gt;14999",kickstarter!$R:$R,"=plays",kickstarter!$D:$D,"&lt;20000")</f>
        <v>0</v>
      </c>
      <c r="E6">
        <f t="shared" si="1"/>
        <v>24</v>
      </c>
      <c r="F6" s="23">
        <f t="shared" si="2"/>
        <v>0.5</v>
      </c>
      <c r="G6" s="23">
        <f t="shared" si="3"/>
        <v>0.5</v>
      </c>
      <c r="H6">
        <f t="shared" si="0"/>
        <v>0</v>
      </c>
    </row>
    <row r="7" spans="1:8" x14ac:dyDescent="0.2">
      <c r="A7" t="s">
        <v>8412</v>
      </c>
      <c r="B7">
        <f>COUNTIFS(kickstarter!$F:$F,"=successful",kickstarter!$D:$D,"&gt;19999",kickstarter!$R:$R,"=plays",kickstarter!$D:$D,"&lt;25000")</f>
        <v>9</v>
      </c>
      <c r="C7">
        <f>COUNTIFS(kickstarter!$F:$F,"=failed",kickstarter!$D:$D,"&gt;19999",kickstarter!$R:$R,"=plays",kickstarter!$D:$D,"&lt;25000")</f>
        <v>11</v>
      </c>
      <c r="D7">
        <f>COUNTIFS(kickstarter!$F:$F,"=canceled",kickstarter!$D:$D,"&gt;19999",kickstarter!$R:$R,"=plays",kickstarter!$D:$D,"&lt;25000")</f>
        <v>0</v>
      </c>
      <c r="E7">
        <f t="shared" si="1"/>
        <v>20</v>
      </c>
      <c r="F7" s="23">
        <f t="shared" si="2"/>
        <v>0.45</v>
      </c>
      <c r="G7" s="23">
        <f t="shared" si="3"/>
        <v>0.55000000000000004</v>
      </c>
      <c r="H7">
        <f t="shared" si="0"/>
        <v>0</v>
      </c>
    </row>
    <row r="8" spans="1:8" x14ac:dyDescent="0.2">
      <c r="A8" t="s">
        <v>8413</v>
      </c>
      <c r="B8">
        <f>COUNTIFS(kickstarter!$F:$F,"=successful",kickstarter!$D:$D,"&gt;29999",kickstarter!$R:$R,"=plays",kickstarter!$D:$D,"&lt;35000")</f>
        <v>3</v>
      </c>
      <c r="C8">
        <f>COUNTIFS(kickstarter!$F:$F,"=failed",kickstarter!$D:$D,"&gt;29999",kickstarter!$R:$R,"=plays",kickstarter!$D:$D,"&lt;35000")</f>
        <v>8</v>
      </c>
      <c r="D8">
        <f>COUNTIFS(kickstarter!$F:$F,"=canceled",kickstarter!$D:$D,"&gt;29999",kickstarter!$R:$R,"=plays",kickstarter!$D:$D,"&lt;35000")</f>
        <v>0</v>
      </c>
      <c r="E8">
        <f t="shared" si="1"/>
        <v>11</v>
      </c>
      <c r="F8" s="23">
        <f t="shared" si="2"/>
        <v>0.27272727272727271</v>
      </c>
      <c r="G8" s="23">
        <f t="shared" si="3"/>
        <v>0.72727272727272729</v>
      </c>
      <c r="H8">
        <f t="shared" si="0"/>
        <v>0</v>
      </c>
    </row>
    <row r="9" spans="1:8" x14ac:dyDescent="0.2">
      <c r="A9" t="s">
        <v>8414</v>
      </c>
      <c r="B9">
        <f>COUNTIFS(kickstarter!$F:$F,"=successful",kickstarter!$D:$D,"&gt;34999",kickstarter!$R:$R,"=plays",kickstarter!$D:$D,"&lt;40000")</f>
        <v>4</v>
      </c>
      <c r="C9">
        <f>COUNTIFS(kickstarter!$F:$F,"=failed",kickstarter!$D:$D,"&gt;34999",kickstarter!$R:$R,"=plays",kickstarter!$D:$D,"&lt;40000")</f>
        <v>2</v>
      </c>
      <c r="D9">
        <f>COUNTIFS(kickstarter!$F:$F,"=canceled",kickstarter!$D:$D,"&gt;34999",kickstarter!$R:$R,"=plays",kickstarter!$D:$D,"&lt;40000")</f>
        <v>0</v>
      </c>
      <c r="E9">
        <f t="shared" si="1"/>
        <v>6</v>
      </c>
      <c r="F9" s="23">
        <f t="shared" si="2"/>
        <v>0.66666666666666663</v>
      </c>
      <c r="G9" s="23">
        <f t="shared" si="3"/>
        <v>0.33333333333333331</v>
      </c>
      <c r="H9">
        <f t="shared" si="0"/>
        <v>0</v>
      </c>
    </row>
    <row r="10" spans="1:8" x14ac:dyDescent="0.2">
      <c r="A10" t="s">
        <v>8415</v>
      </c>
      <c r="B10">
        <f>COUNTIFS(kickstarter!$F:$F,"=successful",kickstarter!$D:$D,"&gt;39999",kickstarter!$R:$R,"=plays",kickstarter!$D:$D,"&lt;45000")</f>
        <v>2</v>
      </c>
      <c r="C10">
        <f>COUNTIFS(kickstarter!$F:$F,"=failed",kickstarter!$D:$D,"&gt;39999",kickstarter!$R:$R,"=plays",kickstarter!$D:$D,"&lt;45000")</f>
        <v>1</v>
      </c>
      <c r="D10">
        <f>COUNTIFS(kickstarter!$F:$F,"=canceled",kickstarter!$D:$D,"&gt;39999",kickstarter!$R:$R,"=plays",kickstarter!$D:$D,"&lt;45000")</f>
        <v>0</v>
      </c>
      <c r="E10">
        <f t="shared" si="1"/>
        <v>3</v>
      </c>
      <c r="F10" s="23">
        <f t="shared" si="2"/>
        <v>0.66666666666666663</v>
      </c>
      <c r="G10" s="23">
        <f t="shared" si="3"/>
        <v>0.33333333333333331</v>
      </c>
      <c r="H10">
        <f t="shared" si="0"/>
        <v>0</v>
      </c>
    </row>
    <row r="11" spans="1:8" x14ac:dyDescent="0.2">
      <c r="A11" t="s">
        <v>8416</v>
      </c>
      <c r="B11">
        <f>COUNTIFS(kickstarter!$F:$F,"=successful",kickstarter!$D:$D,"&gt;44999",kickstarter!$R:$R,"=plays",kickstarter!$D:$D,"&lt;50000")</f>
        <v>0</v>
      </c>
      <c r="C11">
        <f>COUNTIFS(kickstarter!$F:$F,"=failed",kickstarter!$D:$D,"&gt;44999",kickstarter!$R:$R,"=plays",kickstarter!$D:$D,"&lt;50000")</f>
        <v>1</v>
      </c>
      <c r="D11">
        <f>COUNTIFS(kickstarter!$F:$F,"=canceled",kickstarter!$D:$D,"&gt;44999",kickstarter!$R:$R,"=plays",kickstarter!$D:$D,"&lt;50000")</f>
        <v>0</v>
      </c>
      <c r="E11">
        <f t="shared" si="1"/>
        <v>1</v>
      </c>
      <c r="F11" s="23">
        <f t="shared" si="2"/>
        <v>0</v>
      </c>
      <c r="G11" s="23">
        <f t="shared" si="3"/>
        <v>1</v>
      </c>
      <c r="H11">
        <f t="shared" si="0"/>
        <v>0</v>
      </c>
    </row>
    <row r="12" spans="1:8" x14ac:dyDescent="0.2">
      <c r="A12" t="s">
        <v>8417</v>
      </c>
      <c r="B12">
        <f>COUNTIFS(kickstarter!$F:$F,"=successful",kickstarter!$D:$D,"&gt;49999",kickstarter!$R:$R,"=plays")</f>
        <v>2</v>
      </c>
      <c r="C12">
        <f>COUNTIFS(kickstarter!$F:$F,"=failed",kickstarter!$D:$D,"&gt;49999",kickstarter!$R:$R,"=plays")</f>
        <v>14</v>
      </c>
      <c r="D12">
        <f>COUNTIFS(kickstarter!$F:$F,"=canceled",kickstarter!$D:$D,"&gt;49999",kickstarter!$R:$R,"=plays")</f>
        <v>0</v>
      </c>
      <c r="E12">
        <f t="shared" si="1"/>
        <v>16</v>
      </c>
      <c r="F12" s="23">
        <f t="shared" si="2"/>
        <v>0.125</v>
      </c>
      <c r="G12" s="23">
        <f t="shared" si="3"/>
        <v>0.875</v>
      </c>
      <c r="H12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42752-1FEE-8845-81B1-8C1D50D8A781}">
  <sheetPr codeName="Sheet4"/>
  <dimension ref="A1:C14"/>
  <sheetViews>
    <sheetView workbookViewId="0">
      <selection activeCell="I16" sqref="I16"/>
    </sheetView>
  </sheetViews>
  <sheetFormatPr baseColWidth="10" defaultRowHeight="15" x14ac:dyDescent="0.2"/>
  <cols>
    <col min="1" max="1" width="24.1640625" bestFit="1" customWidth="1"/>
    <col min="2" max="3" width="11.1640625" style="21" bestFit="1" customWidth="1"/>
  </cols>
  <sheetData>
    <row r="1" spans="1:3" x14ac:dyDescent="0.2">
      <c r="B1" s="21" t="s">
        <v>8390</v>
      </c>
      <c r="C1" s="21" t="s">
        <v>8391</v>
      </c>
    </row>
    <row r="2" spans="1:3" x14ac:dyDescent="0.2">
      <c r="A2" t="s">
        <v>8386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8387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8392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8393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">
      <c r="A6" t="s">
        <v>8394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">
      <c r="A7" t="s">
        <v>8395</v>
      </c>
      <c r="B7" s="21" t="e">
        <f>B5-B6</f>
        <v>#REF!</v>
      </c>
      <c r="C7" s="21" t="e">
        <f>C5-C6</f>
        <v>#REF!</v>
      </c>
    </row>
    <row r="9" spans="1:3" x14ac:dyDescent="0.2">
      <c r="A9" t="s">
        <v>8388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8389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8396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8397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">
      <c r="A13" t="s">
        <v>8398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">
      <c r="A14" t="s">
        <v>8399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BD3F-E2E0-F849-9C78-5534158A7F67}">
  <sheetPr codeName="Sheet5"/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6.83203125" bestFit="1" customWidth="1"/>
    <col min="11" max="11" width="10" bestFit="1" customWidth="1"/>
    <col min="12" max="12" width="6.83203125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8362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9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9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9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9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9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9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9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9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9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9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9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9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05F90-DF05-E843-A2CA-88B997AC66D3}">
  <sheetPr codeName="Sheet6"/>
  <dimension ref="A1:F6"/>
  <sheetViews>
    <sheetView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8362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4022-62F2-3047-B00D-D86351C04923}">
  <sheetPr codeName="Sheet7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8362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F668-7C50-B548-A935-4A4B892DD925}">
  <sheetPr codeName="Sheet8"/>
  <dimension ref="A1:F6"/>
  <sheetViews>
    <sheetView workbookViewId="0">
      <selection activeCell="M22" sqref="M22"/>
    </sheetView>
  </sheetViews>
  <sheetFormatPr baseColWidth="10" defaultRowHeight="15" x14ac:dyDescent="0.2"/>
  <cols>
    <col min="1" max="1" width="28.6640625" bestFit="1" customWidth="1"/>
    <col min="2" max="2" width="34.5" style="3" customWidth="1"/>
    <col min="3" max="3" width="22.5" customWidth="1"/>
    <col min="5" max="5" width="11.5" customWidth="1"/>
  </cols>
  <sheetData>
    <row r="1" spans="1:6" ht="16" x14ac:dyDescent="0.2">
      <c r="A1" s="17" t="s">
        <v>8380</v>
      </c>
      <c r="B1" s="20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ht="64" x14ac:dyDescent="0.2">
      <c r="A2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Statitics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2022-02-27T07:27:23Z</dcterms:modified>
</cp:coreProperties>
</file>