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OIS 9\OFPPT RABAT\"/>
    </mc:Choice>
  </mc:AlternateContent>
  <bookViews>
    <workbookView xWindow="0" yWindow="0" windowWidth="20490" windowHeight="7035" tabRatio="790" firstSheet="4" activeTab="5"/>
  </bookViews>
  <sheets>
    <sheet name="recapitulatif" sheetId="2" state="hidden" r:id="rId1"/>
    <sheet name="Décompte" sheetId="4" state="hidden" r:id="rId2"/>
    <sheet name="Situation total " sheetId="5" state="hidden" r:id="rId3"/>
    <sheet name="Feuil1" sheetId="6" state="hidden" r:id="rId4"/>
    <sheet name="Métrié" sheetId="44" r:id="rId5"/>
    <sheet name="ATTACHEMENT " sheetId="50" r:id="rId6"/>
    <sheet name="Acier Elévation" sheetId="32" state="hidden" r:id="rId7"/>
    <sheet name="RECAP " sheetId="49" state="hidden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1c" localSheetId="4">#REF!</definedName>
    <definedName name="__1c" localSheetId="7">#REF!</definedName>
    <definedName name="__1c">#REF!</definedName>
    <definedName name="__1cc" localSheetId="4">#REF!</definedName>
    <definedName name="__1cc" localSheetId="7">#REF!</definedName>
    <definedName name="__1cc">#REF!</definedName>
    <definedName name="__R" localSheetId="4">[1]AN2!#REF!</definedName>
    <definedName name="__R" localSheetId="7">[1]AN2!#REF!</definedName>
    <definedName name="__R">[1]AN2!#REF!</definedName>
    <definedName name="_1" localSheetId="7">#REF!</definedName>
    <definedName name="_1">#REF!</definedName>
    <definedName name="_10" localSheetId="7">#REF!</definedName>
    <definedName name="_10">#REF!</definedName>
    <definedName name="_2" localSheetId="7">#REF!</definedName>
    <definedName name="_2">#REF!</definedName>
    <definedName name="_2c" localSheetId="7">#REF!</definedName>
    <definedName name="_2c">#REF!</definedName>
    <definedName name="_3" localSheetId="7">#REF!</definedName>
    <definedName name="_3">#REF!</definedName>
    <definedName name="_3c" localSheetId="7">#REF!</definedName>
    <definedName name="_3c">#REF!</definedName>
    <definedName name="_4" localSheetId="7">#REF!</definedName>
    <definedName name="_4">#REF!</definedName>
    <definedName name="_4c" localSheetId="7">#REF!</definedName>
    <definedName name="_4c">#REF!</definedName>
    <definedName name="_5" localSheetId="7">#REF!</definedName>
    <definedName name="_5">#REF!</definedName>
    <definedName name="_5c" localSheetId="7">#REF!</definedName>
    <definedName name="_5c">#REF!</definedName>
    <definedName name="_5p" localSheetId="7">#REF!</definedName>
    <definedName name="_5p">#REF!</definedName>
    <definedName name="_6" localSheetId="7">#REF!</definedName>
    <definedName name="_6">#REF!</definedName>
    <definedName name="_7" localSheetId="7">#REF!</definedName>
    <definedName name="_7">#REF!</definedName>
    <definedName name="_8" localSheetId="7">#REF!</definedName>
    <definedName name="_8">#REF!</definedName>
    <definedName name="_8c" localSheetId="7">#REF!</definedName>
    <definedName name="_8c">#REF!</definedName>
    <definedName name="_9" localSheetId="7">#REF!</definedName>
    <definedName name="_9">#REF!</definedName>
    <definedName name="_9c" localSheetId="7">#REF!</definedName>
    <definedName name="_9c">#REF!</definedName>
    <definedName name="_C1" localSheetId="7">#REF!</definedName>
    <definedName name="_C1">#REF!</definedName>
    <definedName name="_R" localSheetId="7">[2]AN2!#REF!</definedName>
    <definedName name="_R">[2]AN2!#REF!</definedName>
    <definedName name="a" localSheetId="7">[3]AN2!#REF!</definedName>
    <definedName name="a">[3]AN2!#REF!</definedName>
    <definedName name="A1_" localSheetId="7">#REF!</definedName>
    <definedName name="A1_">#REF!</definedName>
    <definedName name="A2_" localSheetId="7">#REF!</definedName>
    <definedName name="A2_">#REF!</definedName>
    <definedName name="A3_" localSheetId="7">#REF!</definedName>
    <definedName name="A3_">#REF!</definedName>
    <definedName name="A4_" localSheetId="7">#REF!</definedName>
    <definedName name="A4_">#REF!</definedName>
    <definedName name="aa" localSheetId="7">#REF!</definedName>
    <definedName name="aa">#REF!</definedName>
    <definedName name="Ac" localSheetId="7">#REF!</definedName>
    <definedName name="Ac">#REF!</definedName>
    <definedName name="Ac1_" localSheetId="7">#REF!</definedName>
    <definedName name="Ac1_">#REF!</definedName>
    <definedName name="Ac2_" localSheetId="7">#REF!</definedName>
    <definedName name="Ac2_">#REF!</definedName>
    <definedName name="Ac3_" localSheetId="7">#REF!</definedName>
    <definedName name="Ac3_">#REF!</definedName>
    <definedName name="Ap" localSheetId="7">#REF!</definedName>
    <definedName name="Ap">#REF!</definedName>
    <definedName name="aps_a_comm_elec" localSheetId="7">[4]bord.elec.annasr!#REF!</definedName>
    <definedName name="aps_a_comm_elec">[4]bord.elec.annasr!#REF!</definedName>
    <definedName name="b" localSheetId="7">[3]AN2!#REF!</definedName>
    <definedName name="b">[3]AN2!#REF!</definedName>
    <definedName name="B__" localSheetId="7">#REF!</definedName>
    <definedName name="B__">#REF!</definedName>
    <definedName name="B1_" localSheetId="7">#REF!</definedName>
    <definedName name="B1_">#REF!</definedName>
    <definedName name="B2_" localSheetId="7">#REF!</definedName>
    <definedName name="B2_">#REF!</definedName>
    <definedName name="_xlnm.Database" localSheetId="7">[5]elec!#REF!</definedName>
    <definedName name="_xlnm.Database">[5]elec!#REF!</definedName>
    <definedName name="bb" localSheetId="7">#REF!</definedName>
    <definedName name="bb">#REF!</definedName>
    <definedName name="bn" localSheetId="7">[1]AN2!#REF!</definedName>
    <definedName name="bn">[1]AN2!#REF!</definedName>
    <definedName name="C_" localSheetId="7">#REF!</definedName>
    <definedName name="C_">#REF!</definedName>
    <definedName name="cof" localSheetId="7">#REF!</definedName>
    <definedName name="cof">#REF!</definedName>
    <definedName name="conduits_en_tube_ICD" localSheetId="7">#REF!</definedName>
    <definedName name="conduits_en_tube_ICD">#REF!</definedName>
    <definedName name="Cp" localSheetId="7">#REF!</definedName>
    <definedName name="Cp">#REF!</definedName>
    <definedName name="Cpc" localSheetId="7">#REF!</definedName>
    <definedName name="Cpc">#REF!</definedName>
    <definedName name="D" localSheetId="7">#REF!</definedName>
    <definedName name="D">#REF!</definedName>
    <definedName name="Dc" localSheetId="7">#REF!</definedName>
    <definedName name="Dc">#REF!</definedName>
    <definedName name="dd" localSheetId="7">#REF!</definedName>
    <definedName name="dd">#REF!</definedName>
    <definedName name="detest">#REF!</definedName>
    <definedName name="E" localSheetId="7">#REF!</definedName>
    <definedName name="E">#REF!</definedName>
    <definedName name="Elec">'[6]BpElecEnnasr-Géneral'!$BS$6:$BS$99</definedName>
    <definedName name="electr">'[6]BpElecEnnasr-Géneral'!$CK$6:$CK$99</definedName>
    <definedName name="electricité">'[6]BpElecEnnasr-Géneral'!$BI$6:$BI$99</definedName>
    <definedName name="Epai_Dalle_de" localSheetId="7">#REF!</definedName>
    <definedName name="Epai_Dalle_de">#REF!</definedName>
    <definedName name="_xlnm.Extract" localSheetId="7">#REF!</definedName>
    <definedName name="_xlnm.Extract">#REF!</definedName>
    <definedName name="F" localSheetId="7">#REF!</definedName>
    <definedName name="F">#REF!</definedName>
    <definedName name="F__" localSheetId="7">#REF!</definedName>
    <definedName name="F__">#REF!</definedName>
    <definedName name="F1_" localSheetId="7">#REF!</definedName>
    <definedName name="F1_">#REF!</definedName>
    <definedName name="Fc" localSheetId="7">#REF!</definedName>
    <definedName name="Fc">#REF!</definedName>
    <definedName name="Fc1_" localSheetId="7">#REF!</definedName>
    <definedName name="Fc1_">#REF!</definedName>
    <definedName name="fgs" localSheetId="7">#REF!</definedName>
    <definedName name="fgs">#REF!</definedName>
    <definedName name="Fp" localSheetId="7">#REF!</definedName>
    <definedName name="Fp">#REF!</definedName>
    <definedName name="G" localSheetId="7">[1]AN2!#REF!</definedName>
    <definedName name="G">[1]AN2!#REF!</definedName>
    <definedName name="G.OPort" localSheetId="7">#REF!</definedName>
    <definedName name="G.OPort">#REF!</definedName>
    <definedName name="GG" localSheetId="7">#REF!</definedName>
    <definedName name="GG">#REF!</definedName>
    <definedName name="goaziz" localSheetId="7">#REF!</definedName>
    <definedName name="goaziz">#REF!</definedName>
    <definedName name="HH">[7]AN3!$H$6</definedName>
    <definedName name="ii" localSheetId="7">[1]AN2!#REF!</definedName>
    <definedName name="ii">[1]AN2!#REF!</definedName>
    <definedName name="_xlnm.Print_Titles" localSheetId="6">'Acier Elévation'!$1:$9</definedName>
    <definedName name="_xlnm.Print_Titles" localSheetId="4">Métrié!$1:$16</definedName>
    <definedName name="_xlnm.Print_Titles" localSheetId="0">recapitulatif!$17:$18</definedName>
    <definedName name="jj" localSheetId="4">#REF!</definedName>
    <definedName name="jj" localSheetId="7">#REF!</definedName>
    <definedName name="jj">#REF!</definedName>
    <definedName name="mm" localSheetId="4">#REF!</definedName>
    <definedName name="mm" localSheetId="7">#REF!</definedName>
    <definedName name="mm">#REF!</definedName>
    <definedName name="n" localSheetId="4">#REF!</definedName>
    <definedName name="n" localSheetId="7">#REF!</definedName>
    <definedName name="n">#REF!</definedName>
    <definedName name="P.U._TTC" localSheetId="7">#REF!</definedName>
    <definedName name="P.U._TTC">#REF!</definedName>
    <definedName name="PP" localSheetId="7">#REF!</definedName>
    <definedName name="PP">#REF!</definedName>
    <definedName name="QQ" localSheetId="7">#REF!</definedName>
    <definedName name="QQ">#REF!</definedName>
    <definedName name="Qtité_Tot" localSheetId="7">#REF!</definedName>
    <definedName name="Qtité_Tot">#REF!</definedName>
    <definedName name="ss" localSheetId="7">#REF!</definedName>
    <definedName name="ss">#REF!</definedName>
    <definedName name="T1_1">'[8]Nbr '!$C$17</definedName>
    <definedName name="T1_10">'[8]Nbr '!$U$17</definedName>
    <definedName name="T1_1c">'[8]Nbr '!$D$17</definedName>
    <definedName name="T1_1cc">'[8]Nbr '!$E$17</definedName>
    <definedName name="T1_2">'[8]Nbr '!$F$17</definedName>
    <definedName name="T1_2c">'[8]Nbr '!$G$17</definedName>
    <definedName name="T1_3">'[8]Nbr '!$H$17</definedName>
    <definedName name="T1_3c">'[8]Nbr '!$I$17</definedName>
    <definedName name="T1_4">'[8]Nbr '!$J$17</definedName>
    <definedName name="T1_4c">'[8]Nbr '!$K$17</definedName>
    <definedName name="T1_5">'[8]Nbr '!$L$17</definedName>
    <definedName name="T1_5c">'[8]Nbr '!$N$17</definedName>
    <definedName name="T1_5p">'[8]Nbr '!$M$17</definedName>
    <definedName name="T1_6">'[8]Nbr '!$O$17</definedName>
    <definedName name="T1_7">'[8]Nbr '!$P$17</definedName>
    <definedName name="T1_8">'[8]Nbr '!$Q$17</definedName>
    <definedName name="T1_8c">'[8]Nbr '!$R$17</definedName>
    <definedName name="T1_9">'[8]Nbr '!$S$17</definedName>
    <definedName name="T1_9c">'[8]Nbr '!$T$17</definedName>
    <definedName name="T2_1">'[8]Nbr '!$C$26</definedName>
    <definedName name="T2_10">'[8]Nbr '!$U$26</definedName>
    <definedName name="T2_1c">'[8]Nbr '!$D$26</definedName>
    <definedName name="T2_1cc">'[8]Nbr '!$E$26</definedName>
    <definedName name="T2_2">'[8]Nbr '!$F$26</definedName>
    <definedName name="T2_2c">'[8]Nbr '!$G$26</definedName>
    <definedName name="T2_3">'[8]Nbr '!$H$26</definedName>
    <definedName name="T2_3c">'[8]Nbr '!$I$26</definedName>
    <definedName name="T2_4">'[8]Nbr '!$J$26</definedName>
    <definedName name="T2_4c">'[8]Nbr '!$K$26</definedName>
    <definedName name="T2_5">'[8]Nbr '!$L$26</definedName>
    <definedName name="T2_5c">'[8]Nbr '!$N$26</definedName>
    <definedName name="T2_5p">'[8]Nbr '!$M$26</definedName>
    <definedName name="T2_6">'[8]Nbr '!$O$26</definedName>
    <definedName name="T2_7">'[8]Nbr '!$P$26</definedName>
    <definedName name="T2_8">'[8]Nbr '!$Q$26</definedName>
    <definedName name="T2_8c">'[8]Nbr '!$R$26</definedName>
    <definedName name="T2_9">'[8]Nbr '!$S$26</definedName>
    <definedName name="T2_9c">'[8]Nbr '!$T$26</definedName>
    <definedName name="T3A">'[8]Nbr '!$V$39</definedName>
    <definedName name="T3A1">'[8]Nbr '!$AB$39</definedName>
    <definedName name="T3A2">'[8]Nbr '!$AC$39</definedName>
    <definedName name="T3A3">'[8]Nbr '!$AD$39</definedName>
    <definedName name="T3A4">'[8]Nbr '!$AE$39</definedName>
    <definedName name="T3Ac">'[8]Nbr '!$W$39</definedName>
    <definedName name="T3Ac1">'[8]Nbr '!$X$39</definedName>
    <definedName name="T3Ac2">'[8]Nbr '!$Y$39</definedName>
    <definedName name="T3Ac3">'[8]Nbr '!$Z$39</definedName>
    <definedName name="T3Ap">'[8]Nbr '!$AA$39</definedName>
    <definedName name="T3B">'[8]Nbr '!$AF$39</definedName>
    <definedName name="T3B1">'[8]Nbr '!$AH$39</definedName>
    <definedName name="T3B2">'[8]Nbr '!$AI$39</definedName>
    <definedName name="T3Bap">'[8]Nbr '!$AG$39</definedName>
    <definedName name="T3C">'[8]Nbr '!$AJ$39</definedName>
    <definedName name="T3C1">'[8]Nbr '!$AL$39</definedName>
    <definedName name="T3Cp">'[8]Nbr '!$AK$39</definedName>
    <definedName name="T3Cpc">'[8]Nbr '!$AV$39</definedName>
    <definedName name="T3D">'[8]Nbr '!$AM$39</definedName>
    <definedName name="T3Dc">'[8]Nbr '!$AU$39</definedName>
    <definedName name="T3E">'[8]Nbr '!$AN$39</definedName>
    <definedName name="T3F">'[8]Nbr '!$AO$39</definedName>
    <definedName name="T3F1">'[8]Nbr '!$AT$39</definedName>
    <definedName name="T3Fap">'[8]Nbr '!$AS$39</definedName>
    <definedName name="T3Fc">'[8]Nbr '!$AP$39</definedName>
    <definedName name="T3Fc1">'[8]Nbr '!$AQ$39</definedName>
    <definedName name="T3Fp">'[8]Nbr '!$AR$39</definedName>
    <definedName name="T4A">'[8]Nbr '!$V$45</definedName>
    <definedName name="T4A1">'[8]Nbr '!$AB$45</definedName>
    <definedName name="T4A2">'[8]Nbr '!$AC$45</definedName>
    <definedName name="T4A3">'[8]Nbr '!$AD$45</definedName>
    <definedName name="T4A4">'[8]Nbr '!$AE$45</definedName>
    <definedName name="T4Ac">'[8]Nbr '!$W$45</definedName>
    <definedName name="T4Ac1">'[8]Nbr '!$X$45</definedName>
    <definedName name="T4Ac2">'[8]Nbr '!$Y$45</definedName>
    <definedName name="T4Ac3">'[8]Nbr '!$Z$45</definedName>
    <definedName name="T4Ap">'[8]Nbr '!$AA$45</definedName>
    <definedName name="T4B">'[8]Nbr '!$AF$45</definedName>
    <definedName name="T4B_">'[8]Nbr '!$AG$45</definedName>
    <definedName name="T4B1">'[8]Nbr '!$AH$45</definedName>
    <definedName name="T4B2">'[8]Nbr '!$AI$45</definedName>
    <definedName name="T4C">'[8]Nbr '!$AJ$45</definedName>
    <definedName name="T4Cp">'[8]Nbr '!$AK$45</definedName>
    <definedName name="T4Cpc">'[8]Nbr '!$AV$45</definedName>
    <definedName name="T4D">'[8]Nbr '!$AM$45</definedName>
    <definedName name="T4Dc">'[8]Nbr '!$AU$45</definedName>
    <definedName name="T4E">'[8]Nbr '!$AN$45</definedName>
    <definedName name="T4F">'[8]Nbr '!$AO$45</definedName>
    <definedName name="T4F_">'[8]Nbr '!$AS$45</definedName>
    <definedName name="T4F1" localSheetId="4">#REF!</definedName>
    <definedName name="T4F1" localSheetId="7">#REF!</definedName>
    <definedName name="T4F1">#REF!</definedName>
    <definedName name="T4F1_">'[8]Nbr '!$AT$45</definedName>
    <definedName name="T4Fc">'[8]Nbr '!$AP$45</definedName>
    <definedName name="T4Fc1">'[8]Nbr '!$AQ$45</definedName>
    <definedName name="T4Fp">'[8]Nbr '!$AR$45</definedName>
    <definedName name="T5_C1">'[8]Nbr '!$AL$49</definedName>
    <definedName name="T5A">'[8]Nbr '!$V$49</definedName>
    <definedName name="T5A1">'[8]Nbr '!$AB$49</definedName>
    <definedName name="T5A2">'[8]Nbr '!$AC$49</definedName>
    <definedName name="T5A3">'[8]Nbr '!$AD$49</definedName>
    <definedName name="T5A4">'[8]Nbr '!$AE$49</definedName>
    <definedName name="T5Ac">'[8]Nbr '!$W$49</definedName>
    <definedName name="T5Ac1">'[8]Nbr '!$X$49</definedName>
    <definedName name="T5Ac2">'[8]Nbr '!$Y$49</definedName>
    <definedName name="T5Ac3">'[8]Nbr '!$Z$49</definedName>
    <definedName name="T5Ap">'[8]Nbr '!$AA$49</definedName>
    <definedName name="T5B">'[8]Nbr '!$AF$49</definedName>
    <definedName name="T5B_">'[8]Nbr '!$AG$49</definedName>
    <definedName name="T5B1">'[8]Nbr '!$AH$49</definedName>
    <definedName name="T5B2">'[8]Nbr '!$AI$49</definedName>
    <definedName name="T5C">'[8]Nbr '!$AJ$49</definedName>
    <definedName name="T5Cp">'[8]Nbr '!$AK$49</definedName>
    <definedName name="T5Cpc">'[8]Nbr '!$AV$49</definedName>
    <definedName name="T5D">'[8]Nbr '!$AM$49</definedName>
    <definedName name="T5Dc">'[8]Nbr '!$AU$49</definedName>
    <definedName name="T5E">'[8]Nbr '!$AN$49</definedName>
    <definedName name="T5F">'[8]Nbr '!$AO$49</definedName>
    <definedName name="T5F_">'[8]Nbr '!$AS$49</definedName>
    <definedName name="T5F1">'[8]Nbr '!$AT$49</definedName>
    <definedName name="T5Fc">'[8]Nbr '!$AP$49</definedName>
    <definedName name="T5Fc1">'[8]Nbr '!$AQ$49</definedName>
    <definedName name="T5Fp">'[8]Nbr '!$AR$49</definedName>
    <definedName name="T6_C1">'[8]Nbr '!$AL$55</definedName>
    <definedName name="T6A">'[8]Nbr '!$V$55</definedName>
    <definedName name="T6A1">'[8]Nbr '!$AB$55</definedName>
    <definedName name="T6A2">'[8]Nbr '!$AC$55</definedName>
    <definedName name="T6A3">'[8]Nbr '!$AD$55</definedName>
    <definedName name="T6A4">'[8]Nbr '!$AE$55</definedName>
    <definedName name="T6Ac">'[8]Nbr '!$W$55</definedName>
    <definedName name="T6Ac1">'[8]Nbr '!$X$55</definedName>
    <definedName name="T6Ac2">'[8]Nbr '!$Y$55</definedName>
    <definedName name="T6Ac3">'[8]Nbr '!$Z$55</definedName>
    <definedName name="T6Ap">'[8]Nbr '!$AA$55</definedName>
    <definedName name="T6B">'[8]Nbr '!$AF$55</definedName>
    <definedName name="T6B_">'[8]Nbr '!$AG$55</definedName>
    <definedName name="T6B1">'[8]Nbr '!$AH$55</definedName>
    <definedName name="T6B2">'[8]Nbr '!$AI$55</definedName>
    <definedName name="T6C">'[8]Nbr '!$AJ$55</definedName>
    <definedName name="T6Cp">'[8]Nbr '!$AK$55</definedName>
    <definedName name="T6Cpc">'[8]Nbr '!$AV$55</definedName>
    <definedName name="T6D">'[8]Nbr '!$AM$55</definedName>
    <definedName name="T6Dc">'[8]Nbr '!$AU$55</definedName>
    <definedName name="T6E">'[8]Nbr '!$AN$55</definedName>
    <definedName name="T6F">'[8]Nbr '!$AO$55</definedName>
    <definedName name="T6F_">'[8]Nbr '!$AS$55</definedName>
    <definedName name="T6F1">'[8]Nbr '!$AT$55</definedName>
    <definedName name="T6Fc">'[8]Nbr '!$AP$55</definedName>
    <definedName name="T6Fc1">'[8]Nbr '!$AQ$55</definedName>
    <definedName name="T6Fp">'[8]Nbr '!$AR$55</definedName>
    <definedName name="T7_C1">'[8]Nbr '!$AL$61</definedName>
    <definedName name="T7A">'[8]Nbr '!$V$61</definedName>
    <definedName name="T7A1">'[8]Nbr '!$AB$61</definedName>
    <definedName name="T7A2">'[8]Nbr '!$AC$61</definedName>
    <definedName name="T7A3">'[8]Nbr '!$AD$61</definedName>
    <definedName name="T7A4">'[8]Nbr '!$AE$61</definedName>
    <definedName name="T7Ac">'[8]Nbr '!$W$61</definedName>
    <definedName name="T7Ac1">'[8]Nbr '!$X$61</definedName>
    <definedName name="T7Ac2">'[8]Nbr '!$Y$61</definedName>
    <definedName name="T7Ac3">'[8]Nbr '!$Z$61</definedName>
    <definedName name="T7Ap">'[8]Nbr '!$AA$61</definedName>
    <definedName name="T7B">'[8]Nbr '!$AF$61</definedName>
    <definedName name="T7B_">'[8]Nbr '!$AG$61</definedName>
    <definedName name="T7B1">'[8]Nbr '!$AH$61</definedName>
    <definedName name="T7B2">'[8]Nbr '!$AI$61</definedName>
    <definedName name="T7C">'[8]Nbr '!$AJ$61</definedName>
    <definedName name="T7Cp">'[8]Nbr '!$AK$61</definedName>
    <definedName name="T7Cpc">'[8]Nbr '!$AV$61</definedName>
    <definedName name="T7D">'[8]Nbr '!$AM$61</definedName>
    <definedName name="T7Dc">'[8]Nbr '!$AU$61</definedName>
    <definedName name="T7E">'[8]Nbr '!$AN$61</definedName>
    <definedName name="T7F">'[8]Nbr '!$AO$61</definedName>
    <definedName name="T7F_">'[8]Nbr '!$AS$61</definedName>
    <definedName name="T7F1">'[8]Nbr '!$AT$61</definedName>
    <definedName name="T7Fc">'[8]Nbr '!$AP$61</definedName>
    <definedName name="T7Fc1">'[8]Nbr '!$AQ$61</definedName>
    <definedName name="T7Fp">'[8]Nbr '!$AR$61</definedName>
    <definedName name="T8_1">'[8]Nbr '!$C$68</definedName>
    <definedName name="T8_10">'[8]Nbr '!$U$68</definedName>
    <definedName name="T8_1c">'[8]Nbr '!$D$68</definedName>
    <definedName name="T8_1cc">'[8]Nbr '!$E$68</definedName>
    <definedName name="T8_2">'[8]Nbr '!$F$68</definedName>
    <definedName name="T8_2c">'[8]Nbr '!$G$68</definedName>
    <definedName name="T8_3">'[8]Nbr '!$H$68</definedName>
    <definedName name="T8_3c">'[8]Nbr '!$I$68</definedName>
    <definedName name="T8_4">'[8]Nbr '!$J$68</definedName>
    <definedName name="T8_4c">'[8]Nbr '!$K$68</definedName>
    <definedName name="T8_5">'[8]Nbr '!$L$68</definedName>
    <definedName name="T8_5c">'[8]Nbr '!$N$68</definedName>
    <definedName name="T8_5p">'[8]Nbr '!$M$68</definedName>
    <definedName name="T8_6">'[8]Nbr '!$O$68</definedName>
    <definedName name="T8_7">'[8]Nbr '!$P$68</definedName>
    <definedName name="T8_8">'[8]Nbr '!$Q$68</definedName>
    <definedName name="T8_8c">'[8]Nbr '!$R$68</definedName>
    <definedName name="T8_9">'[8]Nbr '!$S$68</definedName>
    <definedName name="T8_9c">'[8]Nbr '!$T$68</definedName>
    <definedName name="T9_1">'[8]Nbr '!$C$75</definedName>
    <definedName name="T9_10">'[8]Nbr '!$U$75</definedName>
    <definedName name="T9_1c">'[8]Nbr '!$D$75</definedName>
    <definedName name="T9_1cc">'[8]Nbr '!$E$75</definedName>
    <definedName name="T9_2">'[8]Nbr '!$F$75</definedName>
    <definedName name="T9_2c">'[8]Nbr '!$G$75</definedName>
    <definedName name="T9_3">'[8]Nbr '!$H$75</definedName>
    <definedName name="T9_3c">'[8]Nbr '!$I$75</definedName>
    <definedName name="T9_4">'[8]Nbr '!$J$75</definedName>
    <definedName name="T9_4c">'[8]Nbr '!$K$75</definedName>
    <definedName name="T9_5">'[8]Nbr '!$L$75</definedName>
    <definedName name="T9_5c">'[8]Nbr '!$N$75</definedName>
    <definedName name="T9_5p">'[8]Nbr '!$M$75</definedName>
    <definedName name="T9_6">'[8]Nbr '!$O$75</definedName>
    <definedName name="T9_7">'[8]Nbr '!$P$75</definedName>
    <definedName name="T9_8">'[8]Nbr '!$Q$75</definedName>
    <definedName name="T9_8c">'[8]Nbr '!$R$75</definedName>
    <definedName name="T9_9">'[8]Nbr '!$S$75</definedName>
    <definedName name="T9_9c">'[8]Nbr '!$T$75</definedName>
    <definedName name="tardon">#REF!</definedName>
    <definedName name="TB4_C1">'[8]Nbr '!$AL$45</definedName>
    <definedName name="tt">[9]AN3!$H$6</definedName>
    <definedName name="U" localSheetId="4">#REF!</definedName>
    <definedName name="U" localSheetId="7">#REF!</definedName>
    <definedName name="U">#REF!</definedName>
    <definedName name="V" localSheetId="7">[3]AN2!#REF!</definedName>
    <definedName name="V">[3]AN2!#REF!</definedName>
    <definedName name="ww" localSheetId="7">#REF!</definedName>
    <definedName name="ww">#REF!</definedName>
    <definedName name="x" localSheetId="7">#REF!</definedName>
    <definedName name="x">#REF!</definedName>
    <definedName name="xx" localSheetId="7">#REF!</definedName>
    <definedName name="xx">#REF!</definedName>
    <definedName name="y" localSheetId="7">#REF!</definedName>
    <definedName name="y">#REF!</definedName>
    <definedName name="YY" localSheetId="7">#REF!</definedName>
    <definedName name="YY">#REF!</definedName>
    <definedName name="Z" localSheetId="7">#REF!</definedName>
    <definedName name="Z">#REF!</definedName>
    <definedName name="_xlnm.Print_Area" localSheetId="6">'Acier Elévation'!$A$1:$N$2708</definedName>
    <definedName name="_xlnm.Print_Area" localSheetId="5">'ATTACHEMENT '!$A$1:$L$20</definedName>
    <definedName name="_xlnm.Print_Area" localSheetId="4">Métrié!$A$1:$L$382</definedName>
    <definedName name="_xlnm.Print_Area" localSheetId="7">'RECAP '!$A$1:$I$34</definedName>
    <definedName name="_xlnm.Print_Area" localSheetId="0">recapitulatif!$A$1:$H$599</definedName>
    <definedName name="zz" localSheetId="4">#REF!</definedName>
    <definedName name="zz" localSheetId="7">#REF!</definedName>
    <definedName name="zz">#REF!</definedName>
  </definedNames>
  <calcPr calcId="152511" fullPrecision="0"/>
  <fileRecoveryPr autoRecover="0"/>
</workbook>
</file>

<file path=xl/calcChain.xml><?xml version="1.0" encoding="utf-8"?>
<calcChain xmlns="http://schemas.openxmlformats.org/spreadsheetml/2006/main">
  <c r="K15" i="50" l="1"/>
  <c r="L13" i="50"/>
  <c r="L12" i="50"/>
  <c r="M13" i="50" l="1"/>
  <c r="P13" i="50" s="1"/>
  <c r="M12" i="50"/>
  <c r="P12" i="50" s="1"/>
  <c r="N276" i="44"/>
  <c r="M276" i="44"/>
  <c r="N49" i="44"/>
  <c r="M49" i="44"/>
  <c r="N29" i="44"/>
  <c r="M24" i="44"/>
  <c r="M29" i="44" s="1"/>
  <c r="M25" i="44"/>
  <c r="M26" i="44"/>
  <c r="M31" i="44"/>
  <c r="M32" i="44"/>
  <c r="M33" i="44"/>
  <c r="M34" i="44"/>
  <c r="M35" i="44"/>
  <c r="M36" i="44"/>
  <c r="M37" i="44"/>
  <c r="M38" i="44"/>
  <c r="M39" i="44"/>
  <c r="M40" i="44"/>
  <c r="M41" i="44"/>
  <c r="M42" i="44"/>
  <c r="M43" i="44"/>
  <c r="M44" i="44"/>
  <c r="M45" i="44"/>
  <c r="M46" i="44"/>
  <c r="M56" i="44"/>
  <c r="M57" i="44"/>
  <c r="M58" i="44"/>
  <c r="M59" i="44"/>
  <c r="M60" i="44"/>
  <c r="M61" i="44"/>
  <c r="M62" i="44"/>
  <c r="M63" i="44"/>
  <c r="M64" i="44"/>
  <c r="M65" i="44"/>
  <c r="M66" i="44"/>
  <c r="M67" i="44"/>
  <c r="M68" i="44"/>
  <c r="M69" i="44"/>
  <c r="M70" i="44"/>
  <c r="M71" i="44"/>
  <c r="M72" i="44"/>
  <c r="M73" i="44"/>
  <c r="M74" i="44"/>
  <c r="M75" i="44"/>
  <c r="M76" i="44"/>
  <c r="M77" i="44"/>
  <c r="M78" i="44"/>
  <c r="M79" i="44"/>
  <c r="M80" i="44"/>
  <c r="M81" i="44"/>
  <c r="M82" i="44"/>
  <c r="M83" i="44"/>
  <c r="M84" i="44"/>
  <c r="M85" i="44"/>
  <c r="M86" i="44"/>
  <c r="M87" i="44"/>
  <c r="M88" i="44"/>
  <c r="M89" i="44"/>
  <c r="M90" i="44"/>
  <c r="M91" i="44"/>
  <c r="M92" i="44"/>
  <c r="M93" i="44"/>
  <c r="M94" i="44"/>
  <c r="M95" i="44"/>
  <c r="M96" i="44"/>
  <c r="M97" i="44"/>
  <c r="M98" i="44"/>
  <c r="M99" i="44"/>
  <c r="M100" i="44"/>
  <c r="M101" i="44"/>
  <c r="M102" i="44"/>
  <c r="M103" i="44"/>
  <c r="M104" i="44"/>
  <c r="M105" i="44"/>
  <c r="M106" i="44"/>
  <c r="M107" i="44"/>
  <c r="M108" i="44"/>
  <c r="M109" i="44"/>
  <c r="M110" i="44"/>
  <c r="M111" i="44"/>
  <c r="M112" i="44"/>
  <c r="M113" i="44"/>
  <c r="M114" i="44"/>
  <c r="M115" i="44"/>
  <c r="M116" i="44"/>
  <c r="M117" i="44"/>
  <c r="M118" i="44"/>
  <c r="M119" i="44"/>
  <c r="M120" i="44"/>
  <c r="M121" i="44"/>
  <c r="M122" i="44"/>
  <c r="M123" i="44"/>
  <c r="M124" i="44"/>
  <c r="M125" i="44"/>
  <c r="M126" i="44"/>
  <c r="M127" i="44"/>
  <c r="M128" i="44"/>
  <c r="M129" i="44"/>
  <c r="M130" i="44"/>
  <c r="M131" i="44"/>
  <c r="M132" i="44"/>
  <c r="M133" i="44"/>
  <c r="M134" i="44"/>
  <c r="M135" i="44"/>
  <c r="M136" i="44"/>
  <c r="M137" i="44"/>
  <c r="M138" i="44"/>
  <c r="M139" i="44"/>
  <c r="M140" i="44"/>
  <c r="M141" i="44"/>
  <c r="M142" i="44"/>
  <c r="M143" i="44"/>
  <c r="M144" i="44"/>
  <c r="M145" i="44"/>
  <c r="M146" i="44"/>
  <c r="M147" i="44"/>
  <c r="M148" i="44"/>
  <c r="M149" i="44"/>
  <c r="M150" i="44"/>
  <c r="M151" i="44"/>
  <c r="M152" i="44"/>
  <c r="M153" i="44"/>
  <c r="M154" i="44"/>
  <c r="M155" i="44"/>
  <c r="M156" i="44"/>
  <c r="M157" i="44"/>
  <c r="M158" i="44"/>
  <c r="M159" i="44"/>
  <c r="M160" i="44"/>
  <c r="M161" i="44"/>
  <c r="M162" i="44"/>
  <c r="M163" i="44"/>
  <c r="M164" i="44"/>
  <c r="M165" i="44"/>
  <c r="M166" i="44"/>
  <c r="M167" i="44"/>
  <c r="M168" i="44"/>
  <c r="M169" i="44"/>
  <c r="M170" i="44"/>
  <c r="M171" i="44"/>
  <c r="M172" i="44"/>
  <c r="M173" i="44"/>
  <c r="M174" i="44"/>
  <c r="M175" i="44"/>
  <c r="M176" i="44"/>
  <c r="M177" i="44"/>
  <c r="M178" i="44"/>
  <c r="M179" i="44"/>
  <c r="M180" i="44"/>
  <c r="M181" i="44"/>
  <c r="M182" i="44"/>
  <c r="M183" i="44"/>
  <c r="M184" i="44"/>
  <c r="M185" i="44"/>
  <c r="M186" i="44"/>
  <c r="M187" i="44"/>
  <c r="M188" i="44"/>
  <c r="M189" i="44"/>
  <c r="M190" i="44"/>
  <c r="M191" i="44"/>
  <c r="M192" i="44"/>
  <c r="M193" i="44"/>
  <c r="M194" i="44"/>
  <c r="M195" i="44"/>
  <c r="M196" i="44"/>
  <c r="M197" i="44"/>
  <c r="M198" i="44"/>
  <c r="M199" i="44"/>
  <c r="M200" i="44"/>
  <c r="M201" i="44"/>
  <c r="M202" i="44"/>
  <c r="M203" i="44"/>
  <c r="M204" i="44"/>
  <c r="M205" i="44"/>
  <c r="M206" i="44"/>
  <c r="M207" i="44"/>
  <c r="M208" i="44"/>
  <c r="M209" i="44"/>
  <c r="M210" i="44"/>
  <c r="M211" i="44"/>
  <c r="M212" i="44"/>
  <c r="M213" i="44"/>
  <c r="M214" i="44"/>
  <c r="M215" i="44"/>
  <c r="M216" i="44"/>
  <c r="M217" i="44"/>
  <c r="M218" i="44"/>
  <c r="M219" i="44"/>
  <c r="M220" i="44"/>
  <c r="M221" i="44"/>
  <c r="M222" i="44"/>
  <c r="M223" i="44"/>
  <c r="M224" i="44"/>
  <c r="M225" i="44"/>
  <c r="M226" i="44"/>
  <c r="M227" i="44"/>
  <c r="M228" i="44"/>
  <c r="M229" i="44"/>
  <c r="M230" i="44"/>
  <c r="M231" i="44"/>
  <c r="M232" i="44"/>
  <c r="M233" i="44"/>
  <c r="M234" i="44"/>
  <c r="M235" i="44"/>
  <c r="M236" i="44"/>
  <c r="M237" i="44"/>
  <c r="M238" i="44"/>
  <c r="M239" i="44"/>
  <c r="M240" i="44"/>
  <c r="M241" i="44"/>
  <c r="M242" i="44"/>
  <c r="M243" i="44"/>
  <c r="M244" i="44"/>
  <c r="M245" i="44"/>
  <c r="M246" i="44"/>
  <c r="M247" i="44"/>
  <c r="M248" i="44"/>
  <c r="M249" i="44"/>
  <c r="M250" i="44"/>
  <c r="M251" i="44"/>
  <c r="M252" i="44"/>
  <c r="M253" i="44"/>
  <c r="M254" i="44"/>
  <c r="M255" i="44"/>
  <c r="M256" i="44"/>
  <c r="M257" i="44"/>
  <c r="M258" i="44"/>
  <c r="M259" i="44"/>
  <c r="M260" i="44"/>
  <c r="M261" i="44"/>
  <c r="M262" i="44"/>
  <c r="M263" i="44"/>
  <c r="M264" i="44"/>
  <c r="M265" i="44"/>
  <c r="M266" i="44"/>
  <c r="M267" i="44"/>
  <c r="M268" i="44"/>
  <c r="M269" i="44"/>
  <c r="M270" i="44"/>
  <c r="M23" i="44"/>
  <c r="G258" i="44" l="1"/>
  <c r="H258" i="44" s="1"/>
  <c r="K258" i="44" s="1"/>
  <c r="L270" i="44" s="1"/>
  <c r="G203" i="44"/>
  <c r="G202" i="44"/>
  <c r="G175" i="44"/>
  <c r="H175" i="44" s="1"/>
  <c r="K175" i="44" s="1"/>
  <c r="G171" i="44"/>
  <c r="H171" i="44" s="1"/>
  <c r="G270" i="44"/>
  <c r="H270" i="44" s="1"/>
  <c r="K270" i="44" s="1"/>
  <c r="E270" i="44"/>
  <c r="G269" i="44"/>
  <c r="H269" i="44" s="1"/>
  <c r="K269" i="44" s="1"/>
  <c r="G268" i="44"/>
  <c r="H268" i="44" s="1"/>
  <c r="K268" i="44" s="1"/>
  <c r="G267" i="44"/>
  <c r="H267" i="44" s="1"/>
  <c r="K267" i="44" s="1"/>
  <c r="H266" i="44"/>
  <c r="K266" i="44" s="1"/>
  <c r="G266" i="44"/>
  <c r="H265" i="44"/>
  <c r="K265" i="44" s="1"/>
  <c r="G265" i="44"/>
  <c r="H264" i="44"/>
  <c r="K264" i="44" s="1"/>
  <c r="G264" i="44"/>
  <c r="G263" i="44"/>
  <c r="H263" i="44" s="1"/>
  <c r="K263" i="44" s="1"/>
  <c r="K262" i="44"/>
  <c r="H262" i="44"/>
  <c r="G262" i="44"/>
  <c r="G261" i="44"/>
  <c r="H261" i="44" s="1"/>
  <c r="K261" i="44" s="1"/>
  <c r="G260" i="44"/>
  <c r="H260" i="44" s="1"/>
  <c r="K260" i="44" s="1"/>
  <c r="G259" i="44"/>
  <c r="H259" i="44" s="1"/>
  <c r="K259" i="44" s="1"/>
  <c r="H257" i="44"/>
  <c r="K257" i="44" s="1"/>
  <c r="G257" i="44"/>
  <c r="H256" i="44"/>
  <c r="K256" i="44" s="1"/>
  <c r="G256" i="44"/>
  <c r="G255" i="44"/>
  <c r="H255" i="44" s="1"/>
  <c r="K255" i="44" s="1"/>
  <c r="K254" i="44"/>
  <c r="H254" i="44"/>
  <c r="G254" i="44"/>
  <c r="G253" i="44"/>
  <c r="H253" i="44" s="1"/>
  <c r="K253" i="44" s="1"/>
  <c r="G252" i="44"/>
  <c r="H252" i="44" s="1"/>
  <c r="K252" i="44" s="1"/>
  <c r="G251" i="44"/>
  <c r="H251" i="44" s="1"/>
  <c r="K251" i="44" s="1"/>
  <c r="H250" i="44"/>
  <c r="K250" i="44" s="1"/>
  <c r="G250" i="44"/>
  <c r="H249" i="44"/>
  <c r="K249" i="44" s="1"/>
  <c r="G249" i="44"/>
  <c r="H248" i="44"/>
  <c r="K248" i="44" s="1"/>
  <c r="G248" i="44"/>
  <c r="G247" i="44"/>
  <c r="H247" i="44" s="1"/>
  <c r="K247" i="44" s="1"/>
  <c r="K246" i="44"/>
  <c r="H246" i="44"/>
  <c r="G246" i="44"/>
  <c r="G245" i="44"/>
  <c r="H245" i="44" s="1"/>
  <c r="K245" i="44" s="1"/>
  <c r="G244" i="44"/>
  <c r="H244" i="44" s="1"/>
  <c r="K244" i="44" s="1"/>
  <c r="G243" i="44"/>
  <c r="H243" i="44" s="1"/>
  <c r="K243" i="44" s="1"/>
  <c r="H242" i="44"/>
  <c r="K242" i="44" s="1"/>
  <c r="G242" i="44"/>
  <c r="H241" i="44"/>
  <c r="K241" i="44" s="1"/>
  <c r="G241" i="44"/>
  <c r="H240" i="44"/>
  <c r="K240" i="44" s="1"/>
  <c r="G240" i="44"/>
  <c r="G239" i="44"/>
  <c r="H239" i="44" s="1"/>
  <c r="K239" i="44" s="1"/>
  <c r="K238" i="44"/>
  <c r="H238" i="44"/>
  <c r="G238" i="44"/>
  <c r="G237" i="44"/>
  <c r="H237" i="44" s="1"/>
  <c r="K237" i="44" s="1"/>
  <c r="G236" i="44"/>
  <c r="H236" i="44" s="1"/>
  <c r="K236" i="44" s="1"/>
  <c r="G235" i="44"/>
  <c r="H235" i="44" s="1"/>
  <c r="K235" i="44" s="1"/>
  <c r="H234" i="44"/>
  <c r="K234" i="44" s="1"/>
  <c r="G234" i="44"/>
  <c r="H233" i="44"/>
  <c r="K233" i="44" s="1"/>
  <c r="G233" i="44"/>
  <c r="H232" i="44"/>
  <c r="K232" i="44" s="1"/>
  <c r="G232" i="44"/>
  <c r="G231" i="44"/>
  <c r="H231" i="44" s="1"/>
  <c r="K231" i="44" s="1"/>
  <c r="K230" i="44"/>
  <c r="H230" i="44"/>
  <c r="G230" i="44"/>
  <c r="G229" i="44"/>
  <c r="H229" i="44" s="1"/>
  <c r="K229" i="44" s="1"/>
  <c r="G228" i="44"/>
  <c r="H228" i="44" s="1"/>
  <c r="K228" i="44" s="1"/>
  <c r="G227" i="44"/>
  <c r="H227" i="44" s="1"/>
  <c r="K227" i="44" s="1"/>
  <c r="H226" i="44"/>
  <c r="K226" i="44" s="1"/>
  <c r="G226" i="44"/>
  <c r="H225" i="44"/>
  <c r="K225" i="44" s="1"/>
  <c r="G225" i="44"/>
  <c r="H224" i="44"/>
  <c r="K224" i="44" s="1"/>
  <c r="G224" i="44"/>
  <c r="G223" i="44"/>
  <c r="H223" i="44" s="1"/>
  <c r="K223" i="44" s="1"/>
  <c r="H222" i="44"/>
  <c r="K222" i="44" s="1"/>
  <c r="G222" i="44"/>
  <c r="G221" i="44"/>
  <c r="H221" i="44" s="1"/>
  <c r="K221" i="44" s="1"/>
  <c r="G220" i="44"/>
  <c r="H220" i="44" s="1"/>
  <c r="K220" i="44" s="1"/>
  <c r="G219" i="44"/>
  <c r="H219" i="44" s="1"/>
  <c r="K219" i="44" s="1"/>
  <c r="H218" i="44"/>
  <c r="K218" i="44" s="1"/>
  <c r="G218" i="44"/>
  <c r="G217" i="44"/>
  <c r="H217" i="44" s="1"/>
  <c r="K217" i="44" s="1"/>
  <c r="H216" i="44"/>
  <c r="K216" i="44" s="1"/>
  <c r="G216" i="44"/>
  <c r="G215" i="44"/>
  <c r="H215" i="44" s="1"/>
  <c r="K215" i="44" s="1"/>
  <c r="H214" i="44"/>
  <c r="K214" i="44" s="1"/>
  <c r="G214" i="44"/>
  <c r="G213" i="44"/>
  <c r="H213" i="44" s="1"/>
  <c r="K213" i="44" s="1"/>
  <c r="G212" i="44"/>
  <c r="H212" i="44" s="1"/>
  <c r="K212" i="44" s="1"/>
  <c r="G211" i="44"/>
  <c r="H211" i="44" s="1"/>
  <c r="K211" i="44" s="1"/>
  <c r="H210" i="44"/>
  <c r="K210" i="44" s="1"/>
  <c r="G210" i="44"/>
  <c r="E207" i="44"/>
  <c r="E206" i="44"/>
  <c r="E205" i="44"/>
  <c r="E204" i="44"/>
  <c r="E203" i="44"/>
  <c r="E202" i="44"/>
  <c r="H201" i="44"/>
  <c r="K201" i="44" s="1"/>
  <c r="G201" i="44"/>
  <c r="G200" i="44"/>
  <c r="G207" i="44" s="1"/>
  <c r="H207" i="44" s="1"/>
  <c r="K207" i="44" s="1"/>
  <c r="G199" i="44"/>
  <c r="G206" i="44" s="1"/>
  <c r="H206" i="44" s="1"/>
  <c r="K206" i="44" s="1"/>
  <c r="G198" i="44"/>
  <c r="G205" i="44" s="1"/>
  <c r="H205" i="44" s="1"/>
  <c r="K205" i="44" s="1"/>
  <c r="H197" i="44"/>
  <c r="K197" i="44" s="1"/>
  <c r="G197" i="44"/>
  <c r="G204" i="44" s="1"/>
  <c r="H204" i="44" s="1"/>
  <c r="K204" i="44" s="1"/>
  <c r="G196" i="44"/>
  <c r="H202" i="44" s="1"/>
  <c r="K202" i="44" s="1"/>
  <c r="H195" i="44"/>
  <c r="K195" i="44" s="1"/>
  <c r="G195" i="44"/>
  <c r="G194" i="44"/>
  <c r="H194" i="44" s="1"/>
  <c r="K194" i="44" s="1"/>
  <c r="H193" i="44"/>
  <c r="K193" i="44" s="1"/>
  <c r="G193" i="44"/>
  <c r="G192" i="44"/>
  <c r="H192" i="44" s="1"/>
  <c r="K192" i="44" s="1"/>
  <c r="G191" i="44"/>
  <c r="H191" i="44" s="1"/>
  <c r="K191" i="44" s="1"/>
  <c r="G190" i="44"/>
  <c r="H190" i="44" s="1"/>
  <c r="K190" i="44" s="1"/>
  <c r="H189" i="44"/>
  <c r="K189" i="44" s="1"/>
  <c r="G189" i="44"/>
  <c r="G188" i="44"/>
  <c r="H188" i="44" s="1"/>
  <c r="K188" i="44" s="1"/>
  <c r="H187" i="44"/>
  <c r="K187" i="44" s="1"/>
  <c r="G187" i="44"/>
  <c r="G186" i="44"/>
  <c r="H186" i="44" s="1"/>
  <c r="K186" i="44" s="1"/>
  <c r="H185" i="44"/>
  <c r="K185" i="44" s="1"/>
  <c r="G185" i="44"/>
  <c r="G184" i="44"/>
  <c r="H184" i="44" s="1"/>
  <c r="K184" i="44" s="1"/>
  <c r="G183" i="44"/>
  <c r="H183" i="44" s="1"/>
  <c r="K183" i="44" s="1"/>
  <c r="G182" i="44"/>
  <c r="H182" i="44" s="1"/>
  <c r="K182" i="44" s="1"/>
  <c r="H181" i="44"/>
  <c r="K181" i="44" s="1"/>
  <c r="G181" i="44"/>
  <c r="G180" i="44"/>
  <c r="H180" i="44" s="1"/>
  <c r="K180" i="44" s="1"/>
  <c r="H179" i="44"/>
  <c r="K179" i="44" s="1"/>
  <c r="G179" i="44"/>
  <c r="G178" i="44"/>
  <c r="H178" i="44" s="1"/>
  <c r="K178" i="44" s="1"/>
  <c r="H177" i="44"/>
  <c r="K177" i="44" s="1"/>
  <c r="G177" i="44"/>
  <c r="G176" i="44"/>
  <c r="H176" i="44" s="1"/>
  <c r="K176" i="44" s="1"/>
  <c r="G174" i="44"/>
  <c r="H174" i="44" s="1"/>
  <c r="K174" i="44" s="1"/>
  <c r="H173" i="44"/>
  <c r="K173" i="44" s="1"/>
  <c r="G173" i="44"/>
  <c r="G172" i="44"/>
  <c r="H172" i="44" s="1"/>
  <c r="K172" i="44" s="1"/>
  <c r="G170" i="44"/>
  <c r="H170" i="44" s="1"/>
  <c r="K170" i="44" s="1"/>
  <c r="H169" i="44"/>
  <c r="K169" i="44" s="1"/>
  <c r="G169" i="44"/>
  <c r="G168" i="44"/>
  <c r="H168" i="44" s="1"/>
  <c r="K168" i="44" s="1"/>
  <c r="G167" i="44"/>
  <c r="H167" i="44" s="1"/>
  <c r="K167" i="44" s="1"/>
  <c r="L165" i="44"/>
  <c r="K171" i="44" l="1"/>
  <c r="H276" i="44"/>
  <c r="H200" i="44"/>
  <c r="K200" i="44" s="1"/>
  <c r="H198" i="44"/>
  <c r="K198" i="44" s="1"/>
  <c r="H203" i="44"/>
  <c r="K203" i="44" s="1"/>
  <c r="H196" i="44"/>
  <c r="K196" i="44" s="1"/>
  <c r="H199" i="44"/>
  <c r="K199" i="44" s="1"/>
  <c r="L207" i="44" l="1"/>
  <c r="K49" i="44" l="1"/>
  <c r="H49" i="44"/>
  <c r="K39" i="44"/>
  <c r="H39" i="44"/>
  <c r="H37" i="44"/>
  <c r="K37" i="44" s="1"/>
  <c r="H36" i="44"/>
  <c r="K36" i="44" s="1"/>
  <c r="O46" i="44"/>
  <c r="G46" i="44"/>
  <c r="H46" i="44" s="1"/>
  <c r="K46" i="44" s="1"/>
  <c r="O45" i="44"/>
  <c r="G45" i="44"/>
  <c r="F45" i="44"/>
  <c r="H45" i="44" s="1"/>
  <c r="K45" i="44" s="1"/>
  <c r="G43" i="44"/>
  <c r="H43" i="44" s="1"/>
  <c r="K43" i="44" s="1"/>
  <c r="G42" i="44"/>
  <c r="H42" i="44" s="1"/>
  <c r="K42" i="44" s="1"/>
  <c r="H57" i="44" l="1"/>
  <c r="H58" i="44"/>
  <c r="H59" i="44"/>
  <c r="H60" i="44"/>
  <c r="H61" i="44"/>
  <c r="H62" i="44"/>
  <c r="H63" i="44"/>
  <c r="H64" i="44"/>
  <c r="H65" i="44"/>
  <c r="H66" i="44"/>
  <c r="H67" i="44"/>
  <c r="H68" i="44"/>
  <c r="H69" i="44"/>
  <c r="H70" i="44"/>
  <c r="H71" i="44"/>
  <c r="H72" i="44"/>
  <c r="H73" i="44"/>
  <c r="H74" i="44"/>
  <c r="H75" i="44"/>
  <c r="H76" i="44"/>
  <c r="H77" i="44"/>
  <c r="H78" i="44"/>
  <c r="H79" i="44"/>
  <c r="H80" i="44"/>
  <c r="H81" i="44"/>
  <c r="H82" i="44"/>
  <c r="H83" i="44"/>
  <c r="H84" i="44"/>
  <c r="H85" i="44"/>
  <c r="H86" i="44"/>
  <c r="H87" i="44"/>
  <c r="H88" i="44"/>
  <c r="H89" i="44"/>
  <c r="H90" i="44"/>
  <c r="H91" i="44"/>
  <c r="H92" i="44"/>
  <c r="H93" i="44"/>
  <c r="H94" i="44"/>
  <c r="H95" i="44"/>
  <c r="H96" i="44"/>
  <c r="H97" i="44"/>
  <c r="H98" i="44"/>
  <c r="H99" i="44"/>
  <c r="H100" i="44"/>
  <c r="H101" i="44"/>
  <c r="H102" i="44"/>
  <c r="H103" i="44"/>
  <c r="H104" i="44"/>
  <c r="H105" i="44"/>
  <c r="H106" i="44"/>
  <c r="H107" i="44"/>
  <c r="H108" i="44"/>
  <c r="H109" i="44"/>
  <c r="H110" i="44"/>
  <c r="H111" i="44"/>
  <c r="H112" i="44"/>
  <c r="H113" i="44"/>
  <c r="H114" i="44"/>
  <c r="H115" i="44"/>
  <c r="H116" i="44"/>
  <c r="H117" i="44"/>
  <c r="H118" i="44"/>
  <c r="H119" i="44"/>
  <c r="H120" i="44"/>
  <c r="H121" i="44"/>
  <c r="H122" i="44"/>
  <c r="H123" i="44"/>
  <c r="H124" i="44"/>
  <c r="H125" i="44"/>
  <c r="H126" i="44"/>
  <c r="H127" i="44"/>
  <c r="H128" i="44"/>
  <c r="H129" i="44"/>
  <c r="H130" i="44"/>
  <c r="H131" i="44"/>
  <c r="H132" i="44"/>
  <c r="H133" i="44"/>
  <c r="H134" i="44"/>
  <c r="H135" i="44"/>
  <c r="H136" i="44"/>
  <c r="H137" i="44"/>
  <c r="H138" i="44"/>
  <c r="H139" i="44"/>
  <c r="H140" i="44"/>
  <c r="H141" i="44"/>
  <c r="H142" i="44"/>
  <c r="H143" i="44"/>
  <c r="H144" i="44"/>
  <c r="H145" i="44"/>
  <c r="H146" i="44"/>
  <c r="H147" i="44"/>
  <c r="H148" i="44"/>
  <c r="H149" i="44"/>
  <c r="H150" i="44"/>
  <c r="H151" i="44"/>
  <c r="H152" i="44"/>
  <c r="H153" i="44"/>
  <c r="H154" i="44"/>
  <c r="H155" i="44"/>
  <c r="H156" i="44"/>
  <c r="H157" i="44"/>
  <c r="H158" i="44"/>
  <c r="H159" i="44"/>
  <c r="H160" i="44"/>
  <c r="H161" i="44"/>
  <c r="H162" i="44"/>
  <c r="H163" i="44"/>
  <c r="H164" i="44"/>
  <c r="H165" i="44"/>
  <c r="F161" i="44" l="1"/>
  <c r="E161" i="44"/>
  <c r="G161" i="44"/>
  <c r="F160" i="44"/>
  <c r="F159" i="44"/>
  <c r="E159" i="44"/>
  <c r="G160" i="44"/>
  <c r="E160" i="44"/>
  <c r="G150" i="44"/>
  <c r="E149" i="44"/>
  <c r="E148" i="44"/>
  <c r="E147" i="44"/>
  <c r="E146" i="44"/>
  <c r="E145" i="44"/>
  <c r="F146" i="44"/>
  <c r="F147" i="44"/>
  <c r="F148" i="44"/>
  <c r="F149" i="44"/>
  <c r="F145" i="44"/>
  <c r="F138" i="44"/>
  <c r="F139" i="44"/>
  <c r="F140" i="44"/>
  <c r="F137" i="44"/>
  <c r="E140" i="44"/>
  <c r="E139" i="44"/>
  <c r="E137" i="44"/>
  <c r="E138" i="44"/>
  <c r="G136" i="44"/>
  <c r="G129" i="44"/>
  <c r="G118" i="44"/>
  <c r="G66" i="44"/>
  <c r="K66" i="44" s="1"/>
  <c r="K161" i="44" l="1"/>
  <c r="K160" i="44"/>
  <c r="G61" i="44"/>
  <c r="G60" i="44"/>
  <c r="K165" i="44" l="1"/>
  <c r="K164" i="44"/>
  <c r="K163" i="44"/>
  <c r="K162" i="44"/>
  <c r="K157" i="44"/>
  <c r="K156" i="44"/>
  <c r="K155" i="44"/>
  <c r="K154" i="44"/>
  <c r="K153" i="44"/>
  <c r="K152" i="44"/>
  <c r="K151" i="44"/>
  <c r="K150" i="44"/>
  <c r="K144" i="44"/>
  <c r="K143" i="44"/>
  <c r="K142" i="44"/>
  <c r="K141" i="44"/>
  <c r="K135" i="44"/>
  <c r="K134" i="44"/>
  <c r="K133" i="44"/>
  <c r="K132" i="44"/>
  <c r="K131" i="44"/>
  <c r="K130" i="44"/>
  <c r="K128" i="44"/>
  <c r="K127" i="44"/>
  <c r="K126" i="44"/>
  <c r="K125" i="44"/>
  <c r="K124" i="44"/>
  <c r="K123" i="44"/>
  <c r="K122" i="44"/>
  <c r="K121" i="44"/>
  <c r="K120" i="44"/>
  <c r="K119" i="44"/>
  <c r="K117" i="44"/>
  <c r="K116" i="44"/>
  <c r="K115" i="44"/>
  <c r="K114" i="44"/>
  <c r="K113" i="44"/>
  <c r="K112" i="44"/>
  <c r="K111" i="44"/>
  <c r="K110" i="44"/>
  <c r="K109" i="44"/>
  <c r="K106" i="44"/>
  <c r="K105" i="44"/>
  <c r="K104" i="44"/>
  <c r="K103" i="44"/>
  <c r="K102" i="44"/>
  <c r="K101" i="44"/>
  <c r="K100" i="44"/>
  <c r="K99" i="44"/>
  <c r="K98" i="44"/>
  <c r="K97" i="44"/>
  <c r="K96" i="44"/>
  <c r="K95" i="44"/>
  <c r="K94" i="44"/>
  <c r="K93" i="44"/>
  <c r="K92" i="44"/>
  <c r="K91" i="44"/>
  <c r="K90" i="44"/>
  <c r="K89" i="44"/>
  <c r="K88" i="44"/>
  <c r="K87" i="44"/>
  <c r="K86" i="44"/>
  <c r="K85" i="44"/>
  <c r="K84" i="44"/>
  <c r="K83" i="44"/>
  <c r="K82" i="44"/>
  <c r="K81" i="44"/>
  <c r="K80" i="44"/>
  <c r="K79" i="44"/>
  <c r="K78" i="44"/>
  <c r="K77" i="44"/>
  <c r="K76" i="44"/>
  <c r="K75" i="44"/>
  <c r="K74" i="44"/>
  <c r="K73" i="44"/>
  <c r="K72" i="44"/>
  <c r="K71" i="44"/>
  <c r="K70" i="44"/>
  <c r="K69" i="44"/>
  <c r="K68" i="44"/>
  <c r="K67" i="44"/>
  <c r="K65" i="44"/>
  <c r="K64" i="44"/>
  <c r="K63" i="44"/>
  <c r="K62" i="44"/>
  <c r="K59" i="44"/>
  <c r="K58" i="44"/>
  <c r="K57" i="44"/>
  <c r="K56" i="44"/>
  <c r="G165" i="44"/>
  <c r="G164" i="44"/>
  <c r="G163" i="44"/>
  <c r="G162" i="44"/>
  <c r="G159" i="44"/>
  <c r="K159" i="44"/>
  <c r="G158" i="44"/>
  <c r="K158" i="44" s="1"/>
  <c r="G157" i="44"/>
  <c r="G156" i="44"/>
  <c r="G155" i="44"/>
  <c r="G154" i="44"/>
  <c r="G153" i="44"/>
  <c r="G152" i="44"/>
  <c r="G151" i="44"/>
  <c r="G149" i="44"/>
  <c r="G148" i="44"/>
  <c r="G147" i="44"/>
  <c r="G146" i="44"/>
  <c r="K146" i="44"/>
  <c r="G145" i="44"/>
  <c r="G144" i="44"/>
  <c r="G143" i="44"/>
  <c r="G142" i="44"/>
  <c r="G141" i="44"/>
  <c r="G140" i="44"/>
  <c r="G139" i="44"/>
  <c r="K139" i="44" s="1"/>
  <c r="G138" i="44"/>
  <c r="G137" i="44"/>
  <c r="K137" i="44"/>
  <c r="K136" i="44"/>
  <c r="G135" i="44"/>
  <c r="G134" i="44"/>
  <c r="G133" i="44"/>
  <c r="G132" i="44"/>
  <c r="G131" i="44"/>
  <c r="G130" i="44"/>
  <c r="K129" i="44"/>
  <c r="G128" i="44"/>
  <c r="G127" i="44"/>
  <c r="G126" i="44"/>
  <c r="G125" i="44"/>
  <c r="G124" i="44"/>
  <c r="G123" i="44"/>
  <c r="G122" i="44"/>
  <c r="G121" i="44"/>
  <c r="G120" i="44"/>
  <c r="G119" i="44"/>
  <c r="K118" i="44"/>
  <c r="G117" i="44"/>
  <c r="G116" i="44"/>
  <c r="G115" i="44"/>
  <c r="G114" i="44"/>
  <c r="G113" i="44"/>
  <c r="G112" i="44"/>
  <c r="G111" i="44"/>
  <c r="G110" i="44"/>
  <c r="G109" i="44"/>
  <c r="G106" i="44"/>
  <c r="G105" i="44"/>
  <c r="G104" i="44"/>
  <c r="G103" i="44"/>
  <c r="G102" i="44"/>
  <c r="G101" i="44"/>
  <c r="G100" i="44"/>
  <c r="G99" i="44"/>
  <c r="G98" i="44"/>
  <c r="G97" i="44"/>
  <c r="G96" i="44"/>
  <c r="G95" i="44"/>
  <c r="G94" i="44"/>
  <c r="G93" i="44"/>
  <c r="G92" i="44"/>
  <c r="G91" i="44"/>
  <c r="G90" i="44"/>
  <c r="G89" i="44"/>
  <c r="G88" i="44"/>
  <c r="G87" i="44"/>
  <c r="G86" i="44"/>
  <c r="G85" i="44"/>
  <c r="G84" i="44"/>
  <c r="G83" i="44"/>
  <c r="G82" i="44"/>
  <c r="G81" i="44"/>
  <c r="G80" i="44"/>
  <c r="G79" i="44"/>
  <c r="G78" i="44"/>
  <c r="G77" i="44"/>
  <c r="G76" i="44"/>
  <c r="G75" i="44"/>
  <c r="G74" i="44"/>
  <c r="G73" i="44"/>
  <c r="G72" i="44"/>
  <c r="G71" i="44"/>
  <c r="G70" i="44"/>
  <c r="G69" i="44"/>
  <c r="G68" i="44"/>
  <c r="G67" i="44"/>
  <c r="G65" i="44"/>
  <c r="G64" i="44"/>
  <c r="G63" i="44"/>
  <c r="G62" i="44"/>
  <c r="K61" i="44"/>
  <c r="G59" i="44"/>
  <c r="G58" i="44"/>
  <c r="G57" i="44"/>
  <c r="G56" i="44"/>
  <c r="E56" i="44"/>
  <c r="H56" i="44" s="1"/>
  <c r="K60" i="44" l="1"/>
  <c r="K149" i="44"/>
  <c r="K140" i="44"/>
  <c r="K145" i="44"/>
  <c r="K147" i="44"/>
  <c r="K148" i="44"/>
  <c r="K138" i="44"/>
  <c r="K276" i="44" s="1"/>
  <c r="L107" i="44"/>
  <c r="L278" i="44" l="1"/>
  <c r="G13" i="50" s="1"/>
  <c r="J13" i="50" s="1"/>
  <c r="I13" i="50" s="1"/>
  <c r="O13" i="50" s="1"/>
  <c r="O38" i="44"/>
  <c r="O39" i="44"/>
  <c r="H24" i="44" l="1"/>
  <c r="K24" i="44" s="1"/>
  <c r="H26" i="44"/>
  <c r="K26" i="44" s="1"/>
  <c r="H23" i="44"/>
  <c r="K23" i="44" s="1"/>
  <c r="K29" i="44" l="1"/>
  <c r="P29" i="44" s="1"/>
  <c r="H29" i="44"/>
  <c r="L31" i="44" s="1"/>
  <c r="L51" i="44"/>
  <c r="G12" i="50" s="1"/>
  <c r="J12" i="50" s="1"/>
  <c r="I12" i="50" s="1"/>
  <c r="O12" i="50" s="1"/>
  <c r="E12" i="50" l="1"/>
  <c r="E12" i="49" l="1"/>
  <c r="G2662" i="32" l="1"/>
  <c r="G2661" i="32"/>
  <c r="G2660" i="32"/>
  <c r="G2656" i="32"/>
  <c r="G2655" i="32"/>
  <c r="G2651" i="32"/>
  <c r="G2650" i="32"/>
  <c r="G2554" i="32" l="1"/>
  <c r="G2579" i="32"/>
  <c r="G2583" i="32"/>
  <c r="G2587" i="32"/>
  <c r="G2591" i="32"/>
  <c r="G2596" i="32"/>
  <c r="G2600" i="32"/>
  <c r="G2609" i="32"/>
  <c r="G2628" i="32"/>
  <c r="G2698" i="32"/>
  <c r="G2692" i="32"/>
  <c r="G2687" i="32"/>
  <c r="G2682" i="32"/>
  <c r="G2677" i="32"/>
  <c r="G2672" i="32"/>
  <c r="G2665" i="32"/>
  <c r="G2659" i="32"/>
  <c r="G2654" i="32"/>
  <c r="G2649" i="32"/>
  <c r="G2644" i="32"/>
  <c r="G2639" i="32"/>
  <c r="G2634" i="32"/>
  <c r="G2623" i="32"/>
  <c r="G2618" i="32"/>
  <c r="G2613" i="32"/>
  <c r="G2604" i="32"/>
  <c r="G2574" i="32"/>
  <c r="G2569" i="32"/>
  <c r="G2563" i="32"/>
  <c r="G2558" i="32"/>
  <c r="G2548" i="32"/>
  <c r="G2544" i="32"/>
  <c r="G2540" i="32"/>
  <c r="G2536" i="32"/>
  <c r="G2531" i="32"/>
  <c r="G2526" i="32"/>
  <c r="G2521" i="32"/>
  <c r="G2515" i="32"/>
  <c r="G2510" i="32"/>
  <c r="G2504" i="32"/>
  <c r="G2499" i="32"/>
  <c r="G2494" i="32"/>
  <c r="G2489" i="32"/>
  <c r="N2368" i="32" l="1"/>
  <c r="M2368" i="32"/>
  <c r="L2368" i="32"/>
  <c r="J2368" i="32"/>
  <c r="I2368" i="32"/>
  <c r="H2368" i="32"/>
  <c r="F2368" i="32"/>
  <c r="K2368" i="32" s="1"/>
  <c r="N2367" i="32"/>
  <c r="M2367" i="32"/>
  <c r="L2367" i="32"/>
  <c r="K2367" i="32"/>
  <c r="I2367" i="32"/>
  <c r="H2367" i="32"/>
  <c r="F2367" i="32"/>
  <c r="J2367" i="32" s="1"/>
  <c r="N2366" i="32"/>
  <c r="M2366" i="32"/>
  <c r="K2366" i="32"/>
  <c r="J2366" i="32"/>
  <c r="I2366" i="32"/>
  <c r="H2366" i="32"/>
  <c r="F2366" i="32"/>
  <c r="L2366" i="32" s="1"/>
  <c r="N2365" i="32"/>
  <c r="M2365" i="32"/>
  <c r="L2365" i="32"/>
  <c r="K2365" i="32"/>
  <c r="J2365" i="32"/>
  <c r="H2365" i="32"/>
  <c r="G2365" i="32"/>
  <c r="F2365" i="32"/>
  <c r="N2364" i="32"/>
  <c r="M2364" i="32"/>
  <c r="L2364" i="32"/>
  <c r="K2364" i="32"/>
  <c r="J2364" i="32"/>
  <c r="H2364" i="32"/>
  <c r="G2364" i="32"/>
  <c r="E2364" i="32"/>
  <c r="F2364" i="32" s="1"/>
  <c r="N2363" i="32"/>
  <c r="M2363" i="32"/>
  <c r="L2363" i="32"/>
  <c r="K2363" i="32"/>
  <c r="I2363" i="32"/>
  <c r="H2363" i="32"/>
  <c r="F2363" i="32"/>
  <c r="J2363" i="32" s="1"/>
  <c r="N2362" i="32"/>
  <c r="M2362" i="32"/>
  <c r="L2362" i="32"/>
  <c r="J2362" i="32"/>
  <c r="I2362" i="32"/>
  <c r="H2362" i="32"/>
  <c r="G2362" i="32"/>
  <c r="F2362" i="32"/>
  <c r="N2361" i="32"/>
  <c r="M2361" i="32"/>
  <c r="L2361" i="32"/>
  <c r="K2361" i="32"/>
  <c r="I2361" i="32"/>
  <c r="H2361" i="32"/>
  <c r="G2361" i="32"/>
  <c r="F2361" i="32"/>
  <c r="N2358" i="32"/>
  <c r="M2358" i="32"/>
  <c r="L2358" i="32"/>
  <c r="J2358" i="32"/>
  <c r="I2358" i="32"/>
  <c r="H2358" i="32"/>
  <c r="F2358" i="32"/>
  <c r="K2358" i="32" s="1"/>
  <c r="N2357" i="32"/>
  <c r="M2357" i="32"/>
  <c r="L2357" i="32"/>
  <c r="K2357" i="32"/>
  <c r="I2357" i="32"/>
  <c r="H2357" i="32"/>
  <c r="F2357" i="32"/>
  <c r="J2357" i="32" s="1"/>
  <c r="N2356" i="32"/>
  <c r="M2356" i="32"/>
  <c r="K2356" i="32"/>
  <c r="J2356" i="32"/>
  <c r="I2356" i="32"/>
  <c r="H2356" i="32"/>
  <c r="F2356" i="32"/>
  <c r="L2356" i="32" s="1"/>
  <c r="N2355" i="32"/>
  <c r="M2355" i="32"/>
  <c r="L2355" i="32"/>
  <c r="K2355" i="32"/>
  <c r="J2355" i="32"/>
  <c r="H2355" i="32"/>
  <c r="G2355" i="32"/>
  <c r="F2355" i="32"/>
  <c r="N2354" i="32"/>
  <c r="M2354" i="32"/>
  <c r="L2354" i="32"/>
  <c r="K2354" i="32"/>
  <c r="J2354" i="32"/>
  <c r="H2354" i="32"/>
  <c r="G2354" i="32"/>
  <c r="E2354" i="32"/>
  <c r="F2354" i="32" s="1"/>
  <c r="N2353" i="32"/>
  <c r="M2353" i="32"/>
  <c r="L2353" i="32"/>
  <c r="K2353" i="32"/>
  <c r="I2353" i="32"/>
  <c r="H2353" i="32"/>
  <c r="F2353" i="32"/>
  <c r="J2353" i="32" s="1"/>
  <c r="N2352" i="32"/>
  <c r="M2352" i="32"/>
  <c r="L2352" i="32"/>
  <c r="J2352" i="32"/>
  <c r="I2352" i="32"/>
  <c r="H2352" i="32"/>
  <c r="G2352" i="32"/>
  <c r="F2352" i="32"/>
  <c r="N2351" i="32"/>
  <c r="M2351" i="32"/>
  <c r="L2351" i="32"/>
  <c r="K2351" i="32"/>
  <c r="I2351" i="32"/>
  <c r="H2351" i="32"/>
  <c r="G2351" i="32"/>
  <c r="F2351" i="32"/>
  <c r="J2351" i="32" l="1"/>
  <c r="I2354" i="32"/>
  <c r="I2355" i="32"/>
  <c r="K2352" i="32"/>
  <c r="I2365" i="32"/>
  <c r="J2361" i="32"/>
  <c r="K2362" i="32"/>
  <c r="I2364" i="32"/>
  <c r="E2550" i="32"/>
  <c r="E2560" i="32"/>
  <c r="E2565" i="32"/>
  <c r="E2571" i="32"/>
  <c r="E2576" i="32"/>
  <c r="E2580" i="32"/>
  <c r="E2597" i="32"/>
  <c r="E2606" i="32"/>
  <c r="E2615" i="32"/>
  <c r="E2620" i="32"/>
  <c r="E2625" i="32"/>
  <c r="E2636" i="32"/>
  <c r="E2641" i="32"/>
  <c r="E2646" i="32"/>
  <c r="E2651" i="32"/>
  <c r="E2656" i="32"/>
  <c r="E2661" i="32"/>
  <c r="E2667" i="32"/>
  <c r="E2674" i="32"/>
  <c r="E2679" i="32"/>
  <c r="E2684" i="32"/>
  <c r="E2689" i="32"/>
  <c r="E2694" i="32"/>
  <c r="E2700" i="32"/>
  <c r="E2701" i="32"/>
  <c r="E2699" i="32"/>
  <c r="E2695" i="32"/>
  <c r="E2693" i="32"/>
  <c r="E2688" i="32"/>
  <c r="E2683" i="32"/>
  <c r="E2678" i="32"/>
  <c r="E2673" i="32"/>
  <c r="E2668" i="32"/>
  <c r="E2666" i="32"/>
  <c r="E2662" i="32"/>
  <c r="E2660" i="32"/>
  <c r="E2655" i="32"/>
  <c r="E2650" i="32"/>
  <c r="E2645" i="32"/>
  <c r="E2640" i="32"/>
  <c r="E2635" i="32"/>
  <c r="E2629" i="32"/>
  <c r="E2624" i="32"/>
  <c r="E2619" i="32"/>
  <c r="E2614" i="32"/>
  <c r="E2610" i="32"/>
  <c r="E2605" i="32"/>
  <c r="E2601" i="32"/>
  <c r="E2592" i="32"/>
  <c r="E2588" i="32"/>
  <c r="E2584" i="32"/>
  <c r="E2575" i="32"/>
  <c r="E2570" i="32"/>
  <c r="E2564" i="32"/>
  <c r="E2559" i="32"/>
  <c r="E2555" i="32"/>
  <c r="E2549" i="32"/>
  <c r="E2545" i="32"/>
  <c r="E2541" i="32"/>
  <c r="E2537" i="32"/>
  <c r="E2533" i="32"/>
  <c r="E2532" i="32"/>
  <c r="E2528" i="32"/>
  <c r="E2527" i="32"/>
  <c r="E2523" i="32"/>
  <c r="E2522" i="32"/>
  <c r="E2517" i="32"/>
  <c r="E2516" i="32"/>
  <c r="E2512" i="32"/>
  <c r="E2511" i="32"/>
  <c r="E2507" i="32"/>
  <c r="E2506" i="32"/>
  <c r="E2505" i="32"/>
  <c r="E2500" i="32"/>
  <c r="E2496" i="32"/>
  <c r="E2495" i="32"/>
  <c r="E2490" i="32"/>
  <c r="E2491" i="32"/>
  <c r="N1167" i="32" l="1"/>
  <c r="M1167" i="32"/>
  <c r="L1167" i="32"/>
  <c r="J1167" i="32"/>
  <c r="I1167" i="32"/>
  <c r="H1167" i="32"/>
  <c r="F1167" i="32"/>
  <c r="K1167" i="32" s="1"/>
  <c r="N1166" i="32"/>
  <c r="M1166" i="32"/>
  <c r="K1166" i="32"/>
  <c r="J1166" i="32"/>
  <c r="I1166" i="32"/>
  <c r="H1166" i="32"/>
  <c r="F1166" i="32"/>
  <c r="L1166" i="32" s="1"/>
  <c r="N1165" i="32"/>
  <c r="M1165" i="32"/>
  <c r="L1165" i="32"/>
  <c r="K1165" i="32"/>
  <c r="J1165" i="32"/>
  <c r="H1165" i="32"/>
  <c r="G1165" i="32"/>
  <c r="F1165" i="32"/>
  <c r="N1164" i="32"/>
  <c r="M1164" i="32"/>
  <c r="L1164" i="32"/>
  <c r="K1164" i="32"/>
  <c r="J1164" i="32"/>
  <c r="H1164" i="32"/>
  <c r="G1164" i="32"/>
  <c r="E1164" i="32"/>
  <c r="F1164" i="32" s="1"/>
  <c r="N1163" i="32"/>
  <c r="M1163" i="32"/>
  <c r="L1163" i="32"/>
  <c r="J1163" i="32"/>
  <c r="I1163" i="32"/>
  <c r="H1163" i="32"/>
  <c r="G1163" i="32"/>
  <c r="F1163" i="32"/>
  <c r="N1162" i="32"/>
  <c r="M1162" i="32"/>
  <c r="L1162" i="32"/>
  <c r="K1162" i="32"/>
  <c r="I1162" i="32"/>
  <c r="H1162" i="32"/>
  <c r="G1162" i="32"/>
  <c r="F1162" i="32"/>
  <c r="N1210" i="32"/>
  <c r="M1210" i="32"/>
  <c r="K1210" i="32"/>
  <c r="J1210" i="32"/>
  <c r="I1210" i="32"/>
  <c r="H1210" i="32"/>
  <c r="F1210" i="32"/>
  <c r="L1210" i="32" s="1"/>
  <c r="N1209" i="32"/>
  <c r="M1209" i="32"/>
  <c r="K1209" i="32"/>
  <c r="J1209" i="32"/>
  <c r="I1209" i="32"/>
  <c r="H1209" i="32"/>
  <c r="F1209" i="32"/>
  <c r="L1209" i="32" s="1"/>
  <c r="N1208" i="32"/>
  <c r="M1208" i="32"/>
  <c r="L1208" i="32"/>
  <c r="K1208" i="32"/>
  <c r="J1208" i="32"/>
  <c r="H1208" i="32"/>
  <c r="G1208" i="32"/>
  <c r="E1208" i="32"/>
  <c r="F1208" i="32" s="1"/>
  <c r="N1207" i="32"/>
  <c r="M1207" i="32"/>
  <c r="L1207" i="32"/>
  <c r="K1207" i="32"/>
  <c r="J1207" i="32"/>
  <c r="H1207" i="32"/>
  <c r="G1207" i="32"/>
  <c r="E1207" i="32"/>
  <c r="F1207" i="32" s="1"/>
  <c r="N1206" i="32"/>
  <c r="M1206" i="32"/>
  <c r="K1206" i="32"/>
  <c r="J1206" i="32"/>
  <c r="I1206" i="32"/>
  <c r="H1206" i="32"/>
  <c r="G1206" i="32"/>
  <c r="F1206" i="32"/>
  <c r="N1205" i="32"/>
  <c r="M1205" i="32"/>
  <c r="L1205" i="32"/>
  <c r="K1205" i="32"/>
  <c r="I1205" i="32"/>
  <c r="H1205" i="32"/>
  <c r="G1205" i="32"/>
  <c r="F1205" i="32"/>
  <c r="N1305" i="32"/>
  <c r="M1305" i="32"/>
  <c r="K1305" i="32"/>
  <c r="J1305" i="32"/>
  <c r="I1305" i="32"/>
  <c r="H1305" i="32"/>
  <c r="F1305" i="32"/>
  <c r="L1305" i="32" s="1"/>
  <c r="N1304" i="32"/>
  <c r="M1304" i="32"/>
  <c r="K1304" i="32"/>
  <c r="J1304" i="32"/>
  <c r="I1304" i="32"/>
  <c r="H1304" i="32"/>
  <c r="F1304" i="32"/>
  <c r="L1304" i="32" s="1"/>
  <c r="N1303" i="32"/>
  <c r="M1303" i="32"/>
  <c r="L1303" i="32"/>
  <c r="K1303" i="32"/>
  <c r="J1303" i="32"/>
  <c r="H1303" i="32"/>
  <c r="G1303" i="32"/>
  <c r="E1303" i="32"/>
  <c r="F1303" i="32" s="1"/>
  <c r="N1302" i="32"/>
  <c r="M1302" i="32"/>
  <c r="L1302" i="32"/>
  <c r="K1302" i="32"/>
  <c r="J1302" i="32"/>
  <c r="H1302" i="32"/>
  <c r="G1302" i="32"/>
  <c r="E1302" i="32"/>
  <c r="F1302" i="32" s="1"/>
  <c r="N1301" i="32"/>
  <c r="M1301" i="32"/>
  <c r="K1301" i="32"/>
  <c r="J1301" i="32"/>
  <c r="I1301" i="32"/>
  <c r="H1301" i="32"/>
  <c r="G1301" i="32"/>
  <c r="F1301" i="32"/>
  <c r="N1300" i="32"/>
  <c r="M1300" i="32"/>
  <c r="L1300" i="32"/>
  <c r="K1300" i="32"/>
  <c r="I1300" i="32"/>
  <c r="H1300" i="32"/>
  <c r="G1300" i="32"/>
  <c r="F1300" i="32"/>
  <c r="N1297" i="32"/>
  <c r="M1297" i="32"/>
  <c r="K1297" i="32"/>
  <c r="J1297" i="32"/>
  <c r="I1297" i="32"/>
  <c r="H1297" i="32"/>
  <c r="F1297" i="32"/>
  <c r="L1297" i="32" s="1"/>
  <c r="N1296" i="32"/>
  <c r="M1296" i="32"/>
  <c r="K1296" i="32"/>
  <c r="J1296" i="32"/>
  <c r="I1296" i="32"/>
  <c r="H1296" i="32"/>
  <c r="F1296" i="32"/>
  <c r="L1296" i="32" s="1"/>
  <c r="N1295" i="32"/>
  <c r="M1295" i="32"/>
  <c r="L1295" i="32"/>
  <c r="K1295" i="32"/>
  <c r="J1295" i="32"/>
  <c r="H1295" i="32"/>
  <c r="G1295" i="32"/>
  <c r="E1295" i="32"/>
  <c r="F1295" i="32" s="1"/>
  <c r="N1294" i="32"/>
  <c r="M1294" i="32"/>
  <c r="L1294" i="32"/>
  <c r="K1294" i="32"/>
  <c r="J1294" i="32"/>
  <c r="H1294" i="32"/>
  <c r="G1294" i="32"/>
  <c r="E1294" i="32"/>
  <c r="F1294" i="32" s="1"/>
  <c r="N1293" i="32"/>
  <c r="M1293" i="32"/>
  <c r="K1293" i="32"/>
  <c r="J1293" i="32"/>
  <c r="I1293" i="32"/>
  <c r="H1293" i="32"/>
  <c r="G1293" i="32"/>
  <c r="F1293" i="32"/>
  <c r="N1292" i="32"/>
  <c r="M1292" i="32"/>
  <c r="L1292" i="32"/>
  <c r="K1292" i="32"/>
  <c r="I1292" i="32"/>
  <c r="H1292" i="32"/>
  <c r="G1292" i="32"/>
  <c r="F1292" i="32"/>
  <c r="N1361" i="32"/>
  <c r="M1361" i="32"/>
  <c r="K1361" i="32"/>
  <c r="J1361" i="32"/>
  <c r="I1361" i="32"/>
  <c r="H1361" i="32"/>
  <c r="F1361" i="32"/>
  <c r="L1361" i="32" s="1"/>
  <c r="N1360" i="32"/>
  <c r="M1360" i="32"/>
  <c r="L1360" i="32"/>
  <c r="K1360" i="32"/>
  <c r="J1360" i="32"/>
  <c r="H1360" i="32"/>
  <c r="G1360" i="32"/>
  <c r="F1360" i="32"/>
  <c r="N1359" i="32"/>
  <c r="M1359" i="32"/>
  <c r="L1359" i="32"/>
  <c r="K1359" i="32"/>
  <c r="J1359" i="32"/>
  <c r="H1359" i="32"/>
  <c r="G1359" i="32"/>
  <c r="E1359" i="32"/>
  <c r="F1359" i="32" s="1"/>
  <c r="N1358" i="32"/>
  <c r="M1358" i="32"/>
  <c r="L1358" i="32"/>
  <c r="J1358" i="32"/>
  <c r="I1358" i="32"/>
  <c r="H1358" i="32"/>
  <c r="G1358" i="32"/>
  <c r="F1358" i="32"/>
  <c r="N1357" i="32"/>
  <c r="M1357" i="32"/>
  <c r="L1357" i="32"/>
  <c r="K1357" i="32"/>
  <c r="I1357" i="32"/>
  <c r="H1357" i="32"/>
  <c r="G1357" i="32"/>
  <c r="F1357" i="32"/>
  <c r="N1354" i="32"/>
  <c r="M1354" i="32"/>
  <c r="K1354" i="32"/>
  <c r="J1354" i="32"/>
  <c r="I1354" i="32"/>
  <c r="H1354" i="32"/>
  <c r="F1354" i="32"/>
  <c r="L1354" i="32" s="1"/>
  <c r="N1353" i="32"/>
  <c r="M1353" i="32"/>
  <c r="K1353" i="32"/>
  <c r="J1353" i="32"/>
  <c r="I1353" i="32"/>
  <c r="H1353" i="32"/>
  <c r="F1353" i="32"/>
  <c r="L1353" i="32" s="1"/>
  <c r="N1352" i="32"/>
  <c r="M1352" i="32"/>
  <c r="K1352" i="32"/>
  <c r="J1352" i="32"/>
  <c r="I1352" i="32"/>
  <c r="H1352" i="32"/>
  <c r="F1352" i="32"/>
  <c r="L1352" i="32" s="1"/>
  <c r="N1351" i="32"/>
  <c r="M1351" i="32"/>
  <c r="L1351" i="32"/>
  <c r="K1351" i="32"/>
  <c r="J1351" i="32"/>
  <c r="H1351" i="32"/>
  <c r="G1351" i="32"/>
  <c r="E1351" i="32"/>
  <c r="F1351" i="32" s="1"/>
  <c r="N1350" i="32"/>
  <c r="M1350" i="32"/>
  <c r="L1350" i="32"/>
  <c r="K1350" i="32"/>
  <c r="J1350" i="32"/>
  <c r="H1350" i="32"/>
  <c r="G1350" i="32"/>
  <c r="E1350" i="32"/>
  <c r="F1350" i="32" s="1"/>
  <c r="N1349" i="32"/>
  <c r="M1349" i="32"/>
  <c r="L1349" i="32"/>
  <c r="J1349" i="32"/>
  <c r="I1349" i="32"/>
  <c r="H1349" i="32"/>
  <c r="F1349" i="32"/>
  <c r="K1349" i="32" s="1"/>
  <c r="N1348" i="32"/>
  <c r="M1348" i="32"/>
  <c r="K1348" i="32"/>
  <c r="J1348" i="32"/>
  <c r="I1348" i="32"/>
  <c r="H1348" i="32"/>
  <c r="G1348" i="32"/>
  <c r="F1348" i="32"/>
  <c r="N1347" i="32"/>
  <c r="M1347" i="32"/>
  <c r="L1347" i="32"/>
  <c r="K1347" i="32"/>
  <c r="I1347" i="32"/>
  <c r="H1347" i="32"/>
  <c r="G1347" i="32"/>
  <c r="F1347" i="32"/>
  <c r="N1371" i="32"/>
  <c r="M1371" i="32"/>
  <c r="K1371" i="32"/>
  <c r="J1371" i="32"/>
  <c r="I1371" i="32"/>
  <c r="H1371" i="32"/>
  <c r="F1371" i="32"/>
  <c r="L1371" i="32" s="1"/>
  <c r="N1370" i="32"/>
  <c r="M1370" i="32"/>
  <c r="K1370" i="32"/>
  <c r="J1370" i="32"/>
  <c r="I1370" i="32"/>
  <c r="H1370" i="32"/>
  <c r="F1370" i="32"/>
  <c r="L1370" i="32" s="1"/>
  <c r="N1369" i="32"/>
  <c r="M1369" i="32"/>
  <c r="K1369" i="32"/>
  <c r="J1369" i="32"/>
  <c r="I1369" i="32"/>
  <c r="H1369" i="32"/>
  <c r="F1369" i="32"/>
  <c r="L1369" i="32" s="1"/>
  <c r="N1368" i="32"/>
  <c r="M1368" i="32"/>
  <c r="L1368" i="32"/>
  <c r="K1368" i="32"/>
  <c r="J1368" i="32"/>
  <c r="H1368" i="32"/>
  <c r="G1368" i="32"/>
  <c r="E1368" i="32"/>
  <c r="F1368" i="32" s="1"/>
  <c r="N1367" i="32"/>
  <c r="M1367" i="32"/>
  <c r="L1367" i="32"/>
  <c r="K1367" i="32"/>
  <c r="J1367" i="32"/>
  <c r="H1367" i="32"/>
  <c r="G1367" i="32"/>
  <c r="E1367" i="32"/>
  <c r="F1367" i="32" s="1"/>
  <c r="N1366" i="32"/>
  <c r="M1366" i="32"/>
  <c r="L1366" i="32"/>
  <c r="K1366" i="32"/>
  <c r="I1366" i="32"/>
  <c r="H1366" i="32"/>
  <c r="F1366" i="32"/>
  <c r="J1366" i="32" s="1"/>
  <c r="N1365" i="32"/>
  <c r="M1365" i="32"/>
  <c r="K1365" i="32"/>
  <c r="J1365" i="32"/>
  <c r="I1365" i="32"/>
  <c r="H1365" i="32"/>
  <c r="G1365" i="32"/>
  <c r="F1365" i="32"/>
  <c r="N1364" i="32"/>
  <c r="M1364" i="32"/>
  <c r="L1364" i="32"/>
  <c r="K1364" i="32"/>
  <c r="I1364" i="32"/>
  <c r="H1364" i="32"/>
  <c r="G1364" i="32"/>
  <c r="F1364" i="32"/>
  <c r="N1344" i="32"/>
  <c r="M1344" i="32"/>
  <c r="K1344" i="32"/>
  <c r="J1344" i="32"/>
  <c r="I1344" i="32"/>
  <c r="H1344" i="32"/>
  <c r="F1344" i="32"/>
  <c r="L1344" i="32" s="1"/>
  <c r="N1343" i="32"/>
  <c r="M1343" i="32"/>
  <c r="K1343" i="32"/>
  <c r="J1343" i="32"/>
  <c r="I1343" i="32"/>
  <c r="H1343" i="32"/>
  <c r="F1343" i="32"/>
  <c r="L1343" i="32" s="1"/>
  <c r="N1342" i="32"/>
  <c r="M1342" i="32"/>
  <c r="K1342" i="32"/>
  <c r="J1342" i="32"/>
  <c r="I1342" i="32"/>
  <c r="H1342" i="32"/>
  <c r="F1342" i="32"/>
  <c r="L1342" i="32" s="1"/>
  <c r="N1341" i="32"/>
  <c r="M1341" i="32"/>
  <c r="L1341" i="32"/>
  <c r="K1341" i="32"/>
  <c r="J1341" i="32"/>
  <c r="H1341" i="32"/>
  <c r="G1341" i="32"/>
  <c r="E1341" i="32"/>
  <c r="F1341" i="32" s="1"/>
  <c r="N1340" i="32"/>
  <c r="M1340" i="32"/>
  <c r="L1340" i="32"/>
  <c r="K1340" i="32"/>
  <c r="J1340" i="32"/>
  <c r="H1340" i="32"/>
  <c r="G1340" i="32"/>
  <c r="E1340" i="32"/>
  <c r="F1340" i="32" s="1"/>
  <c r="N1339" i="32"/>
  <c r="M1339" i="32"/>
  <c r="L1339" i="32"/>
  <c r="K1339" i="32"/>
  <c r="I1339" i="32"/>
  <c r="H1339" i="32"/>
  <c r="F1339" i="32"/>
  <c r="J1339" i="32" s="1"/>
  <c r="N1338" i="32"/>
  <c r="M1338" i="32"/>
  <c r="K1338" i="32"/>
  <c r="J1338" i="32"/>
  <c r="I1338" i="32"/>
  <c r="H1338" i="32"/>
  <c r="G1338" i="32"/>
  <c r="F1338" i="32"/>
  <c r="N1337" i="32"/>
  <c r="M1337" i="32"/>
  <c r="L1337" i="32"/>
  <c r="K1337" i="32"/>
  <c r="I1337" i="32"/>
  <c r="H1337" i="32"/>
  <c r="G1337" i="32"/>
  <c r="F1337" i="32"/>
  <c r="N1334" i="32"/>
  <c r="M1334" i="32"/>
  <c r="L1334" i="32"/>
  <c r="J1334" i="32"/>
  <c r="I1334" i="32"/>
  <c r="H1334" i="32"/>
  <c r="F1334" i="32"/>
  <c r="K1334" i="32" s="1"/>
  <c r="N1333" i="32"/>
  <c r="M1333" i="32"/>
  <c r="K1333" i="32"/>
  <c r="J1333" i="32"/>
  <c r="I1333" i="32"/>
  <c r="H1333" i="32"/>
  <c r="F1333" i="32"/>
  <c r="L1333" i="32" s="1"/>
  <c r="N1332" i="32"/>
  <c r="M1332" i="32"/>
  <c r="L1332" i="32"/>
  <c r="K1332" i="32"/>
  <c r="J1332" i="32"/>
  <c r="H1332" i="32"/>
  <c r="G1332" i="32"/>
  <c r="E1332" i="32"/>
  <c r="F1332" i="32" s="1"/>
  <c r="N1331" i="32"/>
  <c r="M1331" i="32"/>
  <c r="L1331" i="32"/>
  <c r="K1331" i="32"/>
  <c r="J1331" i="32"/>
  <c r="H1331" i="32"/>
  <c r="G1331" i="32"/>
  <c r="E1331" i="32"/>
  <c r="F1331" i="32" s="1"/>
  <c r="N1330" i="32"/>
  <c r="M1330" i="32"/>
  <c r="L1330" i="32"/>
  <c r="J1330" i="32"/>
  <c r="I1330" i="32"/>
  <c r="H1330" i="32"/>
  <c r="G1330" i="32"/>
  <c r="F1330" i="32"/>
  <c r="N1329" i="32"/>
  <c r="M1329" i="32"/>
  <c r="L1329" i="32"/>
  <c r="K1329" i="32"/>
  <c r="I1329" i="32"/>
  <c r="H1329" i="32"/>
  <c r="G1329" i="32"/>
  <c r="F1329" i="32"/>
  <c r="N2348" i="32"/>
  <c r="M2348" i="32"/>
  <c r="L2348" i="32"/>
  <c r="K2348" i="32"/>
  <c r="J2348" i="32"/>
  <c r="H2348" i="32"/>
  <c r="G2348" i="32"/>
  <c r="F2348" i="32"/>
  <c r="N2347" i="32"/>
  <c r="M2347" i="32"/>
  <c r="L2347" i="32"/>
  <c r="K2347" i="32"/>
  <c r="J2347" i="32"/>
  <c r="H2347" i="32"/>
  <c r="G2347" i="32"/>
  <c r="E2347" i="32"/>
  <c r="F2347" i="32" s="1"/>
  <c r="N2346" i="32"/>
  <c r="M2346" i="32"/>
  <c r="K2346" i="32"/>
  <c r="J2346" i="32"/>
  <c r="I2346" i="32"/>
  <c r="H2346" i="32"/>
  <c r="G2346" i="32"/>
  <c r="F2346" i="32"/>
  <c r="N2345" i="32"/>
  <c r="M2345" i="32"/>
  <c r="L2345" i="32"/>
  <c r="K2345" i="32"/>
  <c r="I2345" i="32"/>
  <c r="H2345" i="32"/>
  <c r="G2345" i="32"/>
  <c r="F2345" i="32"/>
  <c r="G2275" i="32"/>
  <c r="G2274" i="32"/>
  <c r="E2274" i="32"/>
  <c r="G2273" i="32"/>
  <c r="G2272" i="32"/>
  <c r="N2275" i="32"/>
  <c r="M2275" i="32"/>
  <c r="L2275" i="32"/>
  <c r="K2275" i="32"/>
  <c r="J2275" i="32"/>
  <c r="H2275" i="32"/>
  <c r="F2275" i="32"/>
  <c r="N2274" i="32"/>
  <c r="M2274" i="32"/>
  <c r="L2274" i="32"/>
  <c r="K2274" i="32"/>
  <c r="J2274" i="32"/>
  <c r="H2274" i="32"/>
  <c r="F2274" i="32"/>
  <c r="N2273" i="32"/>
  <c r="M2273" i="32"/>
  <c r="J2273" i="32"/>
  <c r="I2273" i="32"/>
  <c r="H2273" i="32"/>
  <c r="F2273" i="32"/>
  <c r="K2273" i="32" s="1"/>
  <c r="N2272" i="32"/>
  <c r="M2272" i="32"/>
  <c r="L2272" i="32"/>
  <c r="K2272" i="32"/>
  <c r="I2272" i="32"/>
  <c r="H2272" i="32"/>
  <c r="F2272" i="32"/>
  <c r="G2177" i="32"/>
  <c r="E2178" i="32"/>
  <c r="F2178" i="32" s="1"/>
  <c r="E2177" i="32"/>
  <c r="G2176" i="32"/>
  <c r="G2175" i="32"/>
  <c r="N2178" i="32"/>
  <c r="M2178" i="32"/>
  <c r="L2178" i="32"/>
  <c r="K2178" i="32"/>
  <c r="J2178" i="32"/>
  <c r="H2178" i="32"/>
  <c r="G2178" i="32"/>
  <c r="N2177" i="32"/>
  <c r="M2177" i="32"/>
  <c r="L2177" i="32"/>
  <c r="K2177" i="32"/>
  <c r="J2177" i="32"/>
  <c r="H2177" i="32"/>
  <c r="F2177" i="32"/>
  <c r="N2176" i="32"/>
  <c r="M2176" i="32"/>
  <c r="L2176" i="32"/>
  <c r="J2176" i="32"/>
  <c r="I2176" i="32"/>
  <c r="H2176" i="32"/>
  <c r="F2176" i="32"/>
  <c r="N2175" i="32"/>
  <c r="L2175" i="32"/>
  <c r="K2175" i="32"/>
  <c r="I2175" i="32"/>
  <c r="H2175" i="32"/>
  <c r="F2175" i="32"/>
  <c r="J2175" i="32" s="1"/>
  <c r="E2132" i="32"/>
  <c r="F2132" i="32" s="1"/>
  <c r="G2131" i="32"/>
  <c r="G2130" i="32"/>
  <c r="N2139" i="32"/>
  <c r="M2139" i="32"/>
  <c r="L2139" i="32"/>
  <c r="K2139" i="32"/>
  <c r="J2139" i="32"/>
  <c r="H2139" i="32"/>
  <c r="G2139" i="32"/>
  <c r="F2139" i="32"/>
  <c r="N2138" i="32"/>
  <c r="M2138" i="32"/>
  <c r="L2138" i="32"/>
  <c r="K2138" i="32"/>
  <c r="J2138" i="32"/>
  <c r="H2138" i="32"/>
  <c r="G2138" i="32"/>
  <c r="E2138" i="32"/>
  <c r="F2138" i="32" s="1"/>
  <c r="N2137" i="32"/>
  <c r="M2137" i="32"/>
  <c r="L2137" i="32"/>
  <c r="J2137" i="32"/>
  <c r="I2137" i="32"/>
  <c r="H2137" i="32"/>
  <c r="G2137" i="32"/>
  <c r="F2137" i="32"/>
  <c r="N2136" i="32"/>
  <c r="M2136" i="32"/>
  <c r="L2136" i="32"/>
  <c r="K2136" i="32"/>
  <c r="I2136" i="32"/>
  <c r="H2136" i="32"/>
  <c r="G2136" i="32"/>
  <c r="F2136" i="32"/>
  <c r="N2133" i="32"/>
  <c r="M2133" i="32"/>
  <c r="L2133" i="32"/>
  <c r="K2133" i="32"/>
  <c r="J2133" i="32"/>
  <c r="H2133" i="32"/>
  <c r="G2133" i="32"/>
  <c r="F2133" i="32"/>
  <c r="N2132" i="32"/>
  <c r="M2132" i="32"/>
  <c r="L2132" i="32"/>
  <c r="K2132" i="32"/>
  <c r="J2132" i="32"/>
  <c r="H2132" i="32"/>
  <c r="G2132" i="32"/>
  <c r="N2131" i="32"/>
  <c r="M2131" i="32"/>
  <c r="L2131" i="32"/>
  <c r="J2131" i="32"/>
  <c r="I2131" i="32"/>
  <c r="H2131" i="32"/>
  <c r="F2131" i="32"/>
  <c r="N2130" i="32"/>
  <c r="M2130" i="32"/>
  <c r="L2130" i="32"/>
  <c r="K2130" i="32"/>
  <c r="I2130" i="32"/>
  <c r="H2130" i="32"/>
  <c r="F2130" i="32"/>
  <c r="E2085" i="32"/>
  <c r="F2085" i="32" s="1"/>
  <c r="G2084" i="32"/>
  <c r="G2083" i="32"/>
  <c r="N2086" i="32"/>
  <c r="M2086" i="32"/>
  <c r="L2086" i="32"/>
  <c r="K2086" i="32"/>
  <c r="J2086" i="32"/>
  <c r="H2086" i="32"/>
  <c r="G2086" i="32"/>
  <c r="F2086" i="32"/>
  <c r="N2085" i="32"/>
  <c r="M2085" i="32"/>
  <c r="L2085" i="32"/>
  <c r="K2085" i="32"/>
  <c r="J2085" i="32"/>
  <c r="H2085" i="32"/>
  <c r="G2085" i="32"/>
  <c r="N2084" i="32"/>
  <c r="M2084" i="32"/>
  <c r="L2084" i="32"/>
  <c r="J2084" i="32"/>
  <c r="I2084" i="32"/>
  <c r="H2084" i="32"/>
  <c r="F2084" i="32"/>
  <c r="N2083" i="32"/>
  <c r="M2083" i="32"/>
  <c r="L2083" i="32"/>
  <c r="K2083" i="32"/>
  <c r="I2083" i="32"/>
  <c r="H2083" i="32"/>
  <c r="F2083" i="32"/>
  <c r="E2080" i="32"/>
  <c r="F2080" i="32" s="1"/>
  <c r="E2079" i="32"/>
  <c r="F2079" i="32" s="1"/>
  <c r="G2080" i="32"/>
  <c r="G2079" i="32"/>
  <c r="G2077" i="32"/>
  <c r="N2080" i="32"/>
  <c r="M2080" i="32"/>
  <c r="L2080" i="32"/>
  <c r="K2080" i="32"/>
  <c r="J2080" i="32"/>
  <c r="H2080" i="32"/>
  <c r="N2079" i="32"/>
  <c r="M2079" i="32"/>
  <c r="L2079" i="32"/>
  <c r="K2079" i="32"/>
  <c r="J2079" i="32"/>
  <c r="H2079" i="32"/>
  <c r="N2078" i="32"/>
  <c r="M2078" i="32"/>
  <c r="L2078" i="32"/>
  <c r="J2078" i="32"/>
  <c r="I2078" i="32"/>
  <c r="H2078" i="32"/>
  <c r="G2078" i="32"/>
  <c r="F2078" i="32"/>
  <c r="N2077" i="32"/>
  <c r="M2077" i="32"/>
  <c r="L2077" i="32"/>
  <c r="K2077" i="32"/>
  <c r="I2077" i="32"/>
  <c r="H2077" i="32"/>
  <c r="F2077" i="32"/>
  <c r="E1985" i="32"/>
  <c r="F1985" i="32" s="1"/>
  <c r="G1984" i="32"/>
  <c r="G1983" i="32"/>
  <c r="N1986" i="32"/>
  <c r="M1986" i="32"/>
  <c r="L1986" i="32"/>
  <c r="K1986" i="32"/>
  <c r="J1986" i="32"/>
  <c r="H1986" i="32"/>
  <c r="G1986" i="32"/>
  <c r="F1986" i="32"/>
  <c r="N1985" i="32"/>
  <c r="M1985" i="32"/>
  <c r="L1985" i="32"/>
  <c r="K1985" i="32"/>
  <c r="J1985" i="32"/>
  <c r="H1985" i="32"/>
  <c r="G1985" i="32"/>
  <c r="N1984" i="32"/>
  <c r="M1984" i="32"/>
  <c r="K1984" i="32"/>
  <c r="J1984" i="32"/>
  <c r="I1984" i="32"/>
  <c r="H1984" i="32"/>
  <c r="F1984" i="32"/>
  <c r="N1983" i="32"/>
  <c r="M1983" i="32"/>
  <c r="L1983" i="32"/>
  <c r="K1983" i="32"/>
  <c r="I1983" i="32"/>
  <c r="H1983" i="32"/>
  <c r="F1983" i="32"/>
  <c r="E1937" i="32"/>
  <c r="F1937" i="32" s="1"/>
  <c r="E1936" i="32"/>
  <c r="F1936" i="32" s="1"/>
  <c r="G1937" i="32"/>
  <c r="G1936" i="32"/>
  <c r="G1935" i="32"/>
  <c r="G1934" i="32"/>
  <c r="N1937" i="32"/>
  <c r="M1937" i="32"/>
  <c r="L1937" i="32"/>
  <c r="K1937" i="32"/>
  <c r="J1937" i="32"/>
  <c r="H1937" i="32"/>
  <c r="N1936" i="32"/>
  <c r="M1936" i="32"/>
  <c r="L1936" i="32"/>
  <c r="K1936" i="32"/>
  <c r="J1936" i="32"/>
  <c r="H1936" i="32"/>
  <c r="N1935" i="32"/>
  <c r="M1935" i="32"/>
  <c r="K1935" i="32"/>
  <c r="J1935" i="32"/>
  <c r="I1935" i="32"/>
  <c r="H1935" i="32"/>
  <c r="F1935" i="32"/>
  <c r="N1934" i="32"/>
  <c r="M1934" i="32"/>
  <c r="L1934" i="32"/>
  <c r="K1934" i="32"/>
  <c r="I1934" i="32"/>
  <c r="H1934" i="32"/>
  <c r="F1934" i="32"/>
  <c r="F1940" i="32"/>
  <c r="G1940" i="32"/>
  <c r="H1940" i="32"/>
  <c r="I1940" i="32"/>
  <c r="K1940" i="32"/>
  <c r="L1940" i="32"/>
  <c r="M1940" i="32"/>
  <c r="N1940" i="32"/>
  <c r="E1865" i="32"/>
  <c r="F1865" i="32" s="1"/>
  <c r="G1864" i="32"/>
  <c r="G1863" i="32"/>
  <c r="E1859" i="32"/>
  <c r="F1859" i="32" s="1"/>
  <c r="G1858" i="32"/>
  <c r="G1857" i="32"/>
  <c r="N1866" i="32"/>
  <c r="M1866" i="32"/>
  <c r="L1866" i="32"/>
  <c r="K1866" i="32"/>
  <c r="J1866" i="32"/>
  <c r="H1866" i="32"/>
  <c r="G1866" i="32"/>
  <c r="F1866" i="32"/>
  <c r="N1865" i="32"/>
  <c r="M1865" i="32"/>
  <c r="L1865" i="32"/>
  <c r="K1865" i="32"/>
  <c r="J1865" i="32"/>
  <c r="H1865" i="32"/>
  <c r="G1865" i="32"/>
  <c r="N1864" i="32"/>
  <c r="M1864" i="32"/>
  <c r="L1864" i="32"/>
  <c r="J1864" i="32"/>
  <c r="I1864" i="32"/>
  <c r="H1864" i="32"/>
  <c r="F1864" i="32"/>
  <c r="N1863" i="32"/>
  <c r="M1863" i="32"/>
  <c r="L1863" i="32"/>
  <c r="K1863" i="32"/>
  <c r="I1863" i="32"/>
  <c r="H1863" i="32"/>
  <c r="F1863" i="32"/>
  <c r="N1860" i="32"/>
  <c r="M1860" i="32"/>
  <c r="L1860" i="32"/>
  <c r="K1860" i="32"/>
  <c r="J1860" i="32"/>
  <c r="H1860" i="32"/>
  <c r="G1860" i="32"/>
  <c r="F1860" i="32"/>
  <c r="N1859" i="32"/>
  <c r="M1859" i="32"/>
  <c r="L1859" i="32"/>
  <c r="K1859" i="32"/>
  <c r="J1859" i="32"/>
  <c r="H1859" i="32"/>
  <c r="G1859" i="32"/>
  <c r="N1858" i="32"/>
  <c r="M1858" i="32"/>
  <c r="L1858" i="32"/>
  <c r="J1858" i="32"/>
  <c r="I1858" i="32"/>
  <c r="H1858" i="32"/>
  <c r="F1858" i="32"/>
  <c r="N1857" i="32"/>
  <c r="M1857" i="32"/>
  <c r="L1857" i="32"/>
  <c r="K1857" i="32"/>
  <c r="I1857" i="32"/>
  <c r="H1857" i="32"/>
  <c r="F1857" i="32"/>
  <c r="N1455" i="32"/>
  <c r="M1455" i="32"/>
  <c r="L1455" i="32"/>
  <c r="K1455" i="32"/>
  <c r="J1455" i="32"/>
  <c r="H1455" i="32"/>
  <c r="G1455" i="32"/>
  <c r="F1455" i="32"/>
  <c r="N1454" i="32"/>
  <c r="M1454" i="32"/>
  <c r="L1454" i="32"/>
  <c r="K1454" i="32"/>
  <c r="J1454" i="32"/>
  <c r="H1454" i="32"/>
  <c r="G1454" i="32"/>
  <c r="E1454" i="32"/>
  <c r="F1454" i="32" s="1"/>
  <c r="N1453" i="32"/>
  <c r="M1453" i="32"/>
  <c r="L1453" i="32"/>
  <c r="J1453" i="32"/>
  <c r="I1453" i="32"/>
  <c r="H1453" i="32"/>
  <c r="G1453" i="32"/>
  <c r="F1453" i="32"/>
  <c r="N1452" i="32"/>
  <c r="M1452" i="32"/>
  <c r="L1452" i="32"/>
  <c r="K1452" i="32"/>
  <c r="I1452" i="32"/>
  <c r="H1452" i="32"/>
  <c r="G1452" i="32"/>
  <c r="F1452" i="32"/>
  <c r="G1436" i="32"/>
  <c r="E1436" i="32"/>
  <c r="F1436" i="32" s="1"/>
  <c r="G1435" i="32"/>
  <c r="G1434" i="32"/>
  <c r="N1437" i="32"/>
  <c r="M1437" i="32"/>
  <c r="L1437" i="32"/>
  <c r="K1437" i="32"/>
  <c r="J1437" i="32"/>
  <c r="H1437" i="32"/>
  <c r="G1437" i="32"/>
  <c r="F1437" i="32"/>
  <c r="N1436" i="32"/>
  <c r="M1436" i="32"/>
  <c r="L1436" i="32"/>
  <c r="K1436" i="32"/>
  <c r="J1436" i="32"/>
  <c r="H1436" i="32"/>
  <c r="N1435" i="32"/>
  <c r="M1435" i="32"/>
  <c r="J1435" i="32"/>
  <c r="I1435" i="32"/>
  <c r="H1435" i="32"/>
  <c r="F1435" i="32"/>
  <c r="L1435" i="32" s="1"/>
  <c r="N1434" i="32"/>
  <c r="M1434" i="32"/>
  <c r="L1434" i="32"/>
  <c r="K1434" i="32"/>
  <c r="I1434" i="32"/>
  <c r="H1434" i="32"/>
  <c r="F1434" i="32"/>
  <c r="N1461" i="32"/>
  <c r="M1461" i="32"/>
  <c r="L1461" i="32"/>
  <c r="K1461" i="32"/>
  <c r="J1461" i="32"/>
  <c r="H1461" i="32"/>
  <c r="G1461" i="32"/>
  <c r="F1461" i="32"/>
  <c r="N1460" i="32"/>
  <c r="M1460" i="32"/>
  <c r="L1460" i="32"/>
  <c r="K1460" i="32"/>
  <c r="J1460" i="32"/>
  <c r="H1460" i="32"/>
  <c r="G1460" i="32"/>
  <c r="E1460" i="32"/>
  <c r="F1460" i="32" s="1"/>
  <c r="N1459" i="32"/>
  <c r="M1459" i="32"/>
  <c r="K1459" i="32"/>
  <c r="J1459" i="32"/>
  <c r="I1459" i="32"/>
  <c r="H1459" i="32"/>
  <c r="G1459" i="32"/>
  <c r="F1459" i="32"/>
  <c r="N1458" i="32"/>
  <c r="M1458" i="32"/>
  <c r="L1458" i="32"/>
  <c r="K1458" i="32"/>
  <c r="I1458" i="32"/>
  <c r="H1458" i="32"/>
  <c r="G1458" i="32"/>
  <c r="F1458" i="32"/>
  <c r="E1442" i="32"/>
  <c r="F1442" i="32" s="1"/>
  <c r="G1441" i="32"/>
  <c r="G1440" i="32"/>
  <c r="N1449" i="32"/>
  <c r="M1449" i="32"/>
  <c r="L1449" i="32"/>
  <c r="K1449" i="32"/>
  <c r="J1449" i="32"/>
  <c r="H1449" i="32"/>
  <c r="G1449" i="32"/>
  <c r="E1449" i="32"/>
  <c r="F1449" i="32" s="1"/>
  <c r="N1448" i="32"/>
  <c r="M1448" i="32"/>
  <c r="L1448" i="32"/>
  <c r="K1448" i="32"/>
  <c r="J1448" i="32"/>
  <c r="H1448" i="32"/>
  <c r="G1448" i="32"/>
  <c r="E1448" i="32"/>
  <c r="F1448" i="32" s="1"/>
  <c r="N1447" i="32"/>
  <c r="M1447" i="32"/>
  <c r="K1447" i="32"/>
  <c r="J1447" i="32"/>
  <c r="I1447" i="32"/>
  <c r="H1447" i="32"/>
  <c r="G1447" i="32"/>
  <c r="F1447" i="32"/>
  <c r="N1446" i="32"/>
  <c r="M1446" i="32"/>
  <c r="L1446" i="32"/>
  <c r="K1446" i="32"/>
  <c r="I1446" i="32"/>
  <c r="H1446" i="32"/>
  <c r="G1446" i="32"/>
  <c r="F1446" i="32"/>
  <c r="N1443" i="32"/>
  <c r="M1443" i="32"/>
  <c r="L1443" i="32"/>
  <c r="K1443" i="32"/>
  <c r="J1443" i="32"/>
  <c r="H1443" i="32"/>
  <c r="G1443" i="32"/>
  <c r="F1443" i="32"/>
  <c r="N1442" i="32"/>
  <c r="M1442" i="32"/>
  <c r="L1442" i="32"/>
  <c r="K1442" i="32"/>
  <c r="J1442" i="32"/>
  <c r="H1442" i="32"/>
  <c r="G1442" i="32"/>
  <c r="N1441" i="32"/>
  <c r="M1441" i="32"/>
  <c r="K1441" i="32"/>
  <c r="J1441" i="32"/>
  <c r="I1441" i="32"/>
  <c r="H1441" i="32"/>
  <c r="F1441" i="32"/>
  <c r="N1440" i="32"/>
  <c r="M1440" i="32"/>
  <c r="L1440" i="32"/>
  <c r="K1440" i="32"/>
  <c r="I1440" i="32"/>
  <c r="H1440" i="32"/>
  <c r="F1440" i="32"/>
  <c r="E1431" i="32"/>
  <c r="F1431" i="32" s="1"/>
  <c r="E1430" i="32"/>
  <c r="F1430" i="32" s="1"/>
  <c r="G1429" i="32"/>
  <c r="G1428" i="32"/>
  <c r="N1431" i="32"/>
  <c r="M1431" i="32"/>
  <c r="L1431" i="32"/>
  <c r="K1431" i="32"/>
  <c r="J1431" i="32"/>
  <c r="H1431" i="32"/>
  <c r="G1431" i="32"/>
  <c r="N1430" i="32"/>
  <c r="M1430" i="32"/>
  <c r="L1430" i="32"/>
  <c r="K1430" i="32"/>
  <c r="J1430" i="32"/>
  <c r="H1430" i="32"/>
  <c r="G1430" i="32"/>
  <c r="N1429" i="32"/>
  <c r="M1429" i="32"/>
  <c r="K1429" i="32"/>
  <c r="J1429" i="32"/>
  <c r="I1429" i="32"/>
  <c r="H1429" i="32"/>
  <c r="F1429" i="32"/>
  <c r="N1428" i="32"/>
  <c r="M1428" i="32"/>
  <c r="L1428" i="32"/>
  <c r="K1428" i="32"/>
  <c r="I1428" i="32"/>
  <c r="H1428" i="32"/>
  <c r="F1428" i="32"/>
  <c r="G1419" i="32"/>
  <c r="G1418" i="32"/>
  <c r="E1419" i="32"/>
  <c r="F1419" i="32" s="1"/>
  <c r="E1418" i="32"/>
  <c r="F1418" i="32" s="1"/>
  <c r="G1417" i="32"/>
  <c r="G1416" i="32"/>
  <c r="N1419" i="32"/>
  <c r="M1419" i="32"/>
  <c r="L1419" i="32"/>
  <c r="K1419" i="32"/>
  <c r="J1419" i="32"/>
  <c r="H1419" i="32"/>
  <c r="N1418" i="32"/>
  <c r="M1418" i="32"/>
  <c r="L1418" i="32"/>
  <c r="K1418" i="32"/>
  <c r="J1418" i="32"/>
  <c r="H1418" i="32"/>
  <c r="N1417" i="32"/>
  <c r="K1417" i="32"/>
  <c r="J1417" i="32"/>
  <c r="I1417" i="32"/>
  <c r="H1417" i="32"/>
  <c r="F1417" i="32"/>
  <c r="L1417" i="32" s="1"/>
  <c r="N1416" i="32"/>
  <c r="M1416" i="32"/>
  <c r="L1416" i="32"/>
  <c r="I1416" i="32"/>
  <c r="H1416" i="32"/>
  <c r="F1416" i="32"/>
  <c r="J1416" i="32" s="1"/>
  <c r="E1424" i="32"/>
  <c r="F1424" i="32" s="1"/>
  <c r="G1423" i="32"/>
  <c r="G1422" i="32"/>
  <c r="N1425" i="32"/>
  <c r="M1425" i="32"/>
  <c r="L1425" i="32"/>
  <c r="K1425" i="32"/>
  <c r="J1425" i="32"/>
  <c r="H1425" i="32"/>
  <c r="G1425" i="32"/>
  <c r="F1425" i="32"/>
  <c r="N1424" i="32"/>
  <c r="M1424" i="32"/>
  <c r="L1424" i="32"/>
  <c r="K1424" i="32"/>
  <c r="J1424" i="32"/>
  <c r="H1424" i="32"/>
  <c r="G1424" i="32"/>
  <c r="N1423" i="32"/>
  <c r="M1423" i="32"/>
  <c r="K1423" i="32"/>
  <c r="J1423" i="32"/>
  <c r="I1423" i="32"/>
  <c r="H1423" i="32"/>
  <c r="F1423" i="32"/>
  <c r="N1422" i="32"/>
  <c r="M1422" i="32"/>
  <c r="L1422" i="32"/>
  <c r="K1422" i="32"/>
  <c r="I1422" i="32"/>
  <c r="H1422" i="32"/>
  <c r="F1422" i="32"/>
  <c r="N1117" i="32"/>
  <c r="M1117" i="32"/>
  <c r="L1117" i="32"/>
  <c r="K1117" i="32"/>
  <c r="J1117" i="32"/>
  <c r="H1117" i="32"/>
  <c r="G1117" i="32"/>
  <c r="F1117" i="32"/>
  <c r="N1116" i="32"/>
  <c r="M1116" i="32"/>
  <c r="L1116" i="32"/>
  <c r="K1116" i="32"/>
  <c r="J1116" i="32"/>
  <c r="H1116" i="32"/>
  <c r="G1116" i="32"/>
  <c r="E1116" i="32"/>
  <c r="F1116" i="32" s="1"/>
  <c r="N1115" i="32"/>
  <c r="M1115" i="32"/>
  <c r="K1115" i="32"/>
  <c r="J1115" i="32"/>
  <c r="I1115" i="32"/>
  <c r="H1115" i="32"/>
  <c r="G1115" i="32"/>
  <c r="F1115" i="32"/>
  <c r="N1114" i="32"/>
  <c r="M1114" i="32"/>
  <c r="L1114" i="32"/>
  <c r="K1114" i="32"/>
  <c r="I1114" i="32"/>
  <c r="H1114" i="32"/>
  <c r="G1114" i="32"/>
  <c r="F1114" i="32"/>
  <c r="E1110" i="32"/>
  <c r="F1110" i="32" s="1"/>
  <c r="G1109" i="32"/>
  <c r="G1108" i="32"/>
  <c r="N1111" i="32"/>
  <c r="M1111" i="32"/>
  <c r="L1111" i="32"/>
  <c r="K1111" i="32"/>
  <c r="J1111" i="32"/>
  <c r="H1111" i="32"/>
  <c r="G1111" i="32"/>
  <c r="F1111" i="32"/>
  <c r="N1110" i="32"/>
  <c r="M1110" i="32"/>
  <c r="L1110" i="32"/>
  <c r="K1110" i="32"/>
  <c r="J1110" i="32"/>
  <c r="H1110" i="32"/>
  <c r="G1110" i="32"/>
  <c r="N1109" i="32"/>
  <c r="M1109" i="32"/>
  <c r="L1109" i="32"/>
  <c r="J1109" i="32"/>
  <c r="I1109" i="32"/>
  <c r="H1109" i="32"/>
  <c r="F1109" i="32"/>
  <c r="N1108" i="32"/>
  <c r="M1108" i="32"/>
  <c r="L1108" i="32"/>
  <c r="K1108" i="32"/>
  <c r="I1108" i="32"/>
  <c r="H1108" i="32"/>
  <c r="F1108" i="32"/>
  <c r="N1105" i="32"/>
  <c r="M1105" i="32"/>
  <c r="L1105" i="32"/>
  <c r="K1105" i="32"/>
  <c r="J1105" i="32"/>
  <c r="H1105" i="32"/>
  <c r="G1105" i="32"/>
  <c r="F1105" i="32"/>
  <c r="N1104" i="32"/>
  <c r="M1104" i="32"/>
  <c r="L1104" i="32"/>
  <c r="K1104" i="32"/>
  <c r="J1104" i="32"/>
  <c r="H1104" i="32"/>
  <c r="G1104" i="32"/>
  <c r="E1104" i="32"/>
  <c r="F1104" i="32" s="1"/>
  <c r="N1103" i="32"/>
  <c r="M1103" i="32"/>
  <c r="K1103" i="32"/>
  <c r="J1103" i="32"/>
  <c r="I1103" i="32"/>
  <c r="H1103" i="32"/>
  <c r="G1103" i="32"/>
  <c r="F1103" i="32"/>
  <c r="N1102" i="32"/>
  <c r="M1102" i="32"/>
  <c r="L1102" i="32"/>
  <c r="K1102" i="32"/>
  <c r="I1102" i="32"/>
  <c r="H1102" i="32"/>
  <c r="G1102" i="32"/>
  <c r="F1102" i="32"/>
  <c r="E1092" i="32"/>
  <c r="F1092" i="32" s="1"/>
  <c r="G1091" i="32"/>
  <c r="G1090" i="32"/>
  <c r="N1093" i="32"/>
  <c r="M1093" i="32"/>
  <c r="L1093" i="32"/>
  <c r="K1093" i="32"/>
  <c r="J1093" i="32"/>
  <c r="H1093" i="32"/>
  <c r="G1093" i="32"/>
  <c r="F1093" i="32"/>
  <c r="N1092" i="32"/>
  <c r="M1092" i="32"/>
  <c r="L1092" i="32"/>
  <c r="K1092" i="32"/>
  <c r="J1092" i="32"/>
  <c r="H1092" i="32"/>
  <c r="G1092" i="32"/>
  <c r="N1091" i="32"/>
  <c r="M1091" i="32"/>
  <c r="K1091" i="32"/>
  <c r="J1091" i="32"/>
  <c r="I1091" i="32"/>
  <c r="H1091" i="32"/>
  <c r="F1091" i="32"/>
  <c r="N1090" i="32"/>
  <c r="M1090" i="32"/>
  <c r="L1090" i="32"/>
  <c r="K1090" i="32"/>
  <c r="I1090" i="32"/>
  <c r="H1090" i="32"/>
  <c r="F1090" i="32"/>
  <c r="E1098" i="32"/>
  <c r="F1098" i="32" s="1"/>
  <c r="G1097" i="32"/>
  <c r="G1096" i="32"/>
  <c r="N1099" i="32"/>
  <c r="M1099" i="32"/>
  <c r="L1099" i="32"/>
  <c r="K1099" i="32"/>
  <c r="J1099" i="32"/>
  <c r="H1099" i="32"/>
  <c r="G1099" i="32"/>
  <c r="F1099" i="32"/>
  <c r="N1098" i="32"/>
  <c r="M1098" i="32"/>
  <c r="L1098" i="32"/>
  <c r="K1098" i="32"/>
  <c r="J1098" i="32"/>
  <c r="H1098" i="32"/>
  <c r="G1098" i="32"/>
  <c r="N1097" i="32"/>
  <c r="M1097" i="32"/>
  <c r="L1097" i="32"/>
  <c r="J1097" i="32"/>
  <c r="I1097" i="32"/>
  <c r="H1097" i="32"/>
  <c r="F1097" i="32"/>
  <c r="N1096" i="32"/>
  <c r="M1096" i="32"/>
  <c r="L1096" i="32"/>
  <c r="K1096" i="32"/>
  <c r="I1096" i="32"/>
  <c r="H1096" i="32"/>
  <c r="F1096" i="32"/>
  <c r="G1086" i="32"/>
  <c r="E1086" i="32"/>
  <c r="F1086" i="32" s="1"/>
  <c r="G1085" i="32"/>
  <c r="G1084" i="32"/>
  <c r="N1087" i="32"/>
  <c r="M1087" i="32"/>
  <c r="L1087" i="32"/>
  <c r="K1087" i="32"/>
  <c r="J1087" i="32"/>
  <c r="H1087" i="32"/>
  <c r="G1087" i="32"/>
  <c r="F1087" i="32"/>
  <c r="N1086" i="32"/>
  <c r="M1086" i="32"/>
  <c r="L1086" i="32"/>
  <c r="K1086" i="32"/>
  <c r="J1086" i="32"/>
  <c r="H1086" i="32"/>
  <c r="N1085" i="32"/>
  <c r="M1085" i="32"/>
  <c r="J1085" i="32"/>
  <c r="I1085" i="32"/>
  <c r="H1085" i="32"/>
  <c r="F1085" i="32"/>
  <c r="L1085" i="32" s="1"/>
  <c r="N1084" i="32"/>
  <c r="M1084" i="32"/>
  <c r="L1084" i="32"/>
  <c r="K1084" i="32"/>
  <c r="I1084" i="32"/>
  <c r="H1084" i="32"/>
  <c r="F1084" i="32"/>
  <c r="G1050" i="32"/>
  <c r="G1049" i="32"/>
  <c r="E1051" i="32"/>
  <c r="N1052" i="32"/>
  <c r="M1052" i="32"/>
  <c r="L1052" i="32"/>
  <c r="K1052" i="32"/>
  <c r="J1052" i="32"/>
  <c r="H1052" i="32"/>
  <c r="G1052" i="32"/>
  <c r="F1052" i="32"/>
  <c r="N1051" i="32"/>
  <c r="M1051" i="32"/>
  <c r="L1051" i="32"/>
  <c r="K1051" i="32"/>
  <c r="J1051" i="32"/>
  <c r="H1051" i="32"/>
  <c r="G1051" i="32"/>
  <c r="F1051" i="32"/>
  <c r="N1050" i="32"/>
  <c r="M1050" i="32"/>
  <c r="K1050" i="32"/>
  <c r="J1050" i="32"/>
  <c r="I1050" i="32"/>
  <c r="H1050" i="32"/>
  <c r="F1050" i="32"/>
  <c r="N1049" i="32"/>
  <c r="M1049" i="32"/>
  <c r="L1049" i="32"/>
  <c r="K1049" i="32"/>
  <c r="I1049" i="32"/>
  <c r="H1049" i="32"/>
  <c r="F1049" i="32"/>
  <c r="G1023" i="32"/>
  <c r="G1022" i="32"/>
  <c r="E1024" i="32"/>
  <c r="N1025" i="32"/>
  <c r="M1025" i="32"/>
  <c r="L1025" i="32"/>
  <c r="K1025" i="32"/>
  <c r="J1025" i="32"/>
  <c r="H1025" i="32"/>
  <c r="G1025" i="32"/>
  <c r="F1025" i="32"/>
  <c r="N1024" i="32"/>
  <c r="M1024" i="32"/>
  <c r="L1024" i="32"/>
  <c r="K1024" i="32"/>
  <c r="J1024" i="32"/>
  <c r="H1024" i="32"/>
  <c r="G1024" i="32"/>
  <c r="F1024" i="32"/>
  <c r="N1023" i="32"/>
  <c r="M1023" i="32"/>
  <c r="K1023" i="32"/>
  <c r="J1023" i="32"/>
  <c r="I1023" i="32"/>
  <c r="H1023" i="32"/>
  <c r="F1023" i="32"/>
  <c r="N1022" i="32"/>
  <c r="M1022" i="32"/>
  <c r="L1022" i="32"/>
  <c r="K1022" i="32"/>
  <c r="I1022" i="32"/>
  <c r="H1022" i="32"/>
  <c r="F1022" i="32"/>
  <c r="E1018" i="32"/>
  <c r="F1018" i="32" s="1"/>
  <c r="G1017" i="32"/>
  <c r="G1016" i="32"/>
  <c r="N1019" i="32"/>
  <c r="M1019" i="32"/>
  <c r="L1019" i="32"/>
  <c r="K1019" i="32"/>
  <c r="J1019" i="32"/>
  <c r="H1019" i="32"/>
  <c r="G1019" i="32"/>
  <c r="F1019" i="32"/>
  <c r="N1018" i="32"/>
  <c r="M1018" i="32"/>
  <c r="L1018" i="32"/>
  <c r="K1018" i="32"/>
  <c r="J1018" i="32"/>
  <c r="H1018" i="32"/>
  <c r="G1018" i="32"/>
  <c r="N1017" i="32"/>
  <c r="M1017" i="32"/>
  <c r="K1017" i="32"/>
  <c r="J1017" i="32"/>
  <c r="I1017" i="32"/>
  <c r="H1017" i="32"/>
  <c r="F1017" i="32"/>
  <c r="N1016" i="32"/>
  <c r="M1016" i="32"/>
  <c r="L1016" i="32"/>
  <c r="K1016" i="32"/>
  <c r="I1016" i="32"/>
  <c r="H1016" i="32"/>
  <c r="F1016" i="32"/>
  <c r="E1012" i="32"/>
  <c r="F1012" i="32" s="1"/>
  <c r="G1011" i="32"/>
  <c r="G1010" i="32"/>
  <c r="N1013" i="32"/>
  <c r="M1013" i="32"/>
  <c r="L1013" i="32"/>
  <c r="K1013" i="32"/>
  <c r="J1013" i="32"/>
  <c r="H1013" i="32"/>
  <c r="G1013" i="32"/>
  <c r="F1013" i="32"/>
  <c r="N1012" i="32"/>
  <c r="M1012" i="32"/>
  <c r="L1012" i="32"/>
  <c r="K1012" i="32"/>
  <c r="J1012" i="32"/>
  <c r="H1012" i="32"/>
  <c r="G1012" i="32"/>
  <c r="N1011" i="32"/>
  <c r="M1011" i="32"/>
  <c r="K1011" i="32"/>
  <c r="J1011" i="32"/>
  <c r="I1011" i="32"/>
  <c r="H1011" i="32"/>
  <c r="F1011" i="32"/>
  <c r="N1010" i="32"/>
  <c r="M1010" i="32"/>
  <c r="L1010" i="32"/>
  <c r="K1010" i="32"/>
  <c r="I1010" i="32"/>
  <c r="H1010" i="32"/>
  <c r="F1010" i="32"/>
  <c r="E985" i="32"/>
  <c r="F985" i="32" s="1"/>
  <c r="G984" i="32"/>
  <c r="G983" i="32"/>
  <c r="E979" i="32"/>
  <c r="F979" i="32" s="1"/>
  <c r="G978" i="32"/>
  <c r="G977" i="32"/>
  <c r="N986" i="32"/>
  <c r="M986" i="32"/>
  <c r="L986" i="32"/>
  <c r="K986" i="32"/>
  <c r="J986" i="32"/>
  <c r="H986" i="32"/>
  <c r="G986" i="32"/>
  <c r="F986" i="32"/>
  <c r="N985" i="32"/>
  <c r="M985" i="32"/>
  <c r="L985" i="32"/>
  <c r="K985" i="32"/>
  <c r="J985" i="32"/>
  <c r="H985" i="32"/>
  <c r="G985" i="32"/>
  <c r="N984" i="32"/>
  <c r="M984" i="32"/>
  <c r="K984" i="32"/>
  <c r="J984" i="32"/>
  <c r="I984" i="32"/>
  <c r="H984" i="32"/>
  <c r="F984" i="32"/>
  <c r="N983" i="32"/>
  <c r="M983" i="32"/>
  <c r="L983" i="32"/>
  <c r="K983" i="32"/>
  <c r="I983" i="32"/>
  <c r="H983" i="32"/>
  <c r="F983" i="32"/>
  <c r="J983" i="32" s="1"/>
  <c r="N980" i="32"/>
  <c r="M980" i="32"/>
  <c r="L980" i="32"/>
  <c r="K980" i="32"/>
  <c r="J980" i="32"/>
  <c r="H980" i="32"/>
  <c r="G980" i="32"/>
  <c r="F980" i="32"/>
  <c r="N979" i="32"/>
  <c r="M979" i="32"/>
  <c r="L979" i="32"/>
  <c r="K979" i="32"/>
  <c r="J979" i="32"/>
  <c r="H979" i="32"/>
  <c r="G979" i="32"/>
  <c r="N978" i="32"/>
  <c r="M978" i="32"/>
  <c r="K978" i="32"/>
  <c r="J978" i="32"/>
  <c r="I978" i="32"/>
  <c r="H978" i="32"/>
  <c r="F978" i="32"/>
  <c r="N977" i="32"/>
  <c r="M977" i="32"/>
  <c r="L977" i="32"/>
  <c r="K977" i="32"/>
  <c r="I977" i="32"/>
  <c r="H977" i="32"/>
  <c r="F977" i="32"/>
  <c r="E716" i="32"/>
  <c r="F716" i="32" s="1"/>
  <c r="G715" i="32"/>
  <c r="G714" i="32"/>
  <c r="N717" i="32"/>
  <c r="M717" i="32"/>
  <c r="L717" i="32"/>
  <c r="K717" i="32"/>
  <c r="J717" i="32"/>
  <c r="H717" i="32"/>
  <c r="G717" i="32"/>
  <c r="F717" i="32"/>
  <c r="N716" i="32"/>
  <c r="M716" i="32"/>
  <c r="L716" i="32"/>
  <c r="K716" i="32"/>
  <c r="J716" i="32"/>
  <c r="H716" i="32"/>
  <c r="G716" i="32"/>
  <c r="N715" i="32"/>
  <c r="M715" i="32"/>
  <c r="K715" i="32"/>
  <c r="J715" i="32"/>
  <c r="I715" i="32"/>
  <c r="H715" i="32"/>
  <c r="F715" i="32"/>
  <c r="N714" i="32"/>
  <c r="M714" i="32"/>
  <c r="L714" i="32"/>
  <c r="K714" i="32"/>
  <c r="I714" i="32"/>
  <c r="H714" i="32"/>
  <c r="F714" i="32"/>
  <c r="E710" i="32"/>
  <c r="F710" i="32" s="1"/>
  <c r="G709" i="32"/>
  <c r="G708" i="32"/>
  <c r="N711" i="32"/>
  <c r="M711" i="32"/>
  <c r="L711" i="32"/>
  <c r="K711" i="32"/>
  <c r="J711" i="32"/>
  <c r="H711" i="32"/>
  <c r="G711" i="32"/>
  <c r="F711" i="32"/>
  <c r="N710" i="32"/>
  <c r="M710" i="32"/>
  <c r="L710" i="32"/>
  <c r="K710" i="32"/>
  <c r="J710" i="32"/>
  <c r="H710" i="32"/>
  <c r="G710" i="32"/>
  <c r="N709" i="32"/>
  <c r="M709" i="32"/>
  <c r="K709" i="32"/>
  <c r="J709" i="32"/>
  <c r="I709" i="32"/>
  <c r="H709" i="32"/>
  <c r="F709" i="32"/>
  <c r="N708" i="32"/>
  <c r="M708" i="32"/>
  <c r="L708" i="32"/>
  <c r="K708" i="32"/>
  <c r="I708" i="32"/>
  <c r="H708" i="32"/>
  <c r="F708" i="32"/>
  <c r="E513" i="32"/>
  <c r="F513" i="32" s="1"/>
  <c r="G512" i="32"/>
  <c r="G511" i="32"/>
  <c r="N514" i="32"/>
  <c r="M514" i="32"/>
  <c r="L514" i="32"/>
  <c r="K514" i="32"/>
  <c r="J514" i="32"/>
  <c r="H514" i="32"/>
  <c r="G514" i="32"/>
  <c r="F514" i="32"/>
  <c r="N513" i="32"/>
  <c r="M513" i="32"/>
  <c r="L513" i="32"/>
  <c r="K513" i="32"/>
  <c r="J513" i="32"/>
  <c r="H513" i="32"/>
  <c r="G513" i="32"/>
  <c r="N512" i="32"/>
  <c r="M512" i="32"/>
  <c r="K512" i="32"/>
  <c r="J512" i="32"/>
  <c r="I512" i="32"/>
  <c r="H512" i="32"/>
  <c r="F512" i="32"/>
  <c r="N511" i="32"/>
  <c r="M511" i="32"/>
  <c r="L511" i="32"/>
  <c r="K511" i="32"/>
  <c r="I511" i="32"/>
  <c r="H511" i="32"/>
  <c r="F511" i="32"/>
  <c r="N450" i="32"/>
  <c r="M450" i="32"/>
  <c r="L450" i="32"/>
  <c r="K450" i="32"/>
  <c r="J450" i="32"/>
  <c r="H450" i="32"/>
  <c r="G450" i="32"/>
  <c r="F450" i="32"/>
  <c r="N449" i="32"/>
  <c r="M449" i="32"/>
  <c r="L449" i="32"/>
  <c r="K449" i="32"/>
  <c r="J449" i="32"/>
  <c r="H449" i="32"/>
  <c r="G449" i="32"/>
  <c r="E449" i="32"/>
  <c r="F449" i="32" s="1"/>
  <c r="N448" i="32"/>
  <c r="M448" i="32"/>
  <c r="K448" i="32"/>
  <c r="J448" i="32"/>
  <c r="I448" i="32"/>
  <c r="H448" i="32"/>
  <c r="G448" i="32"/>
  <c r="F448" i="32"/>
  <c r="N447" i="32"/>
  <c r="M447" i="32"/>
  <c r="L447" i="32"/>
  <c r="K447" i="32"/>
  <c r="I447" i="32"/>
  <c r="H447" i="32"/>
  <c r="G447" i="32"/>
  <c r="F447" i="32"/>
  <c r="N61" i="32"/>
  <c r="M61" i="32"/>
  <c r="L61" i="32"/>
  <c r="K61" i="32"/>
  <c r="J61" i="32"/>
  <c r="H61" i="32"/>
  <c r="G61" i="32"/>
  <c r="F61" i="32"/>
  <c r="N60" i="32"/>
  <c r="M60" i="32"/>
  <c r="L60" i="32"/>
  <c r="K60" i="32"/>
  <c r="J60" i="32"/>
  <c r="H60" i="32"/>
  <c r="G60" i="32"/>
  <c r="E60" i="32"/>
  <c r="F60" i="32" s="1"/>
  <c r="N59" i="32"/>
  <c r="M59" i="32"/>
  <c r="K59" i="32"/>
  <c r="J59" i="32"/>
  <c r="I59" i="32"/>
  <c r="H59" i="32"/>
  <c r="G59" i="32"/>
  <c r="F59" i="32"/>
  <c r="N58" i="32"/>
  <c r="M58" i="32"/>
  <c r="L58" i="32"/>
  <c r="K58" i="32"/>
  <c r="I58" i="32"/>
  <c r="H58" i="32"/>
  <c r="G58" i="32"/>
  <c r="F58" i="32"/>
  <c r="E44" i="32"/>
  <c r="F44" i="32" s="1"/>
  <c r="G45" i="32"/>
  <c r="G44" i="32"/>
  <c r="G43" i="32"/>
  <c r="G42" i="32"/>
  <c r="N45" i="32"/>
  <c r="M45" i="32"/>
  <c r="L45" i="32"/>
  <c r="K45" i="32"/>
  <c r="J45" i="32"/>
  <c r="H45" i="32"/>
  <c r="F45" i="32"/>
  <c r="N44" i="32"/>
  <c r="M44" i="32"/>
  <c r="L44" i="32"/>
  <c r="K44" i="32"/>
  <c r="J44" i="32"/>
  <c r="H44" i="32"/>
  <c r="N43" i="32"/>
  <c r="M43" i="32"/>
  <c r="K43" i="32"/>
  <c r="J43" i="32"/>
  <c r="I43" i="32"/>
  <c r="H43" i="32"/>
  <c r="F43" i="32"/>
  <c r="N42" i="32"/>
  <c r="M42" i="32"/>
  <c r="L42" i="32"/>
  <c r="I42" i="32"/>
  <c r="H42" i="32"/>
  <c r="F42" i="32"/>
  <c r="N1729" i="32"/>
  <c r="M1729" i="32"/>
  <c r="L1729" i="32"/>
  <c r="K1729" i="32"/>
  <c r="I1729" i="32"/>
  <c r="H1729" i="32"/>
  <c r="F1729" i="32"/>
  <c r="J1729" i="32" s="1"/>
  <c r="N1728" i="32"/>
  <c r="M1728" i="32"/>
  <c r="K1728" i="32"/>
  <c r="J1728" i="32"/>
  <c r="I1728" i="32"/>
  <c r="H1728" i="32"/>
  <c r="F1728" i="32"/>
  <c r="L1728" i="32" s="1"/>
  <c r="N1727" i="32"/>
  <c r="M1727" i="32"/>
  <c r="K1727" i="32"/>
  <c r="J1727" i="32"/>
  <c r="I1727" i="32"/>
  <c r="H1727" i="32"/>
  <c r="F1727" i="32"/>
  <c r="L1727" i="32" s="1"/>
  <c r="N1726" i="32"/>
  <c r="M1726" i="32"/>
  <c r="L1726" i="32"/>
  <c r="K1726" i="32"/>
  <c r="J1726" i="32"/>
  <c r="H1726" i="32"/>
  <c r="G1726" i="32"/>
  <c r="F1726" i="32"/>
  <c r="N1725" i="32"/>
  <c r="M1725" i="32"/>
  <c r="L1725" i="32"/>
  <c r="K1725" i="32"/>
  <c r="J1725" i="32"/>
  <c r="H1725" i="32"/>
  <c r="G1725" i="32"/>
  <c r="E1725" i="32"/>
  <c r="F1725" i="32" s="1"/>
  <c r="N1724" i="32"/>
  <c r="M1724" i="32"/>
  <c r="L1724" i="32"/>
  <c r="J1724" i="32"/>
  <c r="I1724" i="32"/>
  <c r="H1724" i="32"/>
  <c r="G1724" i="32"/>
  <c r="F1724" i="32"/>
  <c r="N1723" i="32"/>
  <c r="M1723" i="32"/>
  <c r="L1723" i="32"/>
  <c r="K1723" i="32"/>
  <c r="I1723" i="32"/>
  <c r="H1723" i="32"/>
  <c r="G1723" i="32"/>
  <c r="F1723" i="32"/>
  <c r="N1738" i="32"/>
  <c r="M1738" i="32"/>
  <c r="L1738" i="32"/>
  <c r="J1738" i="32"/>
  <c r="I1738" i="32"/>
  <c r="H1738" i="32"/>
  <c r="F1738" i="32"/>
  <c r="K1738" i="32" s="1"/>
  <c r="N1737" i="32"/>
  <c r="M1737" i="32"/>
  <c r="K1737" i="32"/>
  <c r="J1737" i="32"/>
  <c r="I1737" i="32"/>
  <c r="H1737" i="32"/>
  <c r="F1737" i="32"/>
  <c r="L1737" i="32" s="1"/>
  <c r="N1736" i="32"/>
  <c r="M1736" i="32"/>
  <c r="L1736" i="32"/>
  <c r="K1736" i="32"/>
  <c r="J1736" i="32"/>
  <c r="H1736" i="32"/>
  <c r="G1736" i="32"/>
  <c r="F1736" i="32"/>
  <c r="N1735" i="32"/>
  <c r="M1735" i="32"/>
  <c r="L1735" i="32"/>
  <c r="K1735" i="32"/>
  <c r="J1735" i="32"/>
  <c r="H1735" i="32"/>
  <c r="G1735" i="32"/>
  <c r="E1735" i="32"/>
  <c r="F1735" i="32" s="1"/>
  <c r="N1734" i="32"/>
  <c r="M1734" i="32"/>
  <c r="L1734" i="32"/>
  <c r="J1734" i="32"/>
  <c r="I1734" i="32"/>
  <c r="H1734" i="32"/>
  <c r="G1734" i="32"/>
  <c r="F1734" i="32"/>
  <c r="N1733" i="32"/>
  <c r="M1733" i="32"/>
  <c r="L1733" i="32"/>
  <c r="K1733" i="32"/>
  <c r="I1733" i="32"/>
  <c r="H1733" i="32"/>
  <c r="G1733" i="32"/>
  <c r="F1733" i="32"/>
  <c r="N1695" i="32"/>
  <c r="M1695" i="32"/>
  <c r="L1695" i="32"/>
  <c r="J1695" i="32"/>
  <c r="I1695" i="32"/>
  <c r="H1695" i="32"/>
  <c r="F1695" i="32"/>
  <c r="K1695" i="32" s="1"/>
  <c r="N1694" i="32"/>
  <c r="M1694" i="32"/>
  <c r="K1694" i="32"/>
  <c r="J1694" i="32"/>
  <c r="I1694" i="32"/>
  <c r="H1694" i="32"/>
  <c r="F1694" i="32"/>
  <c r="L1694" i="32" s="1"/>
  <c r="N1693" i="32"/>
  <c r="M1693" i="32"/>
  <c r="L1693" i="32"/>
  <c r="K1693" i="32"/>
  <c r="J1693" i="32"/>
  <c r="H1693" i="32"/>
  <c r="G1693" i="32"/>
  <c r="F1693" i="32"/>
  <c r="N1692" i="32"/>
  <c r="M1692" i="32"/>
  <c r="L1692" i="32"/>
  <c r="K1692" i="32"/>
  <c r="J1692" i="32"/>
  <c r="H1692" i="32"/>
  <c r="G1692" i="32"/>
  <c r="E1692" i="32"/>
  <c r="F1692" i="32" s="1"/>
  <c r="N1691" i="32"/>
  <c r="M1691" i="32"/>
  <c r="L1691" i="32"/>
  <c r="J1691" i="32"/>
  <c r="I1691" i="32"/>
  <c r="H1691" i="32"/>
  <c r="G1691" i="32"/>
  <c r="F1691" i="32"/>
  <c r="N1690" i="32"/>
  <c r="M1690" i="32"/>
  <c r="L1690" i="32"/>
  <c r="K1690" i="32"/>
  <c r="I1690" i="32"/>
  <c r="H1690" i="32"/>
  <c r="G1690" i="32"/>
  <c r="F1690" i="32"/>
  <c r="N1687" i="32"/>
  <c r="M1687" i="32"/>
  <c r="L1687" i="32"/>
  <c r="K1687" i="32"/>
  <c r="I1687" i="32"/>
  <c r="H1687" i="32"/>
  <c r="F1687" i="32"/>
  <c r="J1687" i="32" s="1"/>
  <c r="N1686" i="32"/>
  <c r="M1686" i="32"/>
  <c r="K1686" i="32"/>
  <c r="J1686" i="32"/>
  <c r="I1686" i="32"/>
  <c r="H1686" i="32"/>
  <c r="F1686" i="32"/>
  <c r="L1686" i="32" s="1"/>
  <c r="N1685" i="32"/>
  <c r="M1685" i="32"/>
  <c r="K1685" i="32"/>
  <c r="J1685" i="32"/>
  <c r="I1685" i="32"/>
  <c r="H1685" i="32"/>
  <c r="F1685" i="32"/>
  <c r="L1685" i="32" s="1"/>
  <c r="N1684" i="32"/>
  <c r="M1684" i="32"/>
  <c r="L1684" i="32"/>
  <c r="K1684" i="32"/>
  <c r="J1684" i="32"/>
  <c r="H1684" i="32"/>
  <c r="G1684" i="32"/>
  <c r="F1684" i="32"/>
  <c r="N1683" i="32"/>
  <c r="M1683" i="32"/>
  <c r="L1683" i="32"/>
  <c r="K1683" i="32"/>
  <c r="J1683" i="32"/>
  <c r="H1683" i="32"/>
  <c r="G1683" i="32"/>
  <c r="E1683" i="32"/>
  <c r="F1683" i="32" s="1"/>
  <c r="N1682" i="32"/>
  <c r="M1682" i="32"/>
  <c r="L1682" i="32"/>
  <c r="J1682" i="32"/>
  <c r="I1682" i="32"/>
  <c r="H1682" i="32"/>
  <c r="G1682" i="32"/>
  <c r="F1682" i="32"/>
  <c r="N1681" i="32"/>
  <c r="M1681" i="32"/>
  <c r="L1681" i="32"/>
  <c r="K1681" i="32"/>
  <c r="I1681" i="32"/>
  <c r="H1681" i="32"/>
  <c r="G1681" i="32"/>
  <c r="F1681" i="32"/>
  <c r="N1678" i="32"/>
  <c r="L1678" i="32"/>
  <c r="K1678" i="32"/>
  <c r="J1678" i="32"/>
  <c r="I1678" i="32"/>
  <c r="H1678" i="32"/>
  <c r="F1678" i="32"/>
  <c r="M1678" i="32" s="1"/>
  <c r="N1677" i="32"/>
  <c r="M1677" i="32"/>
  <c r="K1677" i="32"/>
  <c r="J1677" i="32"/>
  <c r="I1677" i="32"/>
  <c r="H1677" i="32"/>
  <c r="F1677" i="32"/>
  <c r="L1677" i="32" s="1"/>
  <c r="N1676" i="32"/>
  <c r="M1676" i="32"/>
  <c r="K1676" i="32"/>
  <c r="J1676" i="32"/>
  <c r="I1676" i="32"/>
  <c r="H1676" i="32"/>
  <c r="F1676" i="32"/>
  <c r="L1676" i="32" s="1"/>
  <c r="N1675" i="32"/>
  <c r="M1675" i="32"/>
  <c r="L1675" i="32"/>
  <c r="K1675" i="32"/>
  <c r="J1675" i="32"/>
  <c r="H1675" i="32"/>
  <c r="G1675" i="32"/>
  <c r="E1675" i="32"/>
  <c r="F1675" i="32" s="1"/>
  <c r="N1674" i="32"/>
  <c r="M1674" i="32"/>
  <c r="L1674" i="32"/>
  <c r="K1674" i="32"/>
  <c r="J1674" i="32"/>
  <c r="H1674" i="32"/>
  <c r="G1674" i="32"/>
  <c r="E1674" i="32"/>
  <c r="F1674" i="32" s="1"/>
  <c r="N1673" i="32"/>
  <c r="M1673" i="32"/>
  <c r="L1673" i="32"/>
  <c r="K1673" i="32"/>
  <c r="I1673" i="32"/>
  <c r="H1673" i="32"/>
  <c r="F1673" i="32"/>
  <c r="J1673" i="32" s="1"/>
  <c r="N1672" i="32"/>
  <c r="L1672" i="32"/>
  <c r="K1672" i="32"/>
  <c r="J1672" i="32"/>
  <c r="I1672" i="32"/>
  <c r="H1672" i="32"/>
  <c r="G1672" i="32"/>
  <c r="F1672" i="32"/>
  <c r="N1671" i="32"/>
  <c r="M1671" i="32"/>
  <c r="L1671" i="32"/>
  <c r="J1671" i="32"/>
  <c r="I1671" i="32"/>
  <c r="H1671" i="32"/>
  <c r="G1671" i="32"/>
  <c r="F1671" i="32"/>
  <c r="N1659" i="32"/>
  <c r="M1659" i="32"/>
  <c r="L1659" i="32"/>
  <c r="J1659" i="32"/>
  <c r="I1659" i="32"/>
  <c r="H1659" i="32"/>
  <c r="F1659" i="32"/>
  <c r="K1659" i="32" s="1"/>
  <c r="N1658" i="32"/>
  <c r="M1658" i="32"/>
  <c r="K1658" i="32"/>
  <c r="J1658" i="32"/>
  <c r="I1658" i="32"/>
  <c r="H1658" i="32"/>
  <c r="F1658" i="32"/>
  <c r="L1658" i="32" s="1"/>
  <c r="N1657" i="32"/>
  <c r="M1657" i="32"/>
  <c r="L1657" i="32"/>
  <c r="K1657" i="32"/>
  <c r="J1657" i="32"/>
  <c r="H1657" i="32"/>
  <c r="G1657" i="32"/>
  <c r="F1657" i="32"/>
  <c r="N1656" i="32"/>
  <c r="M1656" i="32"/>
  <c r="L1656" i="32"/>
  <c r="K1656" i="32"/>
  <c r="J1656" i="32"/>
  <c r="H1656" i="32"/>
  <c r="G1656" i="32"/>
  <c r="E1656" i="32"/>
  <c r="F1656" i="32" s="1"/>
  <c r="N1655" i="32"/>
  <c r="M1655" i="32"/>
  <c r="L1655" i="32"/>
  <c r="J1655" i="32"/>
  <c r="I1655" i="32"/>
  <c r="H1655" i="32"/>
  <c r="G1655" i="32"/>
  <c r="F1655" i="32"/>
  <c r="N1654" i="32"/>
  <c r="M1654" i="32"/>
  <c r="L1654" i="32"/>
  <c r="K1654" i="32"/>
  <c r="I1654" i="32"/>
  <c r="H1654" i="32"/>
  <c r="G1654" i="32"/>
  <c r="F1654" i="32"/>
  <c r="F1662" i="32"/>
  <c r="G1662" i="32"/>
  <c r="H1662" i="32"/>
  <c r="I1662" i="32"/>
  <c r="K1662" i="32"/>
  <c r="L1662" i="32"/>
  <c r="M1662" i="32"/>
  <c r="N1662" i="32"/>
  <c r="F1663" i="32"/>
  <c r="G1663" i="32"/>
  <c r="H1663" i="32"/>
  <c r="I1663" i="32"/>
  <c r="J1663" i="32"/>
  <c r="L1663" i="32"/>
  <c r="M1663" i="32"/>
  <c r="N1663" i="32"/>
  <c r="E1664" i="32"/>
  <c r="F1664" i="32" s="1"/>
  <c r="G1664" i="32"/>
  <c r="H1664" i="32"/>
  <c r="J1664" i="32"/>
  <c r="K1664" i="32"/>
  <c r="L1664" i="32"/>
  <c r="M1664" i="32"/>
  <c r="N1664" i="32"/>
  <c r="N1651" i="32"/>
  <c r="M1651" i="32"/>
  <c r="L1651" i="32"/>
  <c r="K1651" i="32"/>
  <c r="I1651" i="32"/>
  <c r="H1651" i="32"/>
  <c r="F1651" i="32"/>
  <c r="J1651" i="32" s="1"/>
  <c r="N1650" i="32"/>
  <c r="M1650" i="32"/>
  <c r="K1650" i="32"/>
  <c r="J1650" i="32"/>
  <c r="I1650" i="32"/>
  <c r="H1650" i="32"/>
  <c r="F1650" i="32"/>
  <c r="L1650" i="32" s="1"/>
  <c r="N1649" i="32"/>
  <c r="M1649" i="32"/>
  <c r="K1649" i="32"/>
  <c r="J1649" i="32"/>
  <c r="I1649" i="32"/>
  <c r="H1649" i="32"/>
  <c r="F1649" i="32"/>
  <c r="L1649" i="32" s="1"/>
  <c r="N1648" i="32"/>
  <c r="M1648" i="32"/>
  <c r="L1648" i="32"/>
  <c r="K1648" i="32"/>
  <c r="J1648" i="32"/>
  <c r="H1648" i="32"/>
  <c r="G1648" i="32"/>
  <c r="F1648" i="32"/>
  <c r="N1647" i="32"/>
  <c r="M1647" i="32"/>
  <c r="L1647" i="32"/>
  <c r="K1647" i="32"/>
  <c r="J1647" i="32"/>
  <c r="H1647" i="32"/>
  <c r="G1647" i="32"/>
  <c r="E1647" i="32"/>
  <c r="F1647" i="32" s="1"/>
  <c r="N1646" i="32"/>
  <c r="M1646" i="32"/>
  <c r="L1646" i="32"/>
  <c r="J1646" i="32"/>
  <c r="I1646" i="32"/>
  <c r="H1646" i="32"/>
  <c r="G1646" i="32"/>
  <c r="F1646" i="32"/>
  <c r="N1645" i="32"/>
  <c r="M1645" i="32"/>
  <c r="L1645" i="32"/>
  <c r="K1645" i="32"/>
  <c r="I1645" i="32"/>
  <c r="H1645" i="32"/>
  <c r="G1645" i="32"/>
  <c r="F1645" i="32"/>
  <c r="G1639" i="32"/>
  <c r="G1638" i="32"/>
  <c r="N1642" i="32"/>
  <c r="M1642" i="32"/>
  <c r="K1642" i="32"/>
  <c r="J1642" i="32"/>
  <c r="I1642" i="32"/>
  <c r="H1642" i="32"/>
  <c r="F1642" i="32"/>
  <c r="L1642" i="32" s="1"/>
  <c r="N1641" i="32"/>
  <c r="M1641" i="32"/>
  <c r="K1641" i="32"/>
  <c r="J1641" i="32"/>
  <c r="I1641" i="32"/>
  <c r="H1641" i="32"/>
  <c r="F1641" i="32"/>
  <c r="L1641" i="32" s="1"/>
  <c r="N1640" i="32"/>
  <c r="M1640" i="32"/>
  <c r="K1640" i="32"/>
  <c r="J1640" i="32"/>
  <c r="I1640" i="32"/>
  <c r="H1640" i="32"/>
  <c r="F1640" i="32"/>
  <c r="L1640" i="32" s="1"/>
  <c r="N1639" i="32"/>
  <c r="M1639" i="32"/>
  <c r="L1639" i="32"/>
  <c r="K1639" i="32"/>
  <c r="J1639" i="32"/>
  <c r="H1639" i="32"/>
  <c r="F1639" i="32"/>
  <c r="N1638" i="32"/>
  <c r="M1638" i="32"/>
  <c r="L1638" i="32"/>
  <c r="K1638" i="32"/>
  <c r="J1638" i="32"/>
  <c r="H1638" i="32"/>
  <c r="E1638" i="32"/>
  <c r="F1638" i="32" s="1"/>
  <c r="N1637" i="32"/>
  <c r="M1637" i="32"/>
  <c r="L1637" i="32"/>
  <c r="K1637" i="32"/>
  <c r="I1637" i="32"/>
  <c r="H1637" i="32"/>
  <c r="F1637" i="32"/>
  <c r="J1637" i="32" s="1"/>
  <c r="N1636" i="32"/>
  <c r="L1636" i="32"/>
  <c r="K1636" i="32"/>
  <c r="J1636" i="32"/>
  <c r="I1636" i="32"/>
  <c r="H1636" i="32"/>
  <c r="G1636" i="32"/>
  <c r="F1636" i="32"/>
  <c r="N1635" i="32"/>
  <c r="M1635" i="32"/>
  <c r="L1635" i="32"/>
  <c r="K1635" i="32"/>
  <c r="I1635" i="32"/>
  <c r="H1635" i="32"/>
  <c r="G1635" i="32"/>
  <c r="F1635" i="32"/>
  <c r="N2482" i="32"/>
  <c r="M2482" i="32"/>
  <c r="L2482" i="32"/>
  <c r="J2482" i="32"/>
  <c r="I2482" i="32"/>
  <c r="H2482" i="32"/>
  <c r="G2482" i="32"/>
  <c r="E2482" i="32"/>
  <c r="F2482" i="32" s="1"/>
  <c r="N2481" i="32"/>
  <c r="L2481" i="32"/>
  <c r="J2481" i="32"/>
  <c r="I2481" i="32"/>
  <c r="H2481" i="32"/>
  <c r="G2481" i="32"/>
  <c r="E2481" i="32"/>
  <c r="F2481" i="32" s="1"/>
  <c r="K2481" i="32" s="1"/>
  <c r="N2479" i="32"/>
  <c r="M2479" i="32"/>
  <c r="L2479" i="32"/>
  <c r="J2479" i="32"/>
  <c r="I2479" i="32"/>
  <c r="H2479" i="32"/>
  <c r="G2479" i="32"/>
  <c r="E2479" i="32"/>
  <c r="F2479" i="32" s="1"/>
  <c r="N2478" i="32"/>
  <c r="L2478" i="32"/>
  <c r="J2478" i="32"/>
  <c r="I2478" i="32"/>
  <c r="H2478" i="32"/>
  <c r="G2478" i="32"/>
  <c r="E2478" i="32"/>
  <c r="F2478" i="32" s="1"/>
  <c r="K2478" i="32" s="1"/>
  <c r="N2476" i="32"/>
  <c r="M2476" i="32"/>
  <c r="L2476" i="32"/>
  <c r="J2476" i="32"/>
  <c r="I2476" i="32"/>
  <c r="H2476" i="32"/>
  <c r="G2476" i="32"/>
  <c r="E2476" i="32"/>
  <c r="F2476" i="32" s="1"/>
  <c r="N2475" i="32"/>
  <c r="L2475" i="32"/>
  <c r="J2475" i="32"/>
  <c r="I2475" i="32"/>
  <c r="H2475" i="32"/>
  <c r="G2475" i="32"/>
  <c r="E2475" i="32"/>
  <c r="F2475" i="32" s="1"/>
  <c r="K2475" i="32" s="1"/>
  <c r="G2473" i="32"/>
  <c r="G2472" i="32"/>
  <c r="E2473" i="32"/>
  <c r="F2473" i="32" s="1"/>
  <c r="E2472" i="32"/>
  <c r="F2472" i="32" s="1"/>
  <c r="G2470" i="32"/>
  <c r="G2469" i="32"/>
  <c r="E2470" i="32"/>
  <c r="F2470" i="32" s="1"/>
  <c r="E2469" i="32"/>
  <c r="F2469" i="32" s="1"/>
  <c r="N2473" i="32"/>
  <c r="M2473" i="32"/>
  <c r="L2473" i="32"/>
  <c r="J2473" i="32"/>
  <c r="I2473" i="32"/>
  <c r="H2473" i="32"/>
  <c r="N2472" i="32"/>
  <c r="M2472" i="32"/>
  <c r="L2472" i="32"/>
  <c r="J2472" i="32"/>
  <c r="I2472" i="32"/>
  <c r="H2472" i="32"/>
  <c r="N2470" i="32"/>
  <c r="M2470" i="32"/>
  <c r="L2470" i="32"/>
  <c r="J2470" i="32"/>
  <c r="I2470" i="32"/>
  <c r="H2470" i="32"/>
  <c r="N2469" i="32"/>
  <c r="M2469" i="32"/>
  <c r="L2469" i="32"/>
  <c r="J2469" i="32"/>
  <c r="I2469" i="32"/>
  <c r="H2469" i="32"/>
  <c r="G2467" i="32"/>
  <c r="G2466" i="32"/>
  <c r="E2467" i="32"/>
  <c r="F2467" i="32" s="1"/>
  <c r="E2466" i="32"/>
  <c r="F2466" i="32" s="1"/>
  <c r="L2466" i="32" s="1"/>
  <c r="N2467" i="32"/>
  <c r="M2467" i="32"/>
  <c r="L2467" i="32"/>
  <c r="J2467" i="32"/>
  <c r="I2467" i="32"/>
  <c r="H2467" i="32"/>
  <c r="N2466" i="32"/>
  <c r="M2466" i="32"/>
  <c r="J2466" i="32"/>
  <c r="I2466" i="32"/>
  <c r="H2466" i="32"/>
  <c r="E2455" i="32"/>
  <c r="F2455" i="32" s="1"/>
  <c r="E2454" i="32"/>
  <c r="F2454" i="32" s="1"/>
  <c r="G2452" i="32"/>
  <c r="G2451" i="32"/>
  <c r="L2458" i="32"/>
  <c r="K2458" i="32"/>
  <c r="J2458" i="32"/>
  <c r="I2458" i="32"/>
  <c r="H2458" i="32"/>
  <c r="F2458" i="32"/>
  <c r="M2458" i="32" s="1"/>
  <c r="N2457" i="32"/>
  <c r="L2457" i="32"/>
  <c r="K2457" i="32"/>
  <c r="J2457" i="32"/>
  <c r="I2457" i="32"/>
  <c r="H2457" i="32"/>
  <c r="F2457" i="32"/>
  <c r="M2457" i="32" s="1"/>
  <c r="N2456" i="32"/>
  <c r="L2456" i="32"/>
  <c r="K2456" i="32"/>
  <c r="J2456" i="32"/>
  <c r="I2456" i="32"/>
  <c r="H2456" i="32"/>
  <c r="F2456" i="32"/>
  <c r="M2456" i="32" s="1"/>
  <c r="N2455" i="32"/>
  <c r="M2455" i="32"/>
  <c r="L2455" i="32"/>
  <c r="K2455" i="32"/>
  <c r="J2455" i="32"/>
  <c r="H2455" i="32"/>
  <c r="G2455" i="32"/>
  <c r="N2454" i="32"/>
  <c r="M2454" i="32"/>
  <c r="L2454" i="32"/>
  <c r="K2454" i="32"/>
  <c r="J2454" i="32"/>
  <c r="H2454" i="32"/>
  <c r="G2454" i="32"/>
  <c r="N2453" i="32"/>
  <c r="M2453" i="32"/>
  <c r="L2453" i="32"/>
  <c r="J2453" i="32"/>
  <c r="I2453" i="32"/>
  <c r="H2453" i="32"/>
  <c r="F2453" i="32"/>
  <c r="K2453" i="32" s="1"/>
  <c r="N2452" i="32"/>
  <c r="M2452" i="32"/>
  <c r="K2452" i="32"/>
  <c r="J2452" i="32"/>
  <c r="I2452" i="32"/>
  <c r="H2452" i="32"/>
  <c r="F2452" i="32"/>
  <c r="M2451" i="32"/>
  <c r="L2451" i="32"/>
  <c r="K2451" i="32"/>
  <c r="J2451" i="32"/>
  <c r="I2451" i="32"/>
  <c r="H2451" i="32"/>
  <c r="F2451" i="32"/>
  <c r="E2445" i="32"/>
  <c r="F2445" i="32" s="1"/>
  <c r="E2444" i="32"/>
  <c r="F2444" i="32" s="1"/>
  <c r="G2445" i="32"/>
  <c r="G2444" i="32"/>
  <c r="G2442" i="32"/>
  <c r="G2441" i="32"/>
  <c r="N2448" i="32"/>
  <c r="L2448" i="32"/>
  <c r="K2448" i="32"/>
  <c r="J2448" i="32"/>
  <c r="I2448" i="32"/>
  <c r="H2448" i="32"/>
  <c r="F2448" i="32"/>
  <c r="M2448" i="32" s="1"/>
  <c r="N2447" i="32"/>
  <c r="L2447" i="32"/>
  <c r="K2447" i="32"/>
  <c r="J2447" i="32"/>
  <c r="I2447" i="32"/>
  <c r="H2447" i="32"/>
  <c r="F2447" i="32"/>
  <c r="M2447" i="32" s="1"/>
  <c r="N2446" i="32"/>
  <c r="L2446" i="32"/>
  <c r="K2446" i="32"/>
  <c r="J2446" i="32"/>
  <c r="I2446" i="32"/>
  <c r="H2446" i="32"/>
  <c r="F2446" i="32"/>
  <c r="M2446" i="32" s="1"/>
  <c r="N2445" i="32"/>
  <c r="M2445" i="32"/>
  <c r="L2445" i="32"/>
  <c r="K2445" i="32"/>
  <c r="J2445" i="32"/>
  <c r="H2445" i="32"/>
  <c r="N2444" i="32"/>
  <c r="M2444" i="32"/>
  <c r="L2444" i="32"/>
  <c r="K2444" i="32"/>
  <c r="J2444" i="32"/>
  <c r="H2444" i="32"/>
  <c r="N2443" i="32"/>
  <c r="M2443" i="32"/>
  <c r="L2443" i="32"/>
  <c r="J2443" i="32"/>
  <c r="I2443" i="32"/>
  <c r="H2443" i="32"/>
  <c r="F2443" i="32"/>
  <c r="K2443" i="32" s="1"/>
  <c r="N2442" i="32"/>
  <c r="M2442" i="32"/>
  <c r="K2442" i="32"/>
  <c r="J2442" i="32"/>
  <c r="I2442" i="32"/>
  <c r="H2442" i="32"/>
  <c r="F2442" i="32"/>
  <c r="N2441" i="32"/>
  <c r="L2441" i="32"/>
  <c r="K2441" i="32"/>
  <c r="J2441" i="32"/>
  <c r="I2441" i="32"/>
  <c r="H2441" i="32"/>
  <c r="F2441" i="32"/>
  <c r="E2395" i="32"/>
  <c r="F2395" i="32" s="1"/>
  <c r="E2385" i="32"/>
  <c r="F2385" i="32" s="1"/>
  <c r="E2405" i="32"/>
  <c r="N2409" i="32"/>
  <c r="L2409" i="32"/>
  <c r="K2409" i="32"/>
  <c r="J2409" i="32"/>
  <c r="I2409" i="32"/>
  <c r="H2409" i="32"/>
  <c r="F2409" i="32"/>
  <c r="M2409" i="32" s="1"/>
  <c r="E2404" i="32"/>
  <c r="F2404" i="32" s="1"/>
  <c r="G2404" i="32"/>
  <c r="G2402" i="32"/>
  <c r="G2401" i="32"/>
  <c r="M2408" i="32"/>
  <c r="L2408" i="32"/>
  <c r="K2408" i="32"/>
  <c r="J2408" i="32"/>
  <c r="I2408" i="32"/>
  <c r="H2408" i="32"/>
  <c r="F2408" i="32"/>
  <c r="N2408" i="32" s="1"/>
  <c r="N2407" i="32"/>
  <c r="L2407" i="32"/>
  <c r="K2407" i="32"/>
  <c r="J2407" i="32"/>
  <c r="I2407" i="32"/>
  <c r="H2407" i="32"/>
  <c r="F2407" i="32"/>
  <c r="M2407" i="32" s="1"/>
  <c r="N2406" i="32"/>
  <c r="L2406" i="32"/>
  <c r="K2406" i="32"/>
  <c r="J2406" i="32"/>
  <c r="I2406" i="32"/>
  <c r="H2406" i="32"/>
  <c r="F2406" i="32"/>
  <c r="M2406" i="32" s="1"/>
  <c r="N2405" i="32"/>
  <c r="M2405" i="32"/>
  <c r="L2405" i="32"/>
  <c r="K2405" i="32"/>
  <c r="J2405" i="32"/>
  <c r="H2405" i="32"/>
  <c r="G2405" i="32"/>
  <c r="F2405" i="32"/>
  <c r="N2404" i="32"/>
  <c r="M2404" i="32"/>
  <c r="L2404" i="32"/>
  <c r="K2404" i="32"/>
  <c r="J2404" i="32"/>
  <c r="H2404" i="32"/>
  <c r="N2403" i="32"/>
  <c r="M2403" i="32"/>
  <c r="L2403" i="32"/>
  <c r="J2403" i="32"/>
  <c r="I2403" i="32"/>
  <c r="H2403" i="32"/>
  <c r="F2403" i="32"/>
  <c r="K2403" i="32" s="1"/>
  <c r="M2402" i="32"/>
  <c r="L2402" i="32"/>
  <c r="K2402" i="32"/>
  <c r="J2402" i="32"/>
  <c r="I2402" i="32"/>
  <c r="H2402" i="32"/>
  <c r="F2402" i="32"/>
  <c r="N2401" i="32"/>
  <c r="M2401" i="32"/>
  <c r="K2401" i="32"/>
  <c r="J2401" i="32"/>
  <c r="I2401" i="32"/>
  <c r="H2401" i="32"/>
  <c r="F2401" i="32"/>
  <c r="E2374" i="32"/>
  <c r="G2372" i="32"/>
  <c r="G2371" i="32"/>
  <c r="N2378" i="32"/>
  <c r="K2378" i="32"/>
  <c r="J2378" i="32"/>
  <c r="I2378" i="32"/>
  <c r="H2378" i="32"/>
  <c r="F2378" i="32"/>
  <c r="M2378" i="32" s="1"/>
  <c r="N2377" i="32"/>
  <c r="K2377" i="32"/>
  <c r="J2377" i="32"/>
  <c r="I2377" i="32"/>
  <c r="H2377" i="32"/>
  <c r="F2377" i="32"/>
  <c r="M2377" i="32" s="1"/>
  <c r="N2376" i="32"/>
  <c r="K2376" i="32"/>
  <c r="J2376" i="32"/>
  <c r="I2376" i="32"/>
  <c r="H2376" i="32"/>
  <c r="F2376" i="32"/>
  <c r="M2376" i="32" s="1"/>
  <c r="N2375" i="32"/>
  <c r="M2375" i="32"/>
  <c r="L2375" i="32"/>
  <c r="K2375" i="32"/>
  <c r="J2375" i="32"/>
  <c r="H2375" i="32"/>
  <c r="G2375" i="32"/>
  <c r="F2375" i="32"/>
  <c r="N2374" i="32"/>
  <c r="M2374" i="32"/>
  <c r="L2374" i="32"/>
  <c r="K2374" i="32"/>
  <c r="J2374" i="32"/>
  <c r="H2374" i="32"/>
  <c r="G2374" i="32"/>
  <c r="F2374" i="32"/>
  <c r="N2373" i="32"/>
  <c r="M2373" i="32"/>
  <c r="L2373" i="32"/>
  <c r="I2373" i="32"/>
  <c r="H2373" i="32"/>
  <c r="F2373" i="32"/>
  <c r="K2373" i="32" s="1"/>
  <c r="N2372" i="32"/>
  <c r="M2372" i="32"/>
  <c r="K2372" i="32"/>
  <c r="J2372" i="32"/>
  <c r="I2372" i="32"/>
  <c r="H2372" i="32"/>
  <c r="F2372" i="32"/>
  <c r="L2372" i="32" s="1"/>
  <c r="N2371" i="32"/>
  <c r="L2371" i="32"/>
  <c r="K2371" i="32"/>
  <c r="I2371" i="32"/>
  <c r="H2371" i="32"/>
  <c r="M2371" i="32"/>
  <c r="F2371" i="32"/>
  <c r="E2384" i="32"/>
  <c r="F2384" i="32" s="1"/>
  <c r="G2382" i="32"/>
  <c r="G2381" i="32"/>
  <c r="N2388" i="32"/>
  <c r="L2388" i="32"/>
  <c r="K2388" i="32"/>
  <c r="J2388" i="32"/>
  <c r="I2388" i="32"/>
  <c r="H2388" i="32"/>
  <c r="F2388" i="32"/>
  <c r="M2388" i="32" s="1"/>
  <c r="N2387" i="32"/>
  <c r="L2387" i="32"/>
  <c r="K2387" i="32"/>
  <c r="J2387" i="32"/>
  <c r="I2387" i="32"/>
  <c r="H2387" i="32"/>
  <c r="F2387" i="32"/>
  <c r="M2387" i="32" s="1"/>
  <c r="N2386" i="32"/>
  <c r="L2386" i="32"/>
  <c r="K2386" i="32"/>
  <c r="J2386" i="32"/>
  <c r="I2386" i="32"/>
  <c r="H2386" i="32"/>
  <c r="F2386" i="32"/>
  <c r="M2386" i="32" s="1"/>
  <c r="N2385" i="32"/>
  <c r="M2385" i="32"/>
  <c r="L2385" i="32"/>
  <c r="K2385" i="32"/>
  <c r="J2385" i="32"/>
  <c r="H2385" i="32"/>
  <c r="G2385" i="32"/>
  <c r="N2384" i="32"/>
  <c r="M2384" i="32"/>
  <c r="L2384" i="32"/>
  <c r="K2384" i="32"/>
  <c r="J2384" i="32"/>
  <c r="H2384" i="32"/>
  <c r="G2384" i="32"/>
  <c r="N2383" i="32"/>
  <c r="M2383" i="32"/>
  <c r="L2383" i="32"/>
  <c r="J2383" i="32"/>
  <c r="I2383" i="32"/>
  <c r="H2383" i="32"/>
  <c r="F2383" i="32"/>
  <c r="K2383" i="32" s="1"/>
  <c r="N2382" i="32"/>
  <c r="M2382" i="32"/>
  <c r="K2382" i="32"/>
  <c r="J2382" i="32"/>
  <c r="I2382" i="32"/>
  <c r="H2382" i="32"/>
  <c r="F2382" i="32"/>
  <c r="N2381" i="32"/>
  <c r="L2381" i="32"/>
  <c r="K2381" i="32"/>
  <c r="J2381" i="32"/>
  <c r="I2381" i="32"/>
  <c r="H2381" i="32"/>
  <c r="F2381" i="32"/>
  <c r="M2381" i="32" s="1"/>
  <c r="G2394" i="32"/>
  <c r="E2394" i="32"/>
  <c r="F2394" i="32" s="1"/>
  <c r="G2395" i="32"/>
  <c r="G2392" i="32"/>
  <c r="G2391" i="32"/>
  <c r="N2398" i="32"/>
  <c r="K2398" i="32"/>
  <c r="J2398" i="32"/>
  <c r="I2398" i="32"/>
  <c r="H2398" i="32"/>
  <c r="F2398" i="32"/>
  <c r="L2398" i="32" s="1"/>
  <c r="N2397" i="32"/>
  <c r="K2397" i="32"/>
  <c r="J2397" i="32"/>
  <c r="I2397" i="32"/>
  <c r="H2397" i="32"/>
  <c r="F2397" i="32"/>
  <c r="L2397" i="32" s="1"/>
  <c r="N2396" i="32"/>
  <c r="K2396" i="32"/>
  <c r="J2396" i="32"/>
  <c r="I2396" i="32"/>
  <c r="H2396" i="32"/>
  <c r="F2396" i="32"/>
  <c r="L2396" i="32" s="1"/>
  <c r="N2395" i="32"/>
  <c r="M2395" i="32"/>
  <c r="L2395" i="32"/>
  <c r="K2395" i="32"/>
  <c r="J2395" i="32"/>
  <c r="H2395" i="32"/>
  <c r="N2394" i="32"/>
  <c r="M2394" i="32"/>
  <c r="L2394" i="32"/>
  <c r="K2394" i="32"/>
  <c r="J2394" i="32"/>
  <c r="H2394" i="32"/>
  <c r="N2393" i="32"/>
  <c r="M2393" i="32"/>
  <c r="L2393" i="32"/>
  <c r="I2393" i="32"/>
  <c r="H2393" i="32"/>
  <c r="F2393" i="32"/>
  <c r="J2393" i="32" s="1"/>
  <c r="N2392" i="32"/>
  <c r="M2392" i="32"/>
  <c r="K2392" i="32"/>
  <c r="J2392" i="32"/>
  <c r="I2392" i="32"/>
  <c r="H2392" i="32"/>
  <c r="F2392" i="32"/>
  <c r="N2391" i="32"/>
  <c r="L2391" i="32"/>
  <c r="J2391" i="32"/>
  <c r="I2391" i="32"/>
  <c r="H2391" i="32"/>
  <c r="K2391" i="32"/>
  <c r="F2391" i="32"/>
  <c r="E2415" i="32"/>
  <c r="F2415" i="32" s="1"/>
  <c r="G2413" i="32"/>
  <c r="G2412" i="32"/>
  <c r="M2419" i="32"/>
  <c r="K2419" i="32"/>
  <c r="J2419" i="32"/>
  <c r="I2419" i="32"/>
  <c r="H2419" i="32"/>
  <c r="F2419" i="32"/>
  <c r="L2419" i="32" s="1"/>
  <c r="N2418" i="32"/>
  <c r="K2418" i="32"/>
  <c r="J2418" i="32"/>
  <c r="I2418" i="32"/>
  <c r="H2418" i="32"/>
  <c r="F2418" i="32"/>
  <c r="L2418" i="32" s="1"/>
  <c r="N2417" i="32"/>
  <c r="K2417" i="32"/>
  <c r="J2417" i="32"/>
  <c r="I2417" i="32"/>
  <c r="H2417" i="32"/>
  <c r="F2417" i="32"/>
  <c r="L2417" i="32" s="1"/>
  <c r="N2416" i="32"/>
  <c r="M2416" i="32"/>
  <c r="L2416" i="32"/>
  <c r="K2416" i="32"/>
  <c r="J2416" i="32"/>
  <c r="H2416" i="32"/>
  <c r="G2416" i="32"/>
  <c r="F2416" i="32"/>
  <c r="N2415" i="32"/>
  <c r="M2415" i="32"/>
  <c r="L2415" i="32"/>
  <c r="K2415" i="32"/>
  <c r="J2415" i="32"/>
  <c r="H2415" i="32"/>
  <c r="G2415" i="32"/>
  <c r="N2414" i="32"/>
  <c r="M2414" i="32"/>
  <c r="L2414" i="32"/>
  <c r="J2414" i="32"/>
  <c r="I2414" i="32"/>
  <c r="H2414" i="32"/>
  <c r="F2414" i="32"/>
  <c r="K2414" i="32" s="1"/>
  <c r="M2413" i="32"/>
  <c r="K2413" i="32"/>
  <c r="J2413" i="32"/>
  <c r="I2413" i="32"/>
  <c r="H2413" i="32"/>
  <c r="F2413" i="32"/>
  <c r="L2413" i="32" s="1"/>
  <c r="N2412" i="32"/>
  <c r="M2412" i="32"/>
  <c r="J2412" i="32"/>
  <c r="I2412" i="32"/>
  <c r="H2412" i="32"/>
  <c r="K2412" i="32"/>
  <c r="F2412" i="32"/>
  <c r="E2425" i="32"/>
  <c r="F2425" i="32" s="1"/>
  <c r="G2426" i="32"/>
  <c r="G2425" i="32"/>
  <c r="N2424" i="32"/>
  <c r="M2424" i="32"/>
  <c r="K2424" i="32"/>
  <c r="I2424" i="32"/>
  <c r="H2424" i="32"/>
  <c r="F2424" i="32"/>
  <c r="L2424" i="32" s="1"/>
  <c r="G2423" i="32"/>
  <c r="G2422" i="32"/>
  <c r="N2429" i="32"/>
  <c r="M2429" i="32"/>
  <c r="K2429" i="32"/>
  <c r="I2429" i="32"/>
  <c r="H2429" i="32"/>
  <c r="F2429" i="32"/>
  <c r="J2429" i="32" s="1"/>
  <c r="N2428" i="32"/>
  <c r="M2428" i="32"/>
  <c r="J2428" i="32"/>
  <c r="I2428" i="32"/>
  <c r="H2428" i="32"/>
  <c r="F2428" i="32"/>
  <c r="K2428" i="32" s="1"/>
  <c r="N2427" i="32"/>
  <c r="M2427" i="32"/>
  <c r="K2427" i="32"/>
  <c r="J2427" i="32"/>
  <c r="I2427" i="32"/>
  <c r="H2427" i="32"/>
  <c r="F2427" i="32"/>
  <c r="L2427" i="32" s="1"/>
  <c r="N2426" i="32"/>
  <c r="M2426" i="32"/>
  <c r="L2426" i="32"/>
  <c r="K2426" i="32"/>
  <c r="J2426" i="32"/>
  <c r="H2426" i="32"/>
  <c r="F2426" i="32"/>
  <c r="N2425" i="32"/>
  <c r="M2425" i="32"/>
  <c r="L2425" i="32"/>
  <c r="K2425" i="32"/>
  <c r="J2425" i="32"/>
  <c r="H2425" i="32"/>
  <c r="N2423" i="32"/>
  <c r="M2423" i="32"/>
  <c r="K2423" i="32"/>
  <c r="J2423" i="32"/>
  <c r="I2423" i="32"/>
  <c r="H2423" i="32"/>
  <c r="F2423" i="32"/>
  <c r="N2422" i="32"/>
  <c r="M2422" i="32"/>
  <c r="L2422" i="32"/>
  <c r="I2422" i="32"/>
  <c r="H2422" i="32"/>
  <c r="F2422" i="32"/>
  <c r="J2422" i="32" s="1"/>
  <c r="E2434" i="32"/>
  <c r="F2434" i="32" s="1"/>
  <c r="G2435" i="32"/>
  <c r="G2434" i="32"/>
  <c r="G2433" i="32"/>
  <c r="G2432" i="32"/>
  <c r="N2438" i="32"/>
  <c r="M2438" i="32"/>
  <c r="L2438" i="32"/>
  <c r="I2438" i="32"/>
  <c r="H2438" i="32"/>
  <c r="F2438" i="32"/>
  <c r="K2438" i="32" s="1"/>
  <c r="N2437" i="32"/>
  <c r="M2437" i="32"/>
  <c r="J2437" i="32"/>
  <c r="I2437" i="32"/>
  <c r="H2437" i="32"/>
  <c r="F2437" i="32"/>
  <c r="L2437" i="32" s="1"/>
  <c r="N2436" i="32"/>
  <c r="M2436" i="32"/>
  <c r="K2436" i="32"/>
  <c r="J2436" i="32"/>
  <c r="I2436" i="32"/>
  <c r="H2436" i="32"/>
  <c r="F2436" i="32"/>
  <c r="L2436" i="32" s="1"/>
  <c r="N2435" i="32"/>
  <c r="M2435" i="32"/>
  <c r="L2435" i="32"/>
  <c r="K2435" i="32"/>
  <c r="J2435" i="32"/>
  <c r="H2435" i="32"/>
  <c r="F2435" i="32"/>
  <c r="N2434" i="32"/>
  <c r="M2434" i="32"/>
  <c r="L2434" i="32"/>
  <c r="K2434" i="32"/>
  <c r="J2434" i="32"/>
  <c r="H2434" i="32"/>
  <c r="N2433" i="32"/>
  <c r="M2433" i="32"/>
  <c r="K2433" i="32"/>
  <c r="J2433" i="32"/>
  <c r="I2433" i="32"/>
  <c r="H2433" i="32"/>
  <c r="F2433" i="32"/>
  <c r="N2432" i="32"/>
  <c r="M2432" i="32"/>
  <c r="L2432" i="32"/>
  <c r="I2432" i="32"/>
  <c r="H2432" i="32"/>
  <c r="K2432" i="32"/>
  <c r="F2432" i="32"/>
  <c r="J1162" i="32" l="1"/>
  <c r="K1163" i="32"/>
  <c r="I1164" i="32"/>
  <c r="I1165" i="32"/>
  <c r="J2272" i="32"/>
  <c r="J1934" i="32"/>
  <c r="K2131" i="32"/>
  <c r="I2177" i="32"/>
  <c r="J1347" i="32"/>
  <c r="J1357" i="32"/>
  <c r="K1358" i="32"/>
  <c r="J1337" i="32"/>
  <c r="L1338" i="32"/>
  <c r="J1364" i="32"/>
  <c r="I1359" i="32"/>
  <c r="I1360" i="32"/>
  <c r="J1983" i="32"/>
  <c r="I2275" i="32"/>
  <c r="J2345" i="32"/>
  <c r="L2346" i="32"/>
  <c r="I2347" i="32"/>
  <c r="I2348" i="32"/>
  <c r="J1329" i="32"/>
  <c r="I1331" i="32"/>
  <c r="I1332" i="32"/>
  <c r="I2274" i="32"/>
  <c r="I1340" i="32"/>
  <c r="I1341" i="32"/>
  <c r="I1367" i="32"/>
  <c r="I1368" i="32"/>
  <c r="I1350" i="32"/>
  <c r="I1351" i="32"/>
  <c r="J1292" i="32"/>
  <c r="L1293" i="32"/>
  <c r="I1294" i="32"/>
  <c r="I1295" i="32"/>
  <c r="J1205" i="32"/>
  <c r="L1206" i="32"/>
  <c r="I1207" i="32"/>
  <c r="I1208" i="32"/>
  <c r="I1936" i="32"/>
  <c r="L1365" i="32"/>
  <c r="L1348" i="32"/>
  <c r="J1300" i="32"/>
  <c r="L1301" i="32"/>
  <c r="I1302" i="32"/>
  <c r="I1303" i="32"/>
  <c r="K1330" i="32"/>
  <c r="J2130" i="32"/>
  <c r="I2085" i="32"/>
  <c r="J2077" i="32"/>
  <c r="M2175" i="32"/>
  <c r="L2273" i="32"/>
  <c r="K2176" i="32"/>
  <c r="I2086" i="32"/>
  <c r="I2132" i="32"/>
  <c r="I2133" i="32"/>
  <c r="J2136" i="32"/>
  <c r="K2137" i="32"/>
  <c r="I2138" i="32"/>
  <c r="I2178" i="32"/>
  <c r="J2083" i="32"/>
  <c r="K2078" i="32"/>
  <c r="J1857" i="32"/>
  <c r="I2139" i="32"/>
  <c r="K1864" i="32"/>
  <c r="I2080" i="32"/>
  <c r="L1441" i="32"/>
  <c r="I2079" i="32"/>
  <c r="K2084" i="32"/>
  <c r="I1419" i="32"/>
  <c r="I1443" i="32"/>
  <c r="J1446" i="32"/>
  <c r="I1448" i="32"/>
  <c r="I1449" i="32"/>
  <c r="I1985" i="32"/>
  <c r="I1986" i="32"/>
  <c r="I1865" i="32"/>
  <c r="I1937" i="32"/>
  <c r="J1940" i="32"/>
  <c r="L1935" i="32"/>
  <c r="L1984" i="32"/>
  <c r="I1442" i="32"/>
  <c r="K1858" i="32"/>
  <c r="I1437" i="32"/>
  <c r="J1452" i="32"/>
  <c r="K1453" i="32"/>
  <c r="I1454" i="32"/>
  <c r="I1455" i="32"/>
  <c r="I1866" i="32"/>
  <c r="I1436" i="32"/>
  <c r="I1859" i="32"/>
  <c r="I1860" i="32"/>
  <c r="J1863" i="32"/>
  <c r="K1109" i="32"/>
  <c r="L1423" i="32"/>
  <c r="L1429" i="32"/>
  <c r="J1440" i="32"/>
  <c r="K1435" i="32"/>
  <c r="I1110" i="32"/>
  <c r="M1417" i="32"/>
  <c r="J1458" i="32"/>
  <c r="L1459" i="32"/>
  <c r="I1460" i="32"/>
  <c r="I1461" i="32"/>
  <c r="J1434" i="32"/>
  <c r="I1424" i="32"/>
  <c r="I1430" i="32"/>
  <c r="I1431" i="32"/>
  <c r="L1447" i="32"/>
  <c r="I1425" i="32"/>
  <c r="I1418" i="32"/>
  <c r="J1428" i="32"/>
  <c r="K1416" i="32"/>
  <c r="K1097" i="32"/>
  <c r="L1091" i="32"/>
  <c r="I1092" i="32"/>
  <c r="J1084" i="32"/>
  <c r="L715" i="32"/>
  <c r="L1011" i="32"/>
  <c r="L1017" i="32"/>
  <c r="J1108" i="32"/>
  <c r="J977" i="32"/>
  <c r="L1050" i="32"/>
  <c r="I1093" i="32"/>
  <c r="J1114" i="32"/>
  <c r="L1115" i="32"/>
  <c r="I1116" i="32"/>
  <c r="J1422" i="32"/>
  <c r="I1117" i="32"/>
  <c r="J1090" i="32"/>
  <c r="I1086" i="32"/>
  <c r="I1098" i="32"/>
  <c r="I1099" i="32"/>
  <c r="J1102" i="32"/>
  <c r="L1103" i="32"/>
  <c r="I1104" i="32"/>
  <c r="I1111" i="32"/>
  <c r="I980" i="32"/>
  <c r="I979" i="32"/>
  <c r="J1049" i="32"/>
  <c r="J1096" i="32"/>
  <c r="I1012" i="32"/>
  <c r="I1018" i="32"/>
  <c r="L1023" i="32"/>
  <c r="I1051" i="32"/>
  <c r="I1052" i="32"/>
  <c r="I1105" i="32"/>
  <c r="L512" i="32"/>
  <c r="J1022" i="32"/>
  <c r="I1024" i="32"/>
  <c r="I1025" i="32"/>
  <c r="I1087" i="32"/>
  <c r="K1085" i="32"/>
  <c r="I985" i="32"/>
  <c r="I44" i="32"/>
  <c r="I1019" i="32"/>
  <c r="J42" i="32"/>
  <c r="L709" i="32"/>
  <c r="J714" i="32"/>
  <c r="L978" i="32"/>
  <c r="J1016" i="32"/>
  <c r="I711" i="32"/>
  <c r="I986" i="32"/>
  <c r="I1013" i="32"/>
  <c r="L984" i="32"/>
  <c r="I710" i="32"/>
  <c r="J1010" i="32"/>
  <c r="J708" i="32"/>
  <c r="J1635" i="32"/>
  <c r="M1636" i="32"/>
  <c r="J1645" i="32"/>
  <c r="K1646" i="32"/>
  <c r="I1647" i="32"/>
  <c r="I1648" i="32"/>
  <c r="J1662" i="32"/>
  <c r="K1671" i="32"/>
  <c r="J1681" i="32"/>
  <c r="K1682" i="32"/>
  <c r="I1683" i="32"/>
  <c r="I1684" i="32"/>
  <c r="I513" i="32"/>
  <c r="I514" i="32"/>
  <c r="I716" i="32"/>
  <c r="I717" i="32"/>
  <c r="I45" i="32"/>
  <c r="J511" i="32"/>
  <c r="J1733" i="32"/>
  <c r="K1734" i="32"/>
  <c r="I1735" i="32"/>
  <c r="I1736" i="32"/>
  <c r="J58" i="32"/>
  <c r="L59" i="32"/>
  <c r="I60" i="32"/>
  <c r="I61" i="32"/>
  <c r="J447" i="32"/>
  <c r="L448" i="32"/>
  <c r="I449" i="32"/>
  <c r="I450" i="32"/>
  <c r="M2441" i="32"/>
  <c r="L2382" i="32"/>
  <c r="L43" i="32"/>
  <c r="I2394" i="32"/>
  <c r="L2452" i="32"/>
  <c r="K42" i="32"/>
  <c r="I2425" i="32"/>
  <c r="N2451" i="32"/>
  <c r="M2481" i="32"/>
  <c r="I2454" i="32"/>
  <c r="K2469" i="32"/>
  <c r="K2472" i="32"/>
  <c r="K2482" i="32"/>
  <c r="I2426" i="32"/>
  <c r="J2432" i="32"/>
  <c r="I2395" i="32"/>
  <c r="I2384" i="32"/>
  <c r="L2442" i="32"/>
  <c r="K1663" i="32"/>
  <c r="J1690" i="32"/>
  <c r="K1691" i="32"/>
  <c r="I1692" i="32"/>
  <c r="I1693" i="32"/>
  <c r="K2393" i="32"/>
  <c r="K2476" i="32"/>
  <c r="I1639" i="32"/>
  <c r="J1654" i="32"/>
  <c r="K1655" i="32"/>
  <c r="I1656" i="32"/>
  <c r="J1723" i="32"/>
  <c r="K1724" i="32"/>
  <c r="I1725" i="32"/>
  <c r="I1726" i="32"/>
  <c r="L2433" i="32"/>
  <c r="J2438" i="32"/>
  <c r="I2434" i="32"/>
  <c r="K2422" i="32"/>
  <c r="L2412" i="32"/>
  <c r="M2417" i="32"/>
  <c r="I2415" i="32"/>
  <c r="L2392" i="32"/>
  <c r="J2371" i="32"/>
  <c r="N2402" i="32"/>
  <c r="K2470" i="32"/>
  <c r="M2478" i="32"/>
  <c r="I1638" i="32"/>
  <c r="M1672" i="32"/>
  <c r="J2424" i="32"/>
  <c r="M2391" i="32"/>
  <c r="L2401" i="32"/>
  <c r="I2405" i="32"/>
  <c r="I2444" i="32"/>
  <c r="I2455" i="32"/>
  <c r="K2473" i="32"/>
  <c r="M2475" i="32"/>
  <c r="I1664" i="32"/>
  <c r="I1657" i="32"/>
  <c r="K2467" i="32"/>
  <c r="K2479" i="32"/>
  <c r="I1674" i="32"/>
  <c r="I1675" i="32"/>
  <c r="L2423" i="32"/>
  <c r="L2428" i="32"/>
  <c r="M2396" i="32"/>
  <c r="I2445" i="32"/>
  <c r="L2429" i="32"/>
  <c r="I2404" i="32"/>
  <c r="N2458" i="32"/>
  <c r="K2437" i="32"/>
  <c r="I2416" i="32"/>
  <c r="J2373" i="32"/>
  <c r="I2374" i="32"/>
  <c r="I2375" i="32"/>
  <c r="K2466" i="32"/>
  <c r="L2378" i="32"/>
  <c r="L2377" i="32"/>
  <c r="L2376" i="32"/>
  <c r="I2385" i="32"/>
  <c r="M2398" i="32"/>
  <c r="M2397" i="32"/>
  <c r="N2419" i="32"/>
  <c r="M2418" i="32"/>
  <c r="N2413" i="32"/>
  <c r="I2435" i="32"/>
  <c r="N2342" i="32"/>
  <c r="M2342" i="32"/>
  <c r="J2342" i="32"/>
  <c r="I2342" i="32"/>
  <c r="H2342" i="32"/>
  <c r="F2342" i="32"/>
  <c r="L2342" i="32" s="1"/>
  <c r="E2338" i="32"/>
  <c r="F2338" i="32" s="1"/>
  <c r="G2337" i="32"/>
  <c r="G2336" i="32"/>
  <c r="N2341" i="32"/>
  <c r="M2341" i="32"/>
  <c r="J2341" i="32"/>
  <c r="I2341" i="32"/>
  <c r="H2341" i="32"/>
  <c r="F2341" i="32"/>
  <c r="K2341" i="32" s="1"/>
  <c r="N2340" i="32"/>
  <c r="M2340" i="32"/>
  <c r="K2340" i="32"/>
  <c r="J2340" i="32"/>
  <c r="I2340" i="32"/>
  <c r="H2340" i="32"/>
  <c r="F2340" i="32"/>
  <c r="L2340" i="32" s="1"/>
  <c r="N2339" i="32"/>
  <c r="M2339" i="32"/>
  <c r="L2339" i="32"/>
  <c r="K2339" i="32"/>
  <c r="J2339" i="32"/>
  <c r="H2339" i="32"/>
  <c r="G2339" i="32"/>
  <c r="F2339" i="32"/>
  <c r="N2338" i="32"/>
  <c r="M2338" i="32"/>
  <c r="L2338" i="32"/>
  <c r="K2338" i="32"/>
  <c r="J2338" i="32"/>
  <c r="H2338" i="32"/>
  <c r="G2338" i="32"/>
  <c r="N2337" i="32"/>
  <c r="M2337" i="32"/>
  <c r="K2337" i="32"/>
  <c r="J2337" i="32"/>
  <c r="I2337" i="32"/>
  <c r="H2337" i="32"/>
  <c r="F2337" i="32"/>
  <c r="N2336" i="32"/>
  <c r="M2336" i="32"/>
  <c r="L2336" i="32"/>
  <c r="I2336" i="32"/>
  <c r="H2336" i="32"/>
  <c r="F2336" i="32"/>
  <c r="J2336" i="32" s="1"/>
  <c r="G2331" i="32"/>
  <c r="G2330" i="32"/>
  <c r="E2330" i="32"/>
  <c r="F2330" i="32" s="1"/>
  <c r="G2329" i="32"/>
  <c r="G2328" i="32"/>
  <c r="N2333" i="32"/>
  <c r="M2333" i="32"/>
  <c r="L2333" i="32"/>
  <c r="J2333" i="32"/>
  <c r="I2333" i="32"/>
  <c r="H2333" i="32"/>
  <c r="F2333" i="32"/>
  <c r="K2333" i="32" s="1"/>
  <c r="N2332" i="32"/>
  <c r="M2332" i="32"/>
  <c r="K2332" i="32"/>
  <c r="J2332" i="32"/>
  <c r="I2332" i="32"/>
  <c r="H2332" i="32"/>
  <c r="F2332" i="32"/>
  <c r="L2332" i="32" s="1"/>
  <c r="N2331" i="32"/>
  <c r="M2331" i="32"/>
  <c r="L2331" i="32"/>
  <c r="K2331" i="32"/>
  <c r="J2331" i="32"/>
  <c r="H2331" i="32"/>
  <c r="F2331" i="32"/>
  <c r="N2330" i="32"/>
  <c r="M2330" i="32"/>
  <c r="L2330" i="32"/>
  <c r="K2330" i="32"/>
  <c r="J2330" i="32"/>
  <c r="H2330" i="32"/>
  <c r="N2329" i="32"/>
  <c r="M2329" i="32"/>
  <c r="K2329" i="32"/>
  <c r="J2329" i="32"/>
  <c r="I2329" i="32"/>
  <c r="H2329" i="32"/>
  <c r="F2329" i="32"/>
  <c r="N2328" i="32"/>
  <c r="M2328" i="32"/>
  <c r="K2328" i="32"/>
  <c r="I2328" i="32"/>
  <c r="H2328" i="32"/>
  <c r="L2328" i="32"/>
  <c r="F2328" i="32"/>
  <c r="N2325" i="32"/>
  <c r="M2325" i="32"/>
  <c r="L2325" i="32"/>
  <c r="J2325" i="32"/>
  <c r="I2325" i="32"/>
  <c r="H2325" i="32"/>
  <c r="F2325" i="32"/>
  <c r="K2325" i="32" s="1"/>
  <c r="N2324" i="32"/>
  <c r="M2324" i="32"/>
  <c r="K2324" i="32"/>
  <c r="J2324" i="32"/>
  <c r="I2324" i="32"/>
  <c r="H2324" i="32"/>
  <c r="F2324" i="32"/>
  <c r="L2324" i="32" s="1"/>
  <c r="N2323" i="32"/>
  <c r="M2323" i="32"/>
  <c r="K2323" i="32"/>
  <c r="J2323" i="32"/>
  <c r="I2323" i="32"/>
  <c r="H2323" i="32"/>
  <c r="F2323" i="32"/>
  <c r="L2323" i="32" s="1"/>
  <c r="N2322" i="32"/>
  <c r="M2322" i="32"/>
  <c r="L2322" i="32"/>
  <c r="K2322" i="32"/>
  <c r="J2322" i="32"/>
  <c r="H2322" i="32"/>
  <c r="G2322" i="32"/>
  <c r="F2322" i="32"/>
  <c r="N2321" i="32"/>
  <c r="M2321" i="32"/>
  <c r="L2321" i="32"/>
  <c r="K2321" i="32"/>
  <c r="J2321" i="32"/>
  <c r="H2321" i="32"/>
  <c r="G2321" i="32"/>
  <c r="E2321" i="32"/>
  <c r="F2321" i="32" s="1"/>
  <c r="N2320" i="32"/>
  <c r="M2320" i="32"/>
  <c r="L2320" i="32"/>
  <c r="J2320" i="32"/>
  <c r="I2320" i="32"/>
  <c r="H2320" i="32"/>
  <c r="F2320" i="32"/>
  <c r="K2320" i="32" s="1"/>
  <c r="N2319" i="32"/>
  <c r="M2319" i="32"/>
  <c r="K2319" i="32"/>
  <c r="J2319" i="32"/>
  <c r="I2319" i="32"/>
  <c r="H2319" i="32"/>
  <c r="G2319" i="32"/>
  <c r="F2319" i="32"/>
  <c r="N2318" i="32"/>
  <c r="M2318" i="32"/>
  <c r="J2318" i="32"/>
  <c r="I2318" i="32"/>
  <c r="H2318" i="32"/>
  <c r="G2318" i="32"/>
  <c r="K2318" i="32" s="1"/>
  <c r="F2318" i="32"/>
  <c r="E2311" i="32"/>
  <c r="F2311" i="32" s="1"/>
  <c r="G2312" i="32"/>
  <c r="G2311" i="32"/>
  <c r="G2309" i="32"/>
  <c r="G2308" i="32"/>
  <c r="N2315" i="32"/>
  <c r="M2315" i="32"/>
  <c r="L2315" i="32"/>
  <c r="J2315" i="32"/>
  <c r="I2315" i="32"/>
  <c r="H2315" i="32"/>
  <c r="F2315" i="32"/>
  <c r="K2315" i="32" s="1"/>
  <c r="N2314" i="32"/>
  <c r="M2314" i="32"/>
  <c r="K2314" i="32"/>
  <c r="J2314" i="32"/>
  <c r="I2314" i="32"/>
  <c r="H2314" i="32"/>
  <c r="F2314" i="32"/>
  <c r="L2314" i="32" s="1"/>
  <c r="N2313" i="32"/>
  <c r="M2313" i="32"/>
  <c r="K2313" i="32"/>
  <c r="J2313" i="32"/>
  <c r="I2313" i="32"/>
  <c r="H2313" i="32"/>
  <c r="F2313" i="32"/>
  <c r="L2313" i="32" s="1"/>
  <c r="N2312" i="32"/>
  <c r="M2312" i="32"/>
  <c r="L2312" i="32"/>
  <c r="K2312" i="32"/>
  <c r="J2312" i="32"/>
  <c r="H2312" i="32"/>
  <c r="F2312" i="32"/>
  <c r="N2311" i="32"/>
  <c r="M2311" i="32"/>
  <c r="L2311" i="32"/>
  <c r="K2311" i="32"/>
  <c r="J2311" i="32"/>
  <c r="H2311" i="32"/>
  <c r="N2310" i="32"/>
  <c r="M2310" i="32"/>
  <c r="L2310" i="32"/>
  <c r="K2310" i="32"/>
  <c r="I2310" i="32"/>
  <c r="H2310" i="32"/>
  <c r="F2310" i="32"/>
  <c r="J2310" i="32" s="1"/>
  <c r="N2309" i="32"/>
  <c r="M2309" i="32"/>
  <c r="J2309" i="32"/>
  <c r="I2309" i="32"/>
  <c r="H2309" i="32"/>
  <c r="F2309" i="32"/>
  <c r="K2309" i="32" s="1"/>
  <c r="N2308" i="32"/>
  <c r="M2308" i="32"/>
  <c r="L2308" i="32"/>
  <c r="I2308" i="32"/>
  <c r="H2308" i="32"/>
  <c r="F2308" i="32"/>
  <c r="J2308" i="32" s="1"/>
  <c r="E2301" i="32"/>
  <c r="G2302" i="32"/>
  <c r="G2301" i="32"/>
  <c r="G2289" i="32"/>
  <c r="G2299" i="32"/>
  <c r="G2298" i="32"/>
  <c r="N2305" i="32"/>
  <c r="M2305" i="32"/>
  <c r="L2305" i="32"/>
  <c r="J2305" i="32"/>
  <c r="I2305" i="32"/>
  <c r="H2305" i="32"/>
  <c r="F2305" i="32"/>
  <c r="K2305" i="32" s="1"/>
  <c r="N2304" i="32"/>
  <c r="M2304" i="32"/>
  <c r="K2304" i="32"/>
  <c r="J2304" i="32"/>
  <c r="I2304" i="32"/>
  <c r="H2304" i="32"/>
  <c r="F2304" i="32"/>
  <c r="L2304" i="32" s="1"/>
  <c r="N2303" i="32"/>
  <c r="M2303" i="32"/>
  <c r="K2303" i="32"/>
  <c r="J2303" i="32"/>
  <c r="I2303" i="32"/>
  <c r="H2303" i="32"/>
  <c r="F2303" i="32"/>
  <c r="L2303" i="32" s="1"/>
  <c r="N2302" i="32"/>
  <c r="M2302" i="32"/>
  <c r="L2302" i="32"/>
  <c r="K2302" i="32"/>
  <c r="J2302" i="32"/>
  <c r="H2302" i="32"/>
  <c r="F2302" i="32"/>
  <c r="I2302" i="32" s="1"/>
  <c r="N2301" i="32"/>
  <c r="M2301" i="32"/>
  <c r="L2301" i="32"/>
  <c r="K2301" i="32"/>
  <c r="J2301" i="32"/>
  <c r="H2301" i="32"/>
  <c r="F2301" i="32"/>
  <c r="N2300" i="32"/>
  <c r="M2300" i="32"/>
  <c r="L2300" i="32"/>
  <c r="K2300" i="32"/>
  <c r="I2300" i="32"/>
  <c r="H2300" i="32"/>
  <c r="F2300" i="32"/>
  <c r="J2300" i="32" s="1"/>
  <c r="N2299" i="32"/>
  <c r="M2299" i="32"/>
  <c r="J2299" i="32"/>
  <c r="I2299" i="32"/>
  <c r="H2299" i="32"/>
  <c r="F2299" i="32"/>
  <c r="L2299" i="32" s="1"/>
  <c r="N2298" i="32"/>
  <c r="M2298" i="32"/>
  <c r="L2298" i="32"/>
  <c r="K2298" i="32"/>
  <c r="I2298" i="32"/>
  <c r="H2298" i="32"/>
  <c r="F2298" i="32"/>
  <c r="E2291" i="32"/>
  <c r="F2291" i="32" s="1"/>
  <c r="G2288" i="32"/>
  <c r="N2295" i="32"/>
  <c r="M2295" i="32"/>
  <c r="L2295" i="32"/>
  <c r="J2295" i="32"/>
  <c r="I2295" i="32"/>
  <c r="H2295" i="32"/>
  <c r="F2295" i="32"/>
  <c r="K2295" i="32" s="1"/>
  <c r="N2294" i="32"/>
  <c r="M2294" i="32"/>
  <c r="K2294" i="32"/>
  <c r="J2294" i="32"/>
  <c r="I2294" i="32"/>
  <c r="H2294" i="32"/>
  <c r="F2294" i="32"/>
  <c r="L2294" i="32" s="1"/>
  <c r="N2293" i="32"/>
  <c r="M2293" i="32"/>
  <c r="K2293" i="32"/>
  <c r="J2293" i="32"/>
  <c r="I2293" i="32"/>
  <c r="H2293" i="32"/>
  <c r="F2293" i="32"/>
  <c r="L2293" i="32" s="1"/>
  <c r="N2292" i="32"/>
  <c r="M2292" i="32"/>
  <c r="L2292" i="32"/>
  <c r="K2292" i="32"/>
  <c r="J2292" i="32"/>
  <c r="H2292" i="32"/>
  <c r="G2292" i="32"/>
  <c r="F2292" i="32"/>
  <c r="N2291" i="32"/>
  <c r="M2291" i="32"/>
  <c r="L2291" i="32"/>
  <c r="K2291" i="32"/>
  <c r="J2291" i="32"/>
  <c r="H2291" i="32"/>
  <c r="G2291" i="32"/>
  <c r="N2290" i="32"/>
  <c r="M2290" i="32"/>
  <c r="L2290" i="32"/>
  <c r="K2290" i="32"/>
  <c r="I2290" i="32"/>
  <c r="H2290" i="32"/>
  <c r="F2290" i="32"/>
  <c r="J2290" i="32" s="1"/>
  <c r="N2289" i="32"/>
  <c r="M2289" i="32"/>
  <c r="J2289" i="32"/>
  <c r="I2289" i="32"/>
  <c r="H2289" i="32"/>
  <c r="F2289" i="32"/>
  <c r="K2289" i="32" s="1"/>
  <c r="N2288" i="32"/>
  <c r="M2288" i="32"/>
  <c r="L2288" i="32"/>
  <c r="K2288" i="32"/>
  <c r="I2288" i="32"/>
  <c r="H2288" i="32"/>
  <c r="F2288" i="32"/>
  <c r="E2281" i="32"/>
  <c r="F2281" i="32" s="1"/>
  <c r="G2282" i="32"/>
  <c r="G2281" i="32"/>
  <c r="G2279" i="32"/>
  <c r="G2278" i="32"/>
  <c r="N2285" i="32"/>
  <c r="M2285" i="32"/>
  <c r="L2285" i="32"/>
  <c r="J2285" i="32"/>
  <c r="I2285" i="32"/>
  <c r="H2285" i="32"/>
  <c r="F2285" i="32"/>
  <c r="K2285" i="32" s="1"/>
  <c r="N2284" i="32"/>
  <c r="M2284" i="32"/>
  <c r="K2284" i="32"/>
  <c r="J2284" i="32"/>
  <c r="I2284" i="32"/>
  <c r="H2284" i="32"/>
  <c r="F2284" i="32"/>
  <c r="L2284" i="32" s="1"/>
  <c r="N2283" i="32"/>
  <c r="M2283" i="32"/>
  <c r="K2283" i="32"/>
  <c r="J2283" i="32"/>
  <c r="I2283" i="32"/>
  <c r="H2283" i="32"/>
  <c r="F2283" i="32"/>
  <c r="L2283" i="32" s="1"/>
  <c r="N2282" i="32"/>
  <c r="M2282" i="32"/>
  <c r="L2282" i="32"/>
  <c r="K2282" i="32"/>
  <c r="J2282" i="32"/>
  <c r="H2282" i="32"/>
  <c r="F2282" i="32"/>
  <c r="N2281" i="32"/>
  <c r="M2281" i="32"/>
  <c r="L2281" i="32"/>
  <c r="K2281" i="32"/>
  <c r="J2281" i="32"/>
  <c r="H2281" i="32"/>
  <c r="N2280" i="32"/>
  <c r="M2280" i="32"/>
  <c r="L2280" i="32"/>
  <c r="K2280" i="32"/>
  <c r="I2280" i="32"/>
  <c r="H2280" i="32"/>
  <c r="F2280" i="32"/>
  <c r="J2280" i="32" s="1"/>
  <c r="N2279" i="32"/>
  <c r="M2279" i="32"/>
  <c r="L2279" i="32"/>
  <c r="J2279" i="32"/>
  <c r="I2279" i="32"/>
  <c r="H2279" i="32"/>
  <c r="F2279" i="32"/>
  <c r="N2278" i="32"/>
  <c r="M2278" i="32"/>
  <c r="K2278" i="32"/>
  <c r="I2278" i="32"/>
  <c r="H2278" i="32"/>
  <c r="F2278" i="32"/>
  <c r="E2255" i="32"/>
  <c r="F2255" i="32" s="1"/>
  <c r="G2256" i="32"/>
  <c r="G2255" i="32"/>
  <c r="G2253" i="32"/>
  <c r="G2252" i="32"/>
  <c r="N2269" i="32"/>
  <c r="M2269" i="32"/>
  <c r="J2269" i="32"/>
  <c r="I2269" i="32"/>
  <c r="H2269" i="32"/>
  <c r="F2269" i="32"/>
  <c r="L2269" i="32" s="1"/>
  <c r="N2268" i="32"/>
  <c r="M2268" i="32"/>
  <c r="K2268" i="32"/>
  <c r="J2268" i="32"/>
  <c r="I2268" i="32"/>
  <c r="H2268" i="32"/>
  <c r="F2268" i="32"/>
  <c r="L2268" i="32" s="1"/>
  <c r="N2267" i="32"/>
  <c r="M2267" i="32"/>
  <c r="K2267" i="32"/>
  <c r="J2267" i="32"/>
  <c r="I2267" i="32"/>
  <c r="H2267" i="32"/>
  <c r="F2267" i="32"/>
  <c r="L2267" i="32" s="1"/>
  <c r="N2266" i="32"/>
  <c r="M2266" i="32"/>
  <c r="L2266" i="32"/>
  <c r="K2266" i="32"/>
  <c r="J2266" i="32"/>
  <c r="H2266" i="32"/>
  <c r="G2266" i="32"/>
  <c r="F2266" i="32"/>
  <c r="N2265" i="32"/>
  <c r="M2265" i="32"/>
  <c r="L2265" i="32"/>
  <c r="K2265" i="32"/>
  <c r="J2265" i="32"/>
  <c r="H2265" i="32"/>
  <c r="G2265" i="32"/>
  <c r="E2265" i="32"/>
  <c r="F2265" i="32" s="1"/>
  <c r="N2264" i="32"/>
  <c r="M2264" i="32"/>
  <c r="L2264" i="32"/>
  <c r="K2264" i="32"/>
  <c r="I2264" i="32"/>
  <c r="H2264" i="32"/>
  <c r="F2264" i="32"/>
  <c r="J2264" i="32" s="1"/>
  <c r="N2263" i="32"/>
  <c r="M2263" i="32"/>
  <c r="L2263" i="32"/>
  <c r="J2263" i="32"/>
  <c r="I2263" i="32"/>
  <c r="H2263" i="32"/>
  <c r="G2263" i="32"/>
  <c r="F2263" i="32"/>
  <c r="N2262" i="32"/>
  <c r="M2262" i="32"/>
  <c r="K2262" i="32"/>
  <c r="J2262" i="32"/>
  <c r="I2262" i="32"/>
  <c r="H2262" i="32"/>
  <c r="G2262" i="32"/>
  <c r="F2262" i="32"/>
  <c r="N2259" i="32"/>
  <c r="M2259" i="32"/>
  <c r="J2259" i="32"/>
  <c r="I2259" i="32"/>
  <c r="H2259" i="32"/>
  <c r="F2259" i="32"/>
  <c r="L2259" i="32" s="1"/>
  <c r="N2258" i="32"/>
  <c r="M2258" i="32"/>
  <c r="K2258" i="32"/>
  <c r="J2258" i="32"/>
  <c r="I2258" i="32"/>
  <c r="H2258" i="32"/>
  <c r="F2258" i="32"/>
  <c r="L2258" i="32" s="1"/>
  <c r="N2257" i="32"/>
  <c r="M2257" i="32"/>
  <c r="K2257" i="32"/>
  <c r="J2257" i="32"/>
  <c r="I2257" i="32"/>
  <c r="H2257" i="32"/>
  <c r="F2257" i="32"/>
  <c r="L2257" i="32" s="1"/>
  <c r="N2256" i="32"/>
  <c r="M2256" i="32"/>
  <c r="L2256" i="32"/>
  <c r="K2256" i="32"/>
  <c r="J2256" i="32"/>
  <c r="H2256" i="32"/>
  <c r="F2256" i="32"/>
  <c r="N2255" i="32"/>
  <c r="M2255" i="32"/>
  <c r="L2255" i="32"/>
  <c r="K2255" i="32"/>
  <c r="J2255" i="32"/>
  <c r="H2255" i="32"/>
  <c r="N2254" i="32"/>
  <c r="M2254" i="32"/>
  <c r="L2254" i="32"/>
  <c r="K2254" i="32"/>
  <c r="I2254" i="32"/>
  <c r="H2254" i="32"/>
  <c r="F2254" i="32"/>
  <c r="J2254" i="32" s="1"/>
  <c r="N2253" i="32"/>
  <c r="M2253" i="32"/>
  <c r="L2253" i="32"/>
  <c r="J2253" i="32"/>
  <c r="I2253" i="32"/>
  <c r="H2253" i="32"/>
  <c r="F2253" i="32"/>
  <c r="N2252" i="32"/>
  <c r="M2252" i="32"/>
  <c r="K2252" i="32"/>
  <c r="I2252" i="32"/>
  <c r="H2252" i="32"/>
  <c r="F2252" i="32"/>
  <c r="L2252" i="32" s="1"/>
  <c r="E2246" i="32"/>
  <c r="G2247" i="32"/>
  <c r="G2246" i="32"/>
  <c r="G2245" i="32"/>
  <c r="G2244" i="32"/>
  <c r="N2249" i="32"/>
  <c r="M2249" i="32"/>
  <c r="K2249" i="32"/>
  <c r="J2249" i="32"/>
  <c r="I2249" i="32"/>
  <c r="H2249" i="32"/>
  <c r="F2249" i="32"/>
  <c r="L2249" i="32" s="1"/>
  <c r="N2248" i="32"/>
  <c r="M2248" i="32"/>
  <c r="K2248" i="32"/>
  <c r="J2248" i="32"/>
  <c r="I2248" i="32"/>
  <c r="H2248" i="32"/>
  <c r="F2248" i="32"/>
  <c r="L2248" i="32" s="1"/>
  <c r="N2247" i="32"/>
  <c r="M2247" i="32"/>
  <c r="L2247" i="32"/>
  <c r="K2247" i="32"/>
  <c r="J2247" i="32"/>
  <c r="H2247" i="32"/>
  <c r="F2247" i="32"/>
  <c r="I2247" i="32" s="1"/>
  <c r="N2246" i="32"/>
  <c r="M2246" i="32"/>
  <c r="L2246" i="32"/>
  <c r="K2246" i="32"/>
  <c r="J2246" i="32"/>
  <c r="H2246" i="32"/>
  <c r="F2246" i="32"/>
  <c r="N2245" i="32"/>
  <c r="M2245" i="32"/>
  <c r="J2245" i="32"/>
  <c r="I2245" i="32"/>
  <c r="H2245" i="32"/>
  <c r="F2245" i="32"/>
  <c r="L2245" i="32" s="1"/>
  <c r="N2244" i="32"/>
  <c r="M2244" i="32"/>
  <c r="L2244" i="32"/>
  <c r="K2244" i="32"/>
  <c r="I2244" i="32"/>
  <c r="H2244" i="32"/>
  <c r="F2244" i="32"/>
  <c r="E2238" i="32"/>
  <c r="G2239" i="32"/>
  <c r="G2238" i="32"/>
  <c r="G2236" i="32"/>
  <c r="G2237" i="32"/>
  <c r="N2241" i="32"/>
  <c r="M2241" i="32"/>
  <c r="K2241" i="32"/>
  <c r="J2241" i="32"/>
  <c r="I2241" i="32"/>
  <c r="H2241" i="32"/>
  <c r="F2241" i="32"/>
  <c r="L2241" i="32" s="1"/>
  <c r="N2240" i="32"/>
  <c r="M2240" i="32"/>
  <c r="K2240" i="32"/>
  <c r="J2240" i="32"/>
  <c r="I2240" i="32"/>
  <c r="H2240" i="32"/>
  <c r="F2240" i="32"/>
  <c r="L2240" i="32" s="1"/>
  <c r="N2239" i="32"/>
  <c r="M2239" i="32"/>
  <c r="L2239" i="32"/>
  <c r="K2239" i="32"/>
  <c r="J2239" i="32"/>
  <c r="H2239" i="32"/>
  <c r="F2239" i="32"/>
  <c r="I2239" i="32" s="1"/>
  <c r="N2238" i="32"/>
  <c r="M2238" i="32"/>
  <c r="L2238" i="32"/>
  <c r="K2238" i="32"/>
  <c r="J2238" i="32"/>
  <c r="H2238" i="32"/>
  <c r="F2238" i="32"/>
  <c r="N2237" i="32"/>
  <c r="M2237" i="32"/>
  <c r="J2237" i="32"/>
  <c r="I2237" i="32"/>
  <c r="H2237" i="32"/>
  <c r="F2237" i="32"/>
  <c r="K2237" i="32" s="1"/>
  <c r="N2236" i="32"/>
  <c r="M2236" i="32"/>
  <c r="L2236" i="32"/>
  <c r="K2236" i="32"/>
  <c r="I2236" i="32"/>
  <c r="H2236" i="32"/>
  <c r="F2236" i="32"/>
  <c r="E2229" i="32"/>
  <c r="F2229" i="32" s="1"/>
  <c r="G2230" i="32"/>
  <c r="G2229" i="32"/>
  <c r="G2227" i="32"/>
  <c r="G2226" i="32"/>
  <c r="N2233" i="32"/>
  <c r="M2233" i="32"/>
  <c r="K2233" i="32"/>
  <c r="J2233" i="32"/>
  <c r="I2233" i="32"/>
  <c r="H2233" i="32"/>
  <c r="F2233" i="32"/>
  <c r="L2233" i="32" s="1"/>
  <c r="N2232" i="32"/>
  <c r="M2232" i="32"/>
  <c r="K2232" i="32"/>
  <c r="J2232" i="32"/>
  <c r="I2232" i="32"/>
  <c r="H2232" i="32"/>
  <c r="F2232" i="32"/>
  <c r="L2232" i="32" s="1"/>
  <c r="N2231" i="32"/>
  <c r="M2231" i="32"/>
  <c r="K2231" i="32"/>
  <c r="J2231" i="32"/>
  <c r="I2231" i="32"/>
  <c r="H2231" i="32"/>
  <c r="F2231" i="32"/>
  <c r="L2231" i="32" s="1"/>
  <c r="N2230" i="32"/>
  <c r="M2230" i="32"/>
  <c r="L2230" i="32"/>
  <c r="K2230" i="32"/>
  <c r="J2230" i="32"/>
  <c r="H2230" i="32"/>
  <c r="F2230" i="32"/>
  <c r="N2229" i="32"/>
  <c r="M2229" i="32"/>
  <c r="L2229" i="32"/>
  <c r="K2229" i="32"/>
  <c r="J2229" i="32"/>
  <c r="H2229" i="32"/>
  <c r="N2228" i="32"/>
  <c r="M2228" i="32"/>
  <c r="L2228" i="32"/>
  <c r="K2228" i="32"/>
  <c r="I2228" i="32"/>
  <c r="H2228" i="32"/>
  <c r="F2228" i="32"/>
  <c r="J2228" i="32" s="1"/>
  <c r="N2227" i="32"/>
  <c r="M2227" i="32"/>
  <c r="L2227" i="32"/>
  <c r="J2227" i="32"/>
  <c r="I2227" i="32"/>
  <c r="H2227" i="32"/>
  <c r="F2227" i="32"/>
  <c r="N2226" i="32"/>
  <c r="M2226" i="32"/>
  <c r="K2226" i="32"/>
  <c r="I2226" i="32"/>
  <c r="H2226" i="32"/>
  <c r="F2226" i="32"/>
  <c r="J2226" i="32" s="1"/>
  <c r="N2223" i="32"/>
  <c r="M2223" i="32"/>
  <c r="L2223" i="32"/>
  <c r="J2223" i="32"/>
  <c r="I2223" i="32"/>
  <c r="H2223" i="32"/>
  <c r="F2223" i="32"/>
  <c r="K2223" i="32" s="1"/>
  <c r="E2219" i="32"/>
  <c r="F2219" i="32" s="1"/>
  <c r="G2220" i="32"/>
  <c r="G2219" i="32"/>
  <c r="G2217" i="32"/>
  <c r="G2216" i="32"/>
  <c r="N2213" i="32"/>
  <c r="M2213" i="32"/>
  <c r="L2213" i="32"/>
  <c r="I2213" i="32"/>
  <c r="H2213" i="32"/>
  <c r="F2213" i="32"/>
  <c r="J2213" i="32" s="1"/>
  <c r="E2209" i="32"/>
  <c r="F2209" i="32" s="1"/>
  <c r="G2207" i="32"/>
  <c r="G2206" i="32"/>
  <c r="N2222" i="32"/>
  <c r="M2222" i="32"/>
  <c r="L2222" i="32"/>
  <c r="J2222" i="32"/>
  <c r="I2222" i="32"/>
  <c r="H2222" i="32"/>
  <c r="F2222" i="32"/>
  <c r="K2222" i="32" s="1"/>
  <c r="N2221" i="32"/>
  <c r="M2221" i="32"/>
  <c r="K2221" i="32"/>
  <c r="J2221" i="32"/>
  <c r="I2221" i="32"/>
  <c r="H2221" i="32"/>
  <c r="F2221" i="32"/>
  <c r="L2221" i="32" s="1"/>
  <c r="N2220" i="32"/>
  <c r="M2220" i="32"/>
  <c r="L2220" i="32"/>
  <c r="K2220" i="32"/>
  <c r="J2220" i="32"/>
  <c r="H2220" i="32"/>
  <c r="F2220" i="32"/>
  <c r="N2219" i="32"/>
  <c r="M2219" i="32"/>
  <c r="L2219" i="32"/>
  <c r="K2219" i="32"/>
  <c r="J2219" i="32"/>
  <c r="H2219" i="32"/>
  <c r="N2218" i="32"/>
  <c r="M2218" i="32"/>
  <c r="L2218" i="32"/>
  <c r="K2218" i="32"/>
  <c r="I2218" i="32"/>
  <c r="H2218" i="32"/>
  <c r="F2218" i="32"/>
  <c r="J2218" i="32" s="1"/>
  <c r="N2217" i="32"/>
  <c r="M2217" i="32"/>
  <c r="L2217" i="32"/>
  <c r="J2217" i="32"/>
  <c r="I2217" i="32"/>
  <c r="H2217" i="32"/>
  <c r="F2217" i="32"/>
  <c r="N2216" i="32"/>
  <c r="M2216" i="32"/>
  <c r="L2216" i="32"/>
  <c r="K2216" i="32"/>
  <c r="I2216" i="32"/>
  <c r="H2216" i="32"/>
  <c r="F2216" i="32"/>
  <c r="N2212" i="32"/>
  <c r="M2212" i="32"/>
  <c r="L2212" i="32"/>
  <c r="I2212" i="32"/>
  <c r="H2212" i="32"/>
  <c r="F2212" i="32"/>
  <c r="K2212" i="32" s="1"/>
  <c r="N2211" i="32"/>
  <c r="M2211" i="32"/>
  <c r="K2211" i="32"/>
  <c r="J2211" i="32"/>
  <c r="I2211" i="32"/>
  <c r="H2211" i="32"/>
  <c r="F2211" i="32"/>
  <c r="L2211" i="32" s="1"/>
  <c r="N2210" i="32"/>
  <c r="M2210" i="32"/>
  <c r="L2210" i="32"/>
  <c r="K2210" i="32"/>
  <c r="J2210" i="32"/>
  <c r="H2210" i="32"/>
  <c r="G2210" i="32"/>
  <c r="F2210" i="32"/>
  <c r="N2209" i="32"/>
  <c r="M2209" i="32"/>
  <c r="L2209" i="32"/>
  <c r="K2209" i="32"/>
  <c r="J2209" i="32"/>
  <c r="H2209" i="32"/>
  <c r="G2209" i="32"/>
  <c r="N2208" i="32"/>
  <c r="M2208" i="32"/>
  <c r="L2208" i="32"/>
  <c r="K2208" i="32"/>
  <c r="I2208" i="32"/>
  <c r="H2208" i="32"/>
  <c r="F2208" i="32"/>
  <c r="J2208" i="32" s="1"/>
  <c r="N2207" i="32"/>
  <c r="M2207" i="32"/>
  <c r="L2207" i="32"/>
  <c r="J2207" i="32"/>
  <c r="I2207" i="32"/>
  <c r="H2207" i="32"/>
  <c r="F2207" i="32"/>
  <c r="N2206" i="32"/>
  <c r="M2206" i="32"/>
  <c r="L2206" i="32"/>
  <c r="K2206" i="32"/>
  <c r="I2206" i="32"/>
  <c r="H2206" i="32"/>
  <c r="F2206" i="32"/>
  <c r="N2199" i="32"/>
  <c r="M2199" i="32"/>
  <c r="L2199" i="32"/>
  <c r="K2199" i="32"/>
  <c r="I2199" i="32"/>
  <c r="H2199" i="32"/>
  <c r="F2199" i="32"/>
  <c r="J2199" i="32" s="1"/>
  <c r="E2200" i="32"/>
  <c r="F2200" i="32" s="1"/>
  <c r="G2201" i="32"/>
  <c r="G2200" i="32"/>
  <c r="G2198" i="32"/>
  <c r="G2197" i="32"/>
  <c r="N2203" i="32"/>
  <c r="M2203" i="32"/>
  <c r="J2203" i="32"/>
  <c r="I2203" i="32"/>
  <c r="H2203" i="32"/>
  <c r="F2203" i="32"/>
  <c r="L2203" i="32" s="1"/>
  <c r="N2202" i="32"/>
  <c r="M2202" i="32"/>
  <c r="K2202" i="32"/>
  <c r="J2202" i="32"/>
  <c r="I2202" i="32"/>
  <c r="H2202" i="32"/>
  <c r="F2202" i="32"/>
  <c r="L2202" i="32" s="1"/>
  <c r="N2201" i="32"/>
  <c r="M2201" i="32"/>
  <c r="L2201" i="32"/>
  <c r="K2201" i="32"/>
  <c r="J2201" i="32"/>
  <c r="H2201" i="32"/>
  <c r="F2201" i="32"/>
  <c r="N2200" i="32"/>
  <c r="M2200" i="32"/>
  <c r="L2200" i="32"/>
  <c r="K2200" i="32"/>
  <c r="J2200" i="32"/>
  <c r="H2200" i="32"/>
  <c r="N2198" i="32"/>
  <c r="M2198" i="32"/>
  <c r="L2198" i="32"/>
  <c r="J2198" i="32"/>
  <c r="I2198" i="32"/>
  <c r="H2198" i="32"/>
  <c r="F2198" i="32"/>
  <c r="N2197" i="32"/>
  <c r="M2197" i="32"/>
  <c r="L2197" i="32"/>
  <c r="K2197" i="32"/>
  <c r="I2197" i="32"/>
  <c r="H2197" i="32"/>
  <c r="F2197" i="32"/>
  <c r="E2191" i="32"/>
  <c r="F2191" i="32" s="1"/>
  <c r="G2192" i="32"/>
  <c r="G2191" i="32"/>
  <c r="G2190" i="32"/>
  <c r="G2189" i="32"/>
  <c r="N2194" i="32"/>
  <c r="M2194" i="32"/>
  <c r="K2194" i="32"/>
  <c r="J2194" i="32"/>
  <c r="I2194" i="32"/>
  <c r="H2194" i="32"/>
  <c r="F2194" i="32"/>
  <c r="L2194" i="32" s="1"/>
  <c r="N2193" i="32"/>
  <c r="M2193" i="32"/>
  <c r="K2193" i="32"/>
  <c r="J2193" i="32"/>
  <c r="I2193" i="32"/>
  <c r="H2193" i="32"/>
  <c r="F2193" i="32"/>
  <c r="L2193" i="32" s="1"/>
  <c r="N2192" i="32"/>
  <c r="M2192" i="32"/>
  <c r="L2192" i="32"/>
  <c r="K2192" i="32"/>
  <c r="J2192" i="32"/>
  <c r="H2192" i="32"/>
  <c r="F2192" i="32"/>
  <c r="I2192" i="32" s="1"/>
  <c r="N2191" i="32"/>
  <c r="M2191" i="32"/>
  <c r="L2191" i="32"/>
  <c r="K2191" i="32"/>
  <c r="J2191" i="32"/>
  <c r="H2191" i="32"/>
  <c r="N2190" i="32"/>
  <c r="M2190" i="32"/>
  <c r="L2190" i="32"/>
  <c r="J2190" i="32"/>
  <c r="I2190" i="32"/>
  <c r="H2190" i="32"/>
  <c r="F2190" i="32"/>
  <c r="N2189" i="32"/>
  <c r="M2189" i="32"/>
  <c r="L2189" i="32"/>
  <c r="K2189" i="32"/>
  <c r="I2189" i="32"/>
  <c r="H2189" i="32"/>
  <c r="F2189" i="32"/>
  <c r="N2186" i="32"/>
  <c r="M2186" i="32"/>
  <c r="K2186" i="32"/>
  <c r="J2186" i="32"/>
  <c r="I2186" i="32"/>
  <c r="H2186" i="32"/>
  <c r="F2186" i="32"/>
  <c r="L2186" i="32" s="1"/>
  <c r="E2183" i="32"/>
  <c r="F2183" i="32" s="1"/>
  <c r="G2182" i="32"/>
  <c r="G2181" i="32"/>
  <c r="N2185" i="32"/>
  <c r="M2185" i="32"/>
  <c r="K2185" i="32"/>
  <c r="J2185" i="32"/>
  <c r="I2185" i="32"/>
  <c r="H2185" i="32"/>
  <c r="F2185" i="32"/>
  <c r="L2185" i="32" s="1"/>
  <c r="N2184" i="32"/>
  <c r="M2184" i="32"/>
  <c r="L2184" i="32"/>
  <c r="K2184" i="32"/>
  <c r="J2184" i="32"/>
  <c r="H2184" i="32"/>
  <c r="G2184" i="32"/>
  <c r="F2184" i="32"/>
  <c r="N2183" i="32"/>
  <c r="M2183" i="32"/>
  <c r="L2183" i="32"/>
  <c r="K2183" i="32"/>
  <c r="J2183" i="32"/>
  <c r="H2183" i="32"/>
  <c r="G2183" i="32"/>
  <c r="N2182" i="32"/>
  <c r="M2182" i="32"/>
  <c r="J2182" i="32"/>
  <c r="I2182" i="32"/>
  <c r="H2182" i="32"/>
  <c r="F2182" i="32"/>
  <c r="L2182" i="32" s="1"/>
  <c r="N2181" i="32"/>
  <c r="M2181" i="32"/>
  <c r="L2181" i="32"/>
  <c r="K2181" i="32"/>
  <c r="I2181" i="32"/>
  <c r="H2181" i="32"/>
  <c r="F2181" i="32"/>
  <c r="E2170" i="32"/>
  <c r="F2170" i="32" s="1"/>
  <c r="G2171" i="32"/>
  <c r="G2170" i="32"/>
  <c r="G2169" i="32"/>
  <c r="G2168" i="32"/>
  <c r="N2172" i="32"/>
  <c r="M2172" i="32"/>
  <c r="K2172" i="32"/>
  <c r="J2172" i="32"/>
  <c r="I2172" i="32"/>
  <c r="H2172" i="32"/>
  <c r="F2172" i="32"/>
  <c r="L2172" i="32" s="1"/>
  <c r="N2171" i="32"/>
  <c r="M2171" i="32"/>
  <c r="L2171" i="32"/>
  <c r="K2171" i="32"/>
  <c r="J2171" i="32"/>
  <c r="H2171" i="32"/>
  <c r="F2171" i="32"/>
  <c r="N2170" i="32"/>
  <c r="M2170" i="32"/>
  <c r="L2170" i="32"/>
  <c r="K2170" i="32"/>
  <c r="J2170" i="32"/>
  <c r="H2170" i="32"/>
  <c r="N2169" i="32"/>
  <c r="M2169" i="32"/>
  <c r="K2169" i="32"/>
  <c r="J2169" i="32"/>
  <c r="I2169" i="32"/>
  <c r="H2169" i="32"/>
  <c r="F2169" i="32"/>
  <c r="N2168" i="32"/>
  <c r="M2168" i="32"/>
  <c r="L2168" i="32"/>
  <c r="K2168" i="32"/>
  <c r="I2168" i="32"/>
  <c r="H2168" i="32"/>
  <c r="F2168" i="32"/>
  <c r="N2160" i="32"/>
  <c r="M2160" i="32"/>
  <c r="L2160" i="32"/>
  <c r="K2160" i="32"/>
  <c r="I2160" i="32"/>
  <c r="H2160" i="32"/>
  <c r="F2160" i="32"/>
  <c r="J2160" i="32" s="1"/>
  <c r="N2164" i="32"/>
  <c r="M2164" i="32"/>
  <c r="K2164" i="32"/>
  <c r="I2164" i="32"/>
  <c r="H2164" i="32"/>
  <c r="F2164" i="32"/>
  <c r="L2164" i="32" s="1"/>
  <c r="E2161" i="32"/>
  <c r="F2161" i="32" s="1"/>
  <c r="G2162" i="32"/>
  <c r="G2161" i="32"/>
  <c r="G2159" i="32"/>
  <c r="G2158" i="32"/>
  <c r="G2153" i="32"/>
  <c r="G2152" i="32"/>
  <c r="E2153" i="32"/>
  <c r="F2153" i="32" s="1"/>
  <c r="E2152" i="32"/>
  <c r="F2152" i="32" s="1"/>
  <c r="G2151" i="32"/>
  <c r="G2150" i="32"/>
  <c r="N2165" i="32"/>
  <c r="M2165" i="32"/>
  <c r="L2165" i="32"/>
  <c r="I2165" i="32"/>
  <c r="H2165" i="32"/>
  <c r="F2165" i="32"/>
  <c r="K2165" i="32" s="1"/>
  <c r="N2163" i="32"/>
  <c r="M2163" i="32"/>
  <c r="K2163" i="32"/>
  <c r="J2163" i="32"/>
  <c r="I2163" i="32"/>
  <c r="H2163" i="32"/>
  <c r="F2163" i="32"/>
  <c r="L2163" i="32" s="1"/>
  <c r="N2162" i="32"/>
  <c r="M2162" i="32"/>
  <c r="L2162" i="32"/>
  <c r="K2162" i="32"/>
  <c r="J2162" i="32"/>
  <c r="H2162" i="32"/>
  <c r="F2162" i="32"/>
  <c r="N2161" i="32"/>
  <c r="M2161" i="32"/>
  <c r="L2161" i="32"/>
  <c r="K2161" i="32"/>
  <c r="J2161" i="32"/>
  <c r="H2161" i="32"/>
  <c r="N2159" i="32"/>
  <c r="M2159" i="32"/>
  <c r="J2159" i="32"/>
  <c r="I2159" i="32"/>
  <c r="H2159" i="32"/>
  <c r="F2159" i="32"/>
  <c r="L2159" i="32" s="1"/>
  <c r="N2158" i="32"/>
  <c r="M2158" i="32"/>
  <c r="L2158" i="32"/>
  <c r="K2158" i="32"/>
  <c r="I2158" i="32"/>
  <c r="H2158" i="32"/>
  <c r="F2158" i="32"/>
  <c r="N2155" i="32"/>
  <c r="M2155" i="32"/>
  <c r="L2155" i="32"/>
  <c r="I2155" i="32"/>
  <c r="H2155" i="32"/>
  <c r="F2155" i="32"/>
  <c r="J2155" i="32" s="1"/>
  <c r="N2154" i="32"/>
  <c r="M2154" i="32"/>
  <c r="K2154" i="32"/>
  <c r="J2154" i="32"/>
  <c r="I2154" i="32"/>
  <c r="H2154" i="32"/>
  <c r="F2154" i="32"/>
  <c r="L2154" i="32" s="1"/>
  <c r="N2153" i="32"/>
  <c r="M2153" i="32"/>
  <c r="L2153" i="32"/>
  <c r="K2153" i="32"/>
  <c r="J2153" i="32"/>
  <c r="H2153" i="32"/>
  <c r="N2152" i="32"/>
  <c r="M2152" i="32"/>
  <c r="L2152" i="32"/>
  <c r="K2152" i="32"/>
  <c r="J2152" i="32"/>
  <c r="H2152" i="32"/>
  <c r="N2151" i="32"/>
  <c r="M2151" i="32"/>
  <c r="J2151" i="32"/>
  <c r="I2151" i="32"/>
  <c r="H2151" i="32"/>
  <c r="F2151" i="32"/>
  <c r="K2151" i="32" s="1"/>
  <c r="N2150" i="32"/>
  <c r="M2150" i="32"/>
  <c r="L2150" i="32"/>
  <c r="K2150" i="32"/>
  <c r="I2150" i="32"/>
  <c r="H2150" i="32"/>
  <c r="F2150" i="32"/>
  <c r="E2144" i="32"/>
  <c r="F2144" i="32" s="1"/>
  <c r="G2145" i="32"/>
  <c r="G2144" i="32"/>
  <c r="G2143" i="32"/>
  <c r="G2142" i="32"/>
  <c r="N2147" i="32"/>
  <c r="M2147" i="32"/>
  <c r="L2147" i="32"/>
  <c r="I2147" i="32"/>
  <c r="H2147" i="32"/>
  <c r="F2147" i="32"/>
  <c r="K2147" i="32" s="1"/>
  <c r="N2146" i="32"/>
  <c r="M2146" i="32"/>
  <c r="K2146" i="32"/>
  <c r="J2146" i="32"/>
  <c r="I2146" i="32"/>
  <c r="H2146" i="32"/>
  <c r="F2146" i="32"/>
  <c r="L2146" i="32" s="1"/>
  <c r="N2145" i="32"/>
  <c r="M2145" i="32"/>
  <c r="L2145" i="32"/>
  <c r="K2145" i="32"/>
  <c r="J2145" i="32"/>
  <c r="H2145" i="32"/>
  <c r="F2145" i="32"/>
  <c r="N2144" i="32"/>
  <c r="M2144" i="32"/>
  <c r="L2144" i="32"/>
  <c r="K2144" i="32"/>
  <c r="J2144" i="32"/>
  <c r="H2144" i="32"/>
  <c r="N2143" i="32"/>
  <c r="M2143" i="32"/>
  <c r="J2143" i="32"/>
  <c r="I2143" i="32"/>
  <c r="H2143" i="32"/>
  <c r="L2143" i="32"/>
  <c r="F2143" i="32"/>
  <c r="N2142" i="32"/>
  <c r="M2142" i="32"/>
  <c r="L2142" i="32"/>
  <c r="K2142" i="32"/>
  <c r="I2142" i="32"/>
  <c r="H2142" i="32"/>
  <c r="F2142" i="32"/>
  <c r="K2190" i="32" l="1"/>
  <c r="I2183" i="32"/>
  <c r="J2278" i="32"/>
  <c r="I2184" i="32"/>
  <c r="L2329" i="32"/>
  <c r="L2319" i="32"/>
  <c r="J2244" i="32"/>
  <c r="J2158" i="32"/>
  <c r="I2321" i="32"/>
  <c r="I2330" i="32"/>
  <c r="J2298" i="32"/>
  <c r="I2338" i="32"/>
  <c r="I2153" i="32"/>
  <c r="I2191" i="32"/>
  <c r="K2198" i="32"/>
  <c r="I2312" i="32"/>
  <c r="J2236" i="32"/>
  <c r="I2301" i="32"/>
  <c r="K2336" i="32"/>
  <c r="L2337" i="32"/>
  <c r="K2217" i="32"/>
  <c r="K2253" i="32"/>
  <c r="K2342" i="32"/>
  <c r="I2230" i="32"/>
  <c r="J2328" i="32"/>
  <c r="I2255" i="32"/>
  <c r="I2311" i="32"/>
  <c r="L2318" i="32"/>
  <c r="I2331" i="32"/>
  <c r="I2339" i="32"/>
  <c r="L2341" i="32"/>
  <c r="I2145" i="32"/>
  <c r="J2168" i="32"/>
  <c r="L2169" i="32"/>
  <c r="K2207" i="32"/>
  <c r="K2213" i="32"/>
  <c r="I2282" i="32"/>
  <c r="L2289" i="32"/>
  <c r="K2299" i="32"/>
  <c r="J2288" i="32"/>
  <c r="J2142" i="32"/>
  <c r="I2291" i="32"/>
  <c r="I2292" i="32"/>
  <c r="K2308" i="32"/>
  <c r="L2309" i="32"/>
  <c r="I2322" i="32"/>
  <c r="K2279" i="32"/>
  <c r="I2201" i="32"/>
  <c r="J2206" i="32"/>
  <c r="I2219" i="32"/>
  <c r="I2229" i="32"/>
  <c r="I2220" i="32"/>
  <c r="I2246" i="32"/>
  <c r="L2262" i="32"/>
  <c r="I2281" i="32"/>
  <c r="L2226" i="32"/>
  <c r="K2143" i="32"/>
  <c r="J2212" i="32"/>
  <c r="J2216" i="32"/>
  <c r="I2209" i="32"/>
  <c r="J2189" i="32"/>
  <c r="K2259" i="32"/>
  <c r="K2269" i="32"/>
  <c r="I2200" i="32"/>
  <c r="I2210" i="32"/>
  <c r="J2252" i="32"/>
  <c r="L2278" i="32"/>
  <c r="I2152" i="32"/>
  <c r="K2203" i="32"/>
  <c r="I2170" i="32"/>
  <c r="J2197" i="32"/>
  <c r="I2238" i="32"/>
  <c r="K2245" i="32"/>
  <c r="I2256" i="32"/>
  <c r="K2182" i="32"/>
  <c r="K2227" i="32"/>
  <c r="L2237" i="32"/>
  <c r="K2263" i="32"/>
  <c r="I2265" i="32"/>
  <c r="I2266" i="32"/>
  <c r="J2181" i="32"/>
  <c r="K2159" i="32"/>
  <c r="K2155" i="32"/>
  <c r="J2164" i="32"/>
  <c r="I2144" i="32"/>
  <c r="J2147" i="32"/>
  <c r="L2151" i="32"/>
  <c r="I2162" i="32"/>
  <c r="J2165" i="32"/>
  <c r="I2171" i="32"/>
  <c r="I2161" i="32"/>
  <c r="J2150" i="32"/>
  <c r="E2125" i="32"/>
  <c r="G2126" i="32"/>
  <c r="G2125" i="32"/>
  <c r="G2124" i="32"/>
  <c r="G2123" i="32"/>
  <c r="N2128" i="32"/>
  <c r="M2128" i="32"/>
  <c r="L2128" i="32"/>
  <c r="J2128" i="32"/>
  <c r="I2128" i="32"/>
  <c r="H2128" i="32"/>
  <c r="F2128" i="32"/>
  <c r="K2128" i="32" s="1"/>
  <c r="N2127" i="32"/>
  <c r="M2127" i="32"/>
  <c r="K2127" i="32"/>
  <c r="J2127" i="32"/>
  <c r="I2127" i="32"/>
  <c r="H2127" i="32"/>
  <c r="F2127" i="32"/>
  <c r="L2127" i="32" s="1"/>
  <c r="N2126" i="32"/>
  <c r="M2126" i="32"/>
  <c r="L2126" i="32"/>
  <c r="K2126" i="32"/>
  <c r="J2126" i="32"/>
  <c r="H2126" i="32"/>
  <c r="F2126" i="32"/>
  <c r="I2126" i="32" s="1"/>
  <c r="N2125" i="32"/>
  <c r="M2125" i="32"/>
  <c r="L2125" i="32"/>
  <c r="K2125" i="32"/>
  <c r="J2125" i="32"/>
  <c r="H2125" i="32"/>
  <c r="F2125" i="32"/>
  <c r="N2124" i="32"/>
  <c r="M2124" i="32"/>
  <c r="J2124" i="32"/>
  <c r="I2124" i="32"/>
  <c r="H2124" i="32"/>
  <c r="F2124" i="32"/>
  <c r="K2124" i="32" s="1"/>
  <c r="N2123" i="32"/>
  <c r="M2123" i="32"/>
  <c r="L2123" i="32"/>
  <c r="K2123" i="32"/>
  <c r="I2123" i="32"/>
  <c r="H2123" i="32"/>
  <c r="F2123" i="32"/>
  <c r="N2119" i="32"/>
  <c r="M2119" i="32"/>
  <c r="K2119" i="32"/>
  <c r="J2119" i="32"/>
  <c r="I2119" i="32"/>
  <c r="H2119" i="32"/>
  <c r="F2119" i="32"/>
  <c r="L2119" i="32" s="1"/>
  <c r="E2116" i="32"/>
  <c r="F2116" i="32" s="1"/>
  <c r="G2117" i="32"/>
  <c r="G2116" i="32"/>
  <c r="G2115" i="32"/>
  <c r="G2114" i="32"/>
  <c r="N2120" i="32"/>
  <c r="M2120" i="32"/>
  <c r="L2120" i="32"/>
  <c r="I2120" i="32"/>
  <c r="H2120" i="32"/>
  <c r="F2120" i="32"/>
  <c r="J2120" i="32" s="1"/>
  <c r="N2118" i="32"/>
  <c r="M2118" i="32"/>
  <c r="K2118" i="32"/>
  <c r="J2118" i="32"/>
  <c r="I2118" i="32"/>
  <c r="H2118" i="32"/>
  <c r="F2118" i="32"/>
  <c r="L2118" i="32" s="1"/>
  <c r="N2117" i="32"/>
  <c r="M2117" i="32"/>
  <c r="L2117" i="32"/>
  <c r="K2117" i="32"/>
  <c r="J2117" i="32"/>
  <c r="H2117" i="32"/>
  <c r="F2117" i="32"/>
  <c r="N2116" i="32"/>
  <c r="M2116" i="32"/>
  <c r="L2116" i="32"/>
  <c r="K2116" i="32"/>
  <c r="J2116" i="32"/>
  <c r="H2116" i="32"/>
  <c r="N2115" i="32"/>
  <c r="M2115" i="32"/>
  <c r="L2115" i="32"/>
  <c r="J2115" i="32"/>
  <c r="I2115" i="32"/>
  <c r="H2115" i="32"/>
  <c r="F2115" i="32"/>
  <c r="N2114" i="32"/>
  <c r="M2114" i="32"/>
  <c r="L2114" i="32"/>
  <c r="K2114" i="32"/>
  <c r="I2114" i="32"/>
  <c r="H2114" i="32"/>
  <c r="F2114" i="32"/>
  <c r="N2111" i="32"/>
  <c r="M2111" i="32"/>
  <c r="L2111" i="32"/>
  <c r="K2111" i="32"/>
  <c r="I2111" i="32"/>
  <c r="H2111" i="32"/>
  <c r="F2111" i="32"/>
  <c r="J2111" i="32" s="1"/>
  <c r="N2110" i="32"/>
  <c r="M2110" i="32"/>
  <c r="K2110" i="32"/>
  <c r="J2110" i="32"/>
  <c r="I2110" i="32"/>
  <c r="H2110" i="32"/>
  <c r="F2110" i="32"/>
  <c r="L2110" i="32" s="1"/>
  <c r="N2109" i="32"/>
  <c r="M2109" i="32"/>
  <c r="L2109" i="32"/>
  <c r="K2109" i="32"/>
  <c r="J2109" i="32"/>
  <c r="H2109" i="32"/>
  <c r="G2109" i="32"/>
  <c r="F2109" i="32"/>
  <c r="N2108" i="32"/>
  <c r="M2108" i="32"/>
  <c r="L2108" i="32"/>
  <c r="K2108" i="32"/>
  <c r="J2108" i="32"/>
  <c r="H2108" i="32"/>
  <c r="G2108" i="32"/>
  <c r="E2108" i="32"/>
  <c r="F2108" i="32" s="1"/>
  <c r="N2107" i="32"/>
  <c r="M2107" i="32"/>
  <c r="L2107" i="32"/>
  <c r="J2107" i="32"/>
  <c r="I2107" i="32"/>
  <c r="H2107" i="32"/>
  <c r="G2107" i="32"/>
  <c r="F2107" i="32"/>
  <c r="N2106" i="32"/>
  <c r="M2106" i="32"/>
  <c r="L2106" i="32"/>
  <c r="K2106" i="32"/>
  <c r="I2106" i="32"/>
  <c r="H2106" i="32"/>
  <c r="G2106" i="32"/>
  <c r="F2106" i="32"/>
  <c r="G2097" i="32"/>
  <c r="G2098" i="32"/>
  <c r="N2103" i="32"/>
  <c r="M2103" i="32"/>
  <c r="L2103" i="32"/>
  <c r="J2103" i="32"/>
  <c r="I2103" i="32"/>
  <c r="H2103" i="32"/>
  <c r="F2103" i="32"/>
  <c r="K2103" i="32" s="1"/>
  <c r="N2102" i="32"/>
  <c r="M2102" i="32"/>
  <c r="K2102" i="32"/>
  <c r="J2102" i="32"/>
  <c r="I2102" i="32"/>
  <c r="H2102" i="32"/>
  <c r="F2102" i="32"/>
  <c r="L2102" i="32" s="1"/>
  <c r="N2101" i="32"/>
  <c r="M2101" i="32"/>
  <c r="L2101" i="32"/>
  <c r="K2101" i="32"/>
  <c r="J2101" i="32"/>
  <c r="H2101" i="32"/>
  <c r="G2101" i="32"/>
  <c r="F2101" i="32"/>
  <c r="N2100" i="32"/>
  <c r="M2100" i="32"/>
  <c r="L2100" i="32"/>
  <c r="K2100" i="32"/>
  <c r="J2100" i="32"/>
  <c r="H2100" i="32"/>
  <c r="G2100" i="32"/>
  <c r="E2100" i="32"/>
  <c r="F2100" i="32" s="1"/>
  <c r="N2099" i="32"/>
  <c r="M2099" i="32"/>
  <c r="L2099" i="32"/>
  <c r="K2099" i="32"/>
  <c r="I2099" i="32"/>
  <c r="H2099" i="32"/>
  <c r="F2099" i="32"/>
  <c r="J2099" i="32" s="1"/>
  <c r="N2098" i="32"/>
  <c r="M2098" i="32"/>
  <c r="J2098" i="32"/>
  <c r="I2098" i="32"/>
  <c r="H2098" i="32"/>
  <c r="F2098" i="32"/>
  <c r="K2098" i="32" s="1"/>
  <c r="N2097" i="32"/>
  <c r="M2097" i="32"/>
  <c r="L2097" i="32"/>
  <c r="K2097" i="32"/>
  <c r="I2097" i="32"/>
  <c r="H2097" i="32"/>
  <c r="F2097" i="32"/>
  <c r="E2091" i="32"/>
  <c r="F2091" i="32" s="1"/>
  <c r="G2092" i="32"/>
  <c r="G2091" i="32"/>
  <c r="G2090" i="32"/>
  <c r="G2089" i="32"/>
  <c r="N2094" i="32"/>
  <c r="M2094" i="32"/>
  <c r="L2094" i="32"/>
  <c r="I2094" i="32"/>
  <c r="H2094" i="32"/>
  <c r="F2094" i="32"/>
  <c r="K2094" i="32" s="1"/>
  <c r="N2093" i="32"/>
  <c r="M2093" i="32"/>
  <c r="K2093" i="32"/>
  <c r="J2093" i="32"/>
  <c r="I2093" i="32"/>
  <c r="H2093" i="32"/>
  <c r="F2093" i="32"/>
  <c r="L2093" i="32" s="1"/>
  <c r="N2092" i="32"/>
  <c r="M2092" i="32"/>
  <c r="L2092" i="32"/>
  <c r="K2092" i="32"/>
  <c r="J2092" i="32"/>
  <c r="H2092" i="32"/>
  <c r="F2092" i="32"/>
  <c r="N2091" i="32"/>
  <c r="M2091" i="32"/>
  <c r="L2091" i="32"/>
  <c r="K2091" i="32"/>
  <c r="J2091" i="32"/>
  <c r="H2091" i="32"/>
  <c r="N2090" i="32"/>
  <c r="M2090" i="32"/>
  <c r="J2090" i="32"/>
  <c r="I2090" i="32"/>
  <c r="H2090" i="32"/>
  <c r="F2090" i="32"/>
  <c r="L2090" i="32" s="1"/>
  <c r="N2089" i="32"/>
  <c r="M2089" i="32"/>
  <c r="L2089" i="32"/>
  <c r="K2089" i="32"/>
  <c r="I2089" i="32"/>
  <c r="H2089" i="32"/>
  <c r="F2089" i="32"/>
  <c r="N2074" i="32"/>
  <c r="M2074" i="32"/>
  <c r="L2074" i="32"/>
  <c r="J2074" i="32"/>
  <c r="I2074" i="32"/>
  <c r="H2074" i="32"/>
  <c r="F2074" i="32"/>
  <c r="K2074" i="32" s="1"/>
  <c r="N2073" i="32"/>
  <c r="M2073" i="32"/>
  <c r="K2073" i="32"/>
  <c r="J2073" i="32"/>
  <c r="I2073" i="32"/>
  <c r="H2073" i="32"/>
  <c r="F2073" i="32"/>
  <c r="L2073" i="32" s="1"/>
  <c r="N2072" i="32"/>
  <c r="M2072" i="32"/>
  <c r="L2072" i="32"/>
  <c r="K2072" i="32"/>
  <c r="J2072" i="32"/>
  <c r="H2072" i="32"/>
  <c r="G2072" i="32"/>
  <c r="F2072" i="32"/>
  <c r="N2071" i="32"/>
  <c r="M2071" i="32"/>
  <c r="L2071" i="32"/>
  <c r="K2071" i="32"/>
  <c r="J2071" i="32"/>
  <c r="H2071" i="32"/>
  <c r="G2071" i="32"/>
  <c r="E2071" i="32"/>
  <c r="F2071" i="32" s="1"/>
  <c r="N2070" i="32"/>
  <c r="M2070" i="32"/>
  <c r="K2070" i="32"/>
  <c r="J2070" i="32"/>
  <c r="I2070" i="32"/>
  <c r="H2070" i="32"/>
  <c r="G2070" i="32"/>
  <c r="F2070" i="32"/>
  <c r="N2069" i="32"/>
  <c r="M2069" i="32"/>
  <c r="L2069" i="32"/>
  <c r="K2069" i="32"/>
  <c r="I2069" i="32"/>
  <c r="H2069" i="32"/>
  <c r="G2069" i="32"/>
  <c r="F2069" i="32"/>
  <c r="N2067" i="32"/>
  <c r="M2067" i="32"/>
  <c r="L2067" i="32"/>
  <c r="I2067" i="32"/>
  <c r="H2067" i="32"/>
  <c r="F2067" i="32"/>
  <c r="J2067" i="32" s="1"/>
  <c r="E2063" i="32"/>
  <c r="F2063" i="32" s="1"/>
  <c r="G2064" i="32"/>
  <c r="G2063" i="32"/>
  <c r="N2062" i="32"/>
  <c r="M2062" i="32"/>
  <c r="L2062" i="32"/>
  <c r="K2062" i="32"/>
  <c r="I2062" i="32"/>
  <c r="H2062" i="32"/>
  <c r="F2062" i="32"/>
  <c r="J2062" i="32" s="1"/>
  <c r="G2061" i="32"/>
  <c r="G2060" i="32"/>
  <c r="N2066" i="32"/>
  <c r="M2066" i="32"/>
  <c r="L2066" i="32"/>
  <c r="I2066" i="32"/>
  <c r="H2066" i="32"/>
  <c r="F2066" i="32"/>
  <c r="K2066" i="32" s="1"/>
  <c r="N2065" i="32"/>
  <c r="M2065" i="32"/>
  <c r="K2065" i="32"/>
  <c r="J2065" i="32"/>
  <c r="I2065" i="32"/>
  <c r="H2065" i="32"/>
  <c r="F2065" i="32"/>
  <c r="L2065" i="32" s="1"/>
  <c r="N2064" i="32"/>
  <c r="M2064" i="32"/>
  <c r="L2064" i="32"/>
  <c r="K2064" i="32"/>
  <c r="J2064" i="32"/>
  <c r="H2064" i="32"/>
  <c r="F2064" i="32"/>
  <c r="N2063" i="32"/>
  <c r="M2063" i="32"/>
  <c r="L2063" i="32"/>
  <c r="K2063" i="32"/>
  <c r="J2063" i="32"/>
  <c r="H2063" i="32"/>
  <c r="N2061" i="32"/>
  <c r="M2061" i="32"/>
  <c r="J2061" i="32"/>
  <c r="I2061" i="32"/>
  <c r="H2061" i="32"/>
  <c r="L2061" i="32"/>
  <c r="F2061" i="32"/>
  <c r="N2060" i="32"/>
  <c r="M2060" i="32"/>
  <c r="L2060" i="32"/>
  <c r="K2060" i="32"/>
  <c r="I2060" i="32"/>
  <c r="H2060" i="32"/>
  <c r="F2060" i="32"/>
  <c r="J2060" i="32" s="1"/>
  <c r="G2055" i="32"/>
  <c r="G2054" i="32"/>
  <c r="E2054" i="32"/>
  <c r="F2054" i="32" s="1"/>
  <c r="G2053" i="32"/>
  <c r="G2052" i="32"/>
  <c r="N2057" i="32"/>
  <c r="M2057" i="32"/>
  <c r="L2057" i="32"/>
  <c r="J2057" i="32"/>
  <c r="I2057" i="32"/>
  <c r="H2057" i="32"/>
  <c r="F2057" i="32"/>
  <c r="K2057" i="32" s="1"/>
  <c r="N2056" i="32"/>
  <c r="M2056" i="32"/>
  <c r="K2056" i="32"/>
  <c r="J2056" i="32"/>
  <c r="I2056" i="32"/>
  <c r="H2056" i="32"/>
  <c r="F2056" i="32"/>
  <c r="L2056" i="32" s="1"/>
  <c r="N2055" i="32"/>
  <c r="M2055" i="32"/>
  <c r="L2055" i="32"/>
  <c r="K2055" i="32"/>
  <c r="J2055" i="32"/>
  <c r="H2055" i="32"/>
  <c r="F2055" i="32"/>
  <c r="N2054" i="32"/>
  <c r="M2054" i="32"/>
  <c r="L2054" i="32"/>
  <c r="K2054" i="32"/>
  <c r="J2054" i="32"/>
  <c r="H2054" i="32"/>
  <c r="N2053" i="32"/>
  <c r="M2053" i="32"/>
  <c r="J2053" i="32"/>
  <c r="I2053" i="32"/>
  <c r="H2053" i="32"/>
  <c r="F2053" i="32"/>
  <c r="K2053" i="32" s="1"/>
  <c r="N2052" i="32"/>
  <c r="M2052" i="32"/>
  <c r="L2052" i="32"/>
  <c r="K2052" i="32"/>
  <c r="I2052" i="32"/>
  <c r="H2052" i="32"/>
  <c r="F2052" i="32"/>
  <c r="J2052" i="32" s="1"/>
  <c r="N2049" i="32"/>
  <c r="M2049" i="32"/>
  <c r="J2049" i="32"/>
  <c r="I2049" i="32"/>
  <c r="H2049" i="32"/>
  <c r="F2049" i="32"/>
  <c r="L2049" i="32" s="1"/>
  <c r="E2045" i="32"/>
  <c r="F2045" i="32" s="1"/>
  <c r="G2046" i="32"/>
  <c r="G2045" i="32"/>
  <c r="G2044" i="32"/>
  <c r="G2043" i="32"/>
  <c r="N2048" i="32"/>
  <c r="M2048" i="32"/>
  <c r="K2048" i="32"/>
  <c r="I2048" i="32"/>
  <c r="H2048" i="32"/>
  <c r="F2048" i="32"/>
  <c r="J2048" i="32" s="1"/>
  <c r="N2047" i="32"/>
  <c r="M2047" i="32"/>
  <c r="K2047" i="32"/>
  <c r="J2047" i="32"/>
  <c r="I2047" i="32"/>
  <c r="H2047" i="32"/>
  <c r="F2047" i="32"/>
  <c r="L2047" i="32" s="1"/>
  <c r="N2046" i="32"/>
  <c r="M2046" i="32"/>
  <c r="L2046" i="32"/>
  <c r="K2046" i="32"/>
  <c r="J2046" i="32"/>
  <c r="H2046" i="32"/>
  <c r="F2046" i="32"/>
  <c r="N2045" i="32"/>
  <c r="M2045" i="32"/>
  <c r="L2045" i="32"/>
  <c r="K2045" i="32"/>
  <c r="J2045" i="32"/>
  <c r="H2045" i="32"/>
  <c r="N2044" i="32"/>
  <c r="M2044" i="32"/>
  <c r="L2044" i="32"/>
  <c r="J2044" i="32"/>
  <c r="I2044" i="32"/>
  <c r="H2044" i="32"/>
  <c r="F2044" i="32"/>
  <c r="N2043" i="32"/>
  <c r="M2043" i="32"/>
  <c r="L2043" i="32"/>
  <c r="K2043" i="32"/>
  <c r="I2043" i="32"/>
  <c r="H2043" i="32"/>
  <c r="F2043" i="32"/>
  <c r="E2036" i="32"/>
  <c r="F2036" i="32" s="1"/>
  <c r="G2034" i="32"/>
  <c r="G2033" i="32"/>
  <c r="N2040" i="32"/>
  <c r="L2040" i="32"/>
  <c r="J2040" i="32"/>
  <c r="I2040" i="32"/>
  <c r="H2040" i="32"/>
  <c r="F2040" i="32"/>
  <c r="K2040" i="32" s="1"/>
  <c r="N2039" i="32"/>
  <c r="M2039" i="32"/>
  <c r="K2039" i="32"/>
  <c r="J2039" i="32"/>
  <c r="I2039" i="32"/>
  <c r="H2039" i="32"/>
  <c r="F2039" i="32"/>
  <c r="L2039" i="32" s="1"/>
  <c r="N2038" i="32"/>
  <c r="M2038" i="32"/>
  <c r="K2038" i="32"/>
  <c r="J2038" i="32"/>
  <c r="I2038" i="32"/>
  <c r="H2038" i="32"/>
  <c r="F2038" i="32"/>
  <c r="L2038" i="32" s="1"/>
  <c r="N2037" i="32"/>
  <c r="M2037" i="32"/>
  <c r="L2037" i="32"/>
  <c r="K2037" i="32"/>
  <c r="J2037" i="32"/>
  <c r="H2037" i="32"/>
  <c r="G2037" i="32"/>
  <c r="F2037" i="32"/>
  <c r="N2036" i="32"/>
  <c r="M2036" i="32"/>
  <c r="L2036" i="32"/>
  <c r="K2036" i="32"/>
  <c r="J2036" i="32"/>
  <c r="H2036" i="32"/>
  <c r="G2036" i="32"/>
  <c r="N2035" i="32"/>
  <c r="M2035" i="32"/>
  <c r="L2035" i="32"/>
  <c r="J2035" i="32"/>
  <c r="I2035" i="32"/>
  <c r="H2035" i="32"/>
  <c r="F2035" i="32"/>
  <c r="K2035" i="32" s="1"/>
  <c r="N2034" i="32"/>
  <c r="M2034" i="32"/>
  <c r="K2034" i="32"/>
  <c r="J2034" i="32"/>
  <c r="I2034" i="32"/>
  <c r="H2034" i="32"/>
  <c r="F2034" i="32"/>
  <c r="N2033" i="32"/>
  <c r="L2033" i="32"/>
  <c r="K2033" i="32"/>
  <c r="I2033" i="32"/>
  <c r="H2033" i="32"/>
  <c r="F2033" i="32"/>
  <c r="J2033" i="32" s="1"/>
  <c r="E2026" i="32"/>
  <c r="F2026" i="32" s="1"/>
  <c r="G2027" i="32"/>
  <c r="G2026" i="32"/>
  <c r="G2024" i="32"/>
  <c r="G2023" i="32"/>
  <c r="N2030" i="32"/>
  <c r="M2030" i="32"/>
  <c r="J2030" i="32"/>
  <c r="I2030" i="32"/>
  <c r="H2030" i="32"/>
  <c r="F2030" i="32"/>
  <c r="L2030" i="32" s="1"/>
  <c r="N2029" i="32"/>
  <c r="M2029" i="32"/>
  <c r="K2029" i="32"/>
  <c r="J2029" i="32"/>
  <c r="I2029" i="32"/>
  <c r="H2029" i="32"/>
  <c r="F2029" i="32"/>
  <c r="L2029" i="32" s="1"/>
  <c r="N2028" i="32"/>
  <c r="M2028" i="32"/>
  <c r="K2028" i="32"/>
  <c r="J2028" i="32"/>
  <c r="I2028" i="32"/>
  <c r="H2028" i="32"/>
  <c r="F2028" i="32"/>
  <c r="L2028" i="32" s="1"/>
  <c r="N2027" i="32"/>
  <c r="M2027" i="32"/>
  <c r="L2027" i="32"/>
  <c r="K2027" i="32"/>
  <c r="J2027" i="32"/>
  <c r="H2027" i="32"/>
  <c r="F2027" i="32"/>
  <c r="N2026" i="32"/>
  <c r="M2026" i="32"/>
  <c r="L2026" i="32"/>
  <c r="K2026" i="32"/>
  <c r="J2026" i="32"/>
  <c r="H2026" i="32"/>
  <c r="N2025" i="32"/>
  <c r="M2025" i="32"/>
  <c r="L2025" i="32"/>
  <c r="I2025" i="32"/>
  <c r="H2025" i="32"/>
  <c r="F2025" i="32"/>
  <c r="K2025" i="32" s="1"/>
  <c r="N2024" i="32"/>
  <c r="M2024" i="32"/>
  <c r="K2024" i="32"/>
  <c r="J2024" i="32"/>
  <c r="I2024" i="32"/>
  <c r="H2024" i="32"/>
  <c r="F2024" i="32"/>
  <c r="N2023" i="32"/>
  <c r="M2023" i="32"/>
  <c r="L2023" i="32"/>
  <c r="I2023" i="32"/>
  <c r="H2023" i="32"/>
  <c r="K2023" i="32"/>
  <c r="F2023" i="32"/>
  <c r="E2017" i="32"/>
  <c r="F2017" i="32" s="1"/>
  <c r="G2018" i="32"/>
  <c r="G2017" i="32"/>
  <c r="G2016" i="32"/>
  <c r="G2015" i="32"/>
  <c r="N2020" i="32"/>
  <c r="M2020" i="32"/>
  <c r="K2020" i="32"/>
  <c r="I2020" i="32"/>
  <c r="H2020" i="32"/>
  <c r="F2020" i="32"/>
  <c r="L2020" i="32" s="1"/>
  <c r="N2019" i="32"/>
  <c r="M2019" i="32"/>
  <c r="K2019" i="32"/>
  <c r="J2019" i="32"/>
  <c r="I2019" i="32"/>
  <c r="H2019" i="32"/>
  <c r="F2019" i="32"/>
  <c r="L2019" i="32" s="1"/>
  <c r="N2018" i="32"/>
  <c r="M2018" i="32"/>
  <c r="L2018" i="32"/>
  <c r="K2018" i="32"/>
  <c r="J2018" i="32"/>
  <c r="H2018" i="32"/>
  <c r="F2018" i="32"/>
  <c r="N2017" i="32"/>
  <c r="M2017" i="32"/>
  <c r="L2017" i="32"/>
  <c r="K2017" i="32"/>
  <c r="J2017" i="32"/>
  <c r="H2017" i="32"/>
  <c r="N2016" i="32"/>
  <c r="M2016" i="32"/>
  <c r="L2016" i="32"/>
  <c r="J2016" i="32"/>
  <c r="I2016" i="32"/>
  <c r="H2016" i="32"/>
  <c r="F2016" i="32"/>
  <c r="N2015" i="32"/>
  <c r="M2015" i="32"/>
  <c r="L2015" i="32"/>
  <c r="K2015" i="32"/>
  <c r="I2015" i="32"/>
  <c r="H2015" i="32"/>
  <c r="F2015" i="32"/>
  <c r="N2005" i="32"/>
  <c r="M2005" i="32"/>
  <c r="L2005" i="32"/>
  <c r="K2005" i="32"/>
  <c r="I2005" i="32"/>
  <c r="H2005" i="32"/>
  <c r="F2005" i="32"/>
  <c r="J2005" i="32" s="1"/>
  <c r="N2004" i="32"/>
  <c r="M2004" i="32"/>
  <c r="K2004" i="32"/>
  <c r="J2004" i="32"/>
  <c r="I2004" i="32"/>
  <c r="H2004" i="32"/>
  <c r="F2004" i="32"/>
  <c r="L2004" i="32" s="1"/>
  <c r="N2003" i="32"/>
  <c r="M2003" i="32"/>
  <c r="K2003" i="32"/>
  <c r="J2003" i="32"/>
  <c r="I2003" i="32"/>
  <c r="H2003" i="32"/>
  <c r="F2003" i="32"/>
  <c r="L2003" i="32" s="1"/>
  <c r="N2002" i="32"/>
  <c r="M2002" i="32"/>
  <c r="L2002" i="32"/>
  <c r="K2002" i="32"/>
  <c r="J2002" i="32"/>
  <c r="H2002" i="32"/>
  <c r="G2002" i="32"/>
  <c r="F2002" i="32"/>
  <c r="N2001" i="32"/>
  <c r="M2001" i="32"/>
  <c r="L2001" i="32"/>
  <c r="K2001" i="32"/>
  <c r="J2001" i="32"/>
  <c r="H2001" i="32"/>
  <c r="G2001" i="32"/>
  <c r="E2001" i="32"/>
  <c r="F2001" i="32" s="1"/>
  <c r="N2000" i="32"/>
  <c r="M2000" i="32"/>
  <c r="L2000" i="32"/>
  <c r="J2000" i="32"/>
  <c r="I2000" i="32"/>
  <c r="H2000" i="32"/>
  <c r="G2000" i="32"/>
  <c r="F2000" i="32"/>
  <c r="N1999" i="32"/>
  <c r="M1999" i="32"/>
  <c r="L1999" i="32"/>
  <c r="K1999" i="32"/>
  <c r="I1999" i="32"/>
  <c r="H1999" i="32"/>
  <c r="G1999" i="32"/>
  <c r="F1999" i="32"/>
  <c r="N1996" i="32"/>
  <c r="M1996" i="32"/>
  <c r="K1996" i="32"/>
  <c r="J1996" i="32"/>
  <c r="I1996" i="32"/>
  <c r="H1996" i="32"/>
  <c r="F1996" i="32"/>
  <c r="L1996" i="32" s="1"/>
  <c r="N1995" i="32"/>
  <c r="M1995" i="32"/>
  <c r="K1995" i="32"/>
  <c r="J1995" i="32"/>
  <c r="I1995" i="32"/>
  <c r="H1995" i="32"/>
  <c r="F1995" i="32"/>
  <c r="L1995" i="32" s="1"/>
  <c r="N1994" i="32"/>
  <c r="M1994" i="32"/>
  <c r="K1994" i="32"/>
  <c r="J1994" i="32"/>
  <c r="I1994" i="32"/>
  <c r="H1994" i="32"/>
  <c r="F1994" i="32"/>
  <c r="L1994" i="32" s="1"/>
  <c r="N1993" i="32"/>
  <c r="M1993" i="32"/>
  <c r="L1993" i="32"/>
  <c r="K1993" i="32"/>
  <c r="J1993" i="32"/>
  <c r="H1993" i="32"/>
  <c r="G1993" i="32"/>
  <c r="F1993" i="32"/>
  <c r="N1992" i="32"/>
  <c r="M1992" i="32"/>
  <c r="L1992" i="32"/>
  <c r="K1992" i="32"/>
  <c r="J1992" i="32"/>
  <c r="H1992" i="32"/>
  <c r="G1992" i="32"/>
  <c r="E1992" i="32"/>
  <c r="F1992" i="32" s="1"/>
  <c r="N1991" i="32"/>
  <c r="M1991" i="32"/>
  <c r="L1991" i="32"/>
  <c r="J1991" i="32"/>
  <c r="I1991" i="32"/>
  <c r="H1991" i="32"/>
  <c r="F1991" i="32"/>
  <c r="K1991" i="32" s="1"/>
  <c r="N1990" i="32"/>
  <c r="M1990" i="32"/>
  <c r="K1990" i="32"/>
  <c r="J1990" i="32"/>
  <c r="I1990" i="32"/>
  <c r="H1990" i="32"/>
  <c r="G1990" i="32"/>
  <c r="F1990" i="32"/>
  <c r="N1989" i="32"/>
  <c r="M1989" i="32"/>
  <c r="L1989" i="32"/>
  <c r="J1989" i="32"/>
  <c r="I1989" i="32"/>
  <c r="H1989" i="32"/>
  <c r="G1989" i="32"/>
  <c r="F1989" i="32"/>
  <c r="E2010" i="32"/>
  <c r="F2010" i="32" s="1"/>
  <c r="G2011" i="32"/>
  <c r="G2010" i="32"/>
  <c r="G2009" i="32"/>
  <c r="G2008" i="32"/>
  <c r="N2011" i="32"/>
  <c r="M2011" i="32"/>
  <c r="L2011" i="32"/>
  <c r="K2011" i="32"/>
  <c r="J2011" i="32"/>
  <c r="H2011" i="32"/>
  <c r="F2011" i="32"/>
  <c r="N2010" i="32"/>
  <c r="M2010" i="32"/>
  <c r="L2010" i="32"/>
  <c r="K2010" i="32"/>
  <c r="J2010" i="32"/>
  <c r="H2010" i="32"/>
  <c r="N2009" i="32"/>
  <c r="M2009" i="32"/>
  <c r="L2009" i="32"/>
  <c r="J2009" i="32"/>
  <c r="I2009" i="32"/>
  <c r="H2009" i="32"/>
  <c r="F2009" i="32"/>
  <c r="N2008" i="32"/>
  <c r="M2008" i="32"/>
  <c r="L2008" i="32"/>
  <c r="K2008" i="32"/>
  <c r="I2008" i="32"/>
  <c r="H2008" i="32"/>
  <c r="F2008" i="32"/>
  <c r="N1980" i="32"/>
  <c r="M1980" i="32"/>
  <c r="K1980" i="32"/>
  <c r="I1980" i="32"/>
  <c r="H1980" i="32"/>
  <c r="F1980" i="32"/>
  <c r="L1980" i="32" s="1"/>
  <c r="E1976" i="32"/>
  <c r="G1975" i="32"/>
  <c r="G1974" i="32"/>
  <c r="N1979" i="32"/>
  <c r="M1979" i="32"/>
  <c r="K1979" i="32"/>
  <c r="J1979" i="32"/>
  <c r="I1979" i="32"/>
  <c r="H1979" i="32"/>
  <c r="F1979" i="32"/>
  <c r="L1979" i="32" s="1"/>
  <c r="N1978" i="32"/>
  <c r="M1978" i="32"/>
  <c r="K1978" i="32"/>
  <c r="J1978" i="32"/>
  <c r="I1978" i="32"/>
  <c r="H1978" i="32"/>
  <c r="F1978" i="32"/>
  <c r="L1978" i="32" s="1"/>
  <c r="N1977" i="32"/>
  <c r="M1977" i="32"/>
  <c r="L1977" i="32"/>
  <c r="K1977" i="32"/>
  <c r="J1977" i="32"/>
  <c r="H1977" i="32"/>
  <c r="G1977" i="32"/>
  <c r="F1977" i="32"/>
  <c r="N1976" i="32"/>
  <c r="M1976" i="32"/>
  <c r="L1976" i="32"/>
  <c r="K1976" i="32"/>
  <c r="J1976" i="32"/>
  <c r="H1976" i="32"/>
  <c r="G1976" i="32"/>
  <c r="F1976" i="32"/>
  <c r="N1975" i="32"/>
  <c r="M1975" i="32"/>
  <c r="L1975" i="32"/>
  <c r="J1975" i="32"/>
  <c r="I1975" i="32"/>
  <c r="H1975" i="32"/>
  <c r="F1975" i="32"/>
  <c r="N1974" i="32"/>
  <c r="M1974" i="32"/>
  <c r="L1974" i="32"/>
  <c r="K1974" i="32"/>
  <c r="I1974" i="32"/>
  <c r="H1974" i="32"/>
  <c r="F1974" i="32"/>
  <c r="N1971" i="32"/>
  <c r="M1971" i="32"/>
  <c r="K1971" i="32"/>
  <c r="J1971" i="32"/>
  <c r="I1971" i="32"/>
  <c r="H1971" i="32"/>
  <c r="F1971" i="32"/>
  <c r="L1971" i="32" s="1"/>
  <c r="E1967" i="32"/>
  <c r="F1967" i="32" s="1"/>
  <c r="G1968" i="32"/>
  <c r="G1967" i="32"/>
  <c r="G1965" i="32"/>
  <c r="G1964" i="32"/>
  <c r="N1966" i="32"/>
  <c r="M1966" i="32"/>
  <c r="L1966" i="32"/>
  <c r="J1966" i="32"/>
  <c r="I1966" i="32"/>
  <c r="H1966" i="32"/>
  <c r="F1966" i="32"/>
  <c r="K1966" i="32" s="1"/>
  <c r="N1970" i="32"/>
  <c r="M1970" i="32"/>
  <c r="K1970" i="32"/>
  <c r="J1970" i="32"/>
  <c r="I1970" i="32"/>
  <c r="H1970" i="32"/>
  <c r="F1970" i="32"/>
  <c r="L1970" i="32" s="1"/>
  <c r="N1969" i="32"/>
  <c r="M1969" i="32"/>
  <c r="K1969" i="32"/>
  <c r="J1969" i="32"/>
  <c r="I1969" i="32"/>
  <c r="H1969" i="32"/>
  <c r="F1969" i="32"/>
  <c r="L1969" i="32" s="1"/>
  <c r="N1968" i="32"/>
  <c r="M1968" i="32"/>
  <c r="L1968" i="32"/>
  <c r="K1968" i="32"/>
  <c r="J1968" i="32"/>
  <c r="H1968" i="32"/>
  <c r="F1968" i="32"/>
  <c r="N1967" i="32"/>
  <c r="M1967" i="32"/>
  <c r="L1967" i="32"/>
  <c r="K1967" i="32"/>
  <c r="J1967" i="32"/>
  <c r="H1967" i="32"/>
  <c r="N1965" i="32"/>
  <c r="M1965" i="32"/>
  <c r="J1965" i="32"/>
  <c r="I1965" i="32"/>
  <c r="H1965" i="32"/>
  <c r="F1965" i="32"/>
  <c r="K1965" i="32" s="1"/>
  <c r="N1964" i="32"/>
  <c r="M1964" i="32"/>
  <c r="L1964" i="32"/>
  <c r="I1964" i="32"/>
  <c r="H1964" i="32"/>
  <c r="F1964" i="32"/>
  <c r="J1964" i="32" s="1"/>
  <c r="N1961" i="32"/>
  <c r="M1961" i="32"/>
  <c r="K1961" i="32"/>
  <c r="J1961" i="32"/>
  <c r="I1961" i="32"/>
  <c r="H1961" i="32"/>
  <c r="F1961" i="32"/>
  <c r="L1961" i="32" s="1"/>
  <c r="N1960" i="32"/>
  <c r="M1960" i="32"/>
  <c r="K1960" i="32"/>
  <c r="J1960" i="32"/>
  <c r="I1960" i="32"/>
  <c r="H1960" i="32"/>
  <c r="F1960" i="32"/>
  <c r="L1960" i="32" s="1"/>
  <c r="N1959" i="32"/>
  <c r="M1959" i="32"/>
  <c r="L1959" i="32"/>
  <c r="K1959" i="32"/>
  <c r="J1959" i="32"/>
  <c r="H1959" i="32"/>
  <c r="G1959" i="32"/>
  <c r="F1959" i="32"/>
  <c r="N1958" i="32"/>
  <c r="M1958" i="32"/>
  <c r="L1958" i="32"/>
  <c r="K1958" i="32"/>
  <c r="J1958" i="32"/>
  <c r="H1958" i="32"/>
  <c r="G1958" i="32"/>
  <c r="E1958" i="32"/>
  <c r="F1958" i="32" s="1"/>
  <c r="N1957" i="32"/>
  <c r="M1957" i="32"/>
  <c r="L1957" i="32"/>
  <c r="J1957" i="32"/>
  <c r="I1957" i="32"/>
  <c r="H1957" i="32"/>
  <c r="G1957" i="32"/>
  <c r="F1957" i="32"/>
  <c r="N1956" i="32"/>
  <c r="M1956" i="32"/>
  <c r="L1956" i="32"/>
  <c r="K1956" i="32"/>
  <c r="I1956" i="32"/>
  <c r="H1956" i="32"/>
  <c r="G1956" i="32"/>
  <c r="F1956" i="32"/>
  <c r="G1949" i="32"/>
  <c r="E1950" i="32"/>
  <c r="F1950" i="32" s="1"/>
  <c r="G1951" i="32"/>
  <c r="G1950" i="32"/>
  <c r="G1948" i="32"/>
  <c r="N1953" i="32"/>
  <c r="M1953" i="32"/>
  <c r="K1953" i="32"/>
  <c r="J1953" i="32"/>
  <c r="I1953" i="32"/>
  <c r="H1953" i="32"/>
  <c r="F1953" i="32"/>
  <c r="L1953" i="32" s="1"/>
  <c r="N1952" i="32"/>
  <c r="M1952" i="32"/>
  <c r="K1952" i="32"/>
  <c r="J1952" i="32"/>
  <c r="I1952" i="32"/>
  <c r="H1952" i="32"/>
  <c r="F1952" i="32"/>
  <c r="L1952" i="32" s="1"/>
  <c r="N1951" i="32"/>
  <c r="M1951" i="32"/>
  <c r="L1951" i="32"/>
  <c r="K1951" i="32"/>
  <c r="J1951" i="32"/>
  <c r="H1951" i="32"/>
  <c r="F1951" i="32"/>
  <c r="N1950" i="32"/>
  <c r="M1950" i="32"/>
  <c r="L1950" i="32"/>
  <c r="K1950" i="32"/>
  <c r="J1950" i="32"/>
  <c r="H1950" i="32"/>
  <c r="N1949" i="32"/>
  <c r="M1949" i="32"/>
  <c r="J1949" i="32"/>
  <c r="I1949" i="32"/>
  <c r="H1949" i="32"/>
  <c r="F1949" i="32"/>
  <c r="L1949" i="32" s="1"/>
  <c r="N1948" i="32"/>
  <c r="M1948" i="32"/>
  <c r="L1948" i="32"/>
  <c r="K1948" i="32"/>
  <c r="I1948" i="32"/>
  <c r="H1948" i="32"/>
  <c r="F1948" i="32"/>
  <c r="E1942" i="32"/>
  <c r="F1942" i="32" s="1"/>
  <c r="G1943" i="32"/>
  <c r="G1942" i="32"/>
  <c r="G1941" i="32"/>
  <c r="N1945" i="32"/>
  <c r="M1945" i="32"/>
  <c r="J1945" i="32"/>
  <c r="I1945" i="32"/>
  <c r="H1945" i="32"/>
  <c r="F1945" i="32"/>
  <c r="K1945" i="32" s="1"/>
  <c r="N1944" i="32"/>
  <c r="M1944" i="32"/>
  <c r="K1944" i="32"/>
  <c r="J1944" i="32"/>
  <c r="I1944" i="32"/>
  <c r="H1944" i="32"/>
  <c r="F1944" i="32"/>
  <c r="L1944" i="32" s="1"/>
  <c r="N1943" i="32"/>
  <c r="M1943" i="32"/>
  <c r="L1943" i="32"/>
  <c r="K1943" i="32"/>
  <c r="J1943" i="32"/>
  <c r="H1943" i="32"/>
  <c r="F1943" i="32"/>
  <c r="N1942" i="32"/>
  <c r="M1942" i="32"/>
  <c r="L1942" i="32"/>
  <c r="K1942" i="32"/>
  <c r="J1942" i="32"/>
  <c r="H1942" i="32"/>
  <c r="N1941" i="32"/>
  <c r="M1941" i="32"/>
  <c r="K1941" i="32"/>
  <c r="J1941" i="32"/>
  <c r="I1941" i="32"/>
  <c r="H1941" i="32"/>
  <c r="F1941" i="32"/>
  <c r="J1974" i="32" l="1"/>
  <c r="I2018" i="32"/>
  <c r="L2024" i="32"/>
  <c r="I2054" i="32"/>
  <c r="K2115" i="32"/>
  <c r="L2034" i="32"/>
  <c r="J2089" i="32"/>
  <c r="K2044" i="32"/>
  <c r="K2061" i="32"/>
  <c r="I2116" i="32"/>
  <c r="J2097" i="32"/>
  <c r="I2010" i="32"/>
  <c r="I1943" i="32"/>
  <c r="I1951" i="32"/>
  <c r="J2008" i="32"/>
  <c r="I2092" i="32"/>
  <c r="I2117" i="32"/>
  <c r="J2015" i="32"/>
  <c r="I2125" i="32"/>
  <c r="K2067" i="32"/>
  <c r="J2069" i="32"/>
  <c r="L2070" i="32"/>
  <c r="I2071" i="32"/>
  <c r="I2072" i="32"/>
  <c r="J2023" i="32"/>
  <c r="J2043" i="32"/>
  <c r="I2091" i="32"/>
  <c r="I2100" i="32"/>
  <c r="I2101" i="32"/>
  <c r="J2106" i="32"/>
  <c r="K2107" i="32"/>
  <c r="I2108" i="32"/>
  <c r="I2109" i="32"/>
  <c r="K2120" i="32"/>
  <c r="K2016" i="32"/>
  <c r="I2026" i="32"/>
  <c r="J1956" i="32"/>
  <c r="K1957" i="32"/>
  <c r="I1958" i="32"/>
  <c r="K1975" i="32"/>
  <c r="J2114" i="32"/>
  <c r="L2124" i="32"/>
  <c r="J2025" i="32"/>
  <c r="J2094" i="32"/>
  <c r="J2123" i="32"/>
  <c r="K1989" i="32"/>
  <c r="I2046" i="32"/>
  <c r="L2098" i="32"/>
  <c r="I2064" i="32"/>
  <c r="K2090" i="32"/>
  <c r="I1967" i="32"/>
  <c r="I1992" i="32"/>
  <c r="I1993" i="32"/>
  <c r="I2055" i="32"/>
  <c r="I1968" i="32"/>
  <c r="I1950" i="32"/>
  <c r="J2020" i="32"/>
  <c r="I2027" i="32"/>
  <c r="M2033" i="32"/>
  <c r="I2063" i="32"/>
  <c r="I1942" i="32"/>
  <c r="I2045" i="32"/>
  <c r="J2066" i="32"/>
  <c r="L2053" i="32"/>
  <c r="K2030" i="32"/>
  <c r="I2017" i="32"/>
  <c r="M2040" i="32"/>
  <c r="L2048" i="32"/>
  <c r="K2049" i="32"/>
  <c r="L1941" i="32"/>
  <c r="K1964" i="32"/>
  <c r="I2011" i="32"/>
  <c r="L1990" i="32"/>
  <c r="J1999" i="32"/>
  <c r="K2000" i="32"/>
  <c r="I2001" i="32"/>
  <c r="I2002" i="32"/>
  <c r="I2036" i="32"/>
  <c r="I2037" i="32"/>
  <c r="K1949" i="32"/>
  <c r="I1959" i="32"/>
  <c r="L1945" i="32"/>
  <c r="J1948" i="32"/>
  <c r="L1965" i="32"/>
  <c r="K2009" i="32"/>
  <c r="I1976" i="32"/>
  <c r="I1977" i="32"/>
  <c r="J1980" i="32"/>
  <c r="E1928" i="32"/>
  <c r="G1929" i="32"/>
  <c r="G1928" i="32"/>
  <c r="G1927" i="32"/>
  <c r="G1926" i="32"/>
  <c r="N1931" i="32"/>
  <c r="M1931" i="32"/>
  <c r="L1931" i="32"/>
  <c r="J1931" i="32"/>
  <c r="I1931" i="32"/>
  <c r="H1931" i="32"/>
  <c r="F1931" i="32"/>
  <c r="K1931" i="32" s="1"/>
  <c r="N1930" i="32"/>
  <c r="M1930" i="32"/>
  <c r="K1930" i="32"/>
  <c r="J1930" i="32"/>
  <c r="I1930" i="32"/>
  <c r="H1930" i="32"/>
  <c r="F1930" i="32"/>
  <c r="L1930" i="32" s="1"/>
  <c r="N1929" i="32"/>
  <c r="M1929" i="32"/>
  <c r="L1929" i="32"/>
  <c r="K1929" i="32"/>
  <c r="J1929" i="32"/>
  <c r="H1929" i="32"/>
  <c r="F1929" i="32"/>
  <c r="N1928" i="32"/>
  <c r="M1928" i="32"/>
  <c r="L1928" i="32"/>
  <c r="K1928" i="32"/>
  <c r="J1928" i="32"/>
  <c r="H1928" i="32"/>
  <c r="F1928" i="32"/>
  <c r="N1927" i="32"/>
  <c r="M1927" i="32"/>
  <c r="J1927" i="32"/>
  <c r="I1927" i="32"/>
  <c r="H1927" i="32"/>
  <c r="F1927" i="32"/>
  <c r="K1927" i="32" s="1"/>
  <c r="N1926" i="32"/>
  <c r="M1926" i="32"/>
  <c r="L1926" i="32"/>
  <c r="K1926" i="32"/>
  <c r="I1926" i="32"/>
  <c r="H1926" i="32"/>
  <c r="F1926" i="32"/>
  <c r="E1919" i="32"/>
  <c r="F1919" i="32" s="1"/>
  <c r="G1920" i="32"/>
  <c r="G1919" i="32"/>
  <c r="G1918" i="32"/>
  <c r="G1917" i="32"/>
  <c r="N1923" i="32"/>
  <c r="L1923" i="32"/>
  <c r="K1923" i="32"/>
  <c r="I1923" i="32"/>
  <c r="H1923" i="32"/>
  <c r="F1923" i="32"/>
  <c r="M1923" i="32" s="1"/>
  <c r="N1922" i="32"/>
  <c r="L1922" i="32"/>
  <c r="J1922" i="32"/>
  <c r="I1922" i="32"/>
  <c r="H1922" i="32"/>
  <c r="F1922" i="32"/>
  <c r="M1922" i="32" s="1"/>
  <c r="N1921" i="32"/>
  <c r="K1921" i="32"/>
  <c r="J1921" i="32"/>
  <c r="I1921" i="32"/>
  <c r="H1921" i="32"/>
  <c r="F1921" i="32"/>
  <c r="M1921" i="32" s="1"/>
  <c r="N1920" i="32"/>
  <c r="M1920" i="32"/>
  <c r="L1920" i="32"/>
  <c r="K1920" i="32"/>
  <c r="J1920" i="32"/>
  <c r="H1920" i="32"/>
  <c r="F1920" i="32"/>
  <c r="N1919" i="32"/>
  <c r="M1919" i="32"/>
  <c r="L1919" i="32"/>
  <c r="K1919" i="32"/>
  <c r="J1919" i="32"/>
  <c r="H1919" i="32"/>
  <c r="N1918" i="32"/>
  <c r="M1918" i="32"/>
  <c r="J1918" i="32"/>
  <c r="I1918" i="32"/>
  <c r="H1918" i="32"/>
  <c r="L1918" i="32"/>
  <c r="F1918" i="32"/>
  <c r="N1917" i="32"/>
  <c r="M1917" i="32"/>
  <c r="L1917" i="32"/>
  <c r="K1917" i="32"/>
  <c r="I1917" i="32"/>
  <c r="H1917" i="32"/>
  <c r="F1917" i="32"/>
  <c r="N1914" i="32"/>
  <c r="L1914" i="32"/>
  <c r="K1914" i="32"/>
  <c r="J1914" i="32"/>
  <c r="I1914" i="32"/>
  <c r="H1914" i="32"/>
  <c r="F1914" i="32"/>
  <c r="M1914" i="32" s="1"/>
  <c r="N1913" i="32"/>
  <c r="L1913" i="32"/>
  <c r="K1913" i="32"/>
  <c r="J1913" i="32"/>
  <c r="I1913" i="32"/>
  <c r="H1913" i="32"/>
  <c r="F1913" i="32"/>
  <c r="M1913" i="32" s="1"/>
  <c r="N1912" i="32"/>
  <c r="L1912" i="32"/>
  <c r="K1912" i="32"/>
  <c r="J1912" i="32"/>
  <c r="I1912" i="32"/>
  <c r="H1912" i="32"/>
  <c r="F1912" i="32"/>
  <c r="M1912" i="32" s="1"/>
  <c r="N1911" i="32"/>
  <c r="M1911" i="32"/>
  <c r="L1911" i="32"/>
  <c r="K1911" i="32"/>
  <c r="J1911" i="32"/>
  <c r="H1911" i="32"/>
  <c r="G1911" i="32"/>
  <c r="F1911" i="32"/>
  <c r="N1910" i="32"/>
  <c r="M1910" i="32"/>
  <c r="L1910" i="32"/>
  <c r="K1910" i="32"/>
  <c r="J1910" i="32"/>
  <c r="H1910" i="32"/>
  <c r="G1910" i="32"/>
  <c r="E1910" i="32"/>
  <c r="F1910" i="32" s="1"/>
  <c r="N1909" i="32"/>
  <c r="M1909" i="32"/>
  <c r="L1909" i="32"/>
  <c r="J1909" i="32"/>
  <c r="I1909" i="32"/>
  <c r="H1909" i="32"/>
  <c r="F1909" i="32"/>
  <c r="K1909" i="32" s="1"/>
  <c r="N1908" i="32"/>
  <c r="M1908" i="32"/>
  <c r="K1908" i="32"/>
  <c r="J1908" i="32"/>
  <c r="I1908" i="32"/>
  <c r="H1908" i="32"/>
  <c r="G1908" i="32"/>
  <c r="F1908" i="32"/>
  <c r="N1907" i="32"/>
  <c r="L1907" i="32"/>
  <c r="K1907" i="32"/>
  <c r="J1907" i="32"/>
  <c r="I1907" i="32"/>
  <c r="H1907" i="32"/>
  <c r="G1907" i="32"/>
  <c r="F1907" i="32"/>
  <c r="H1904" i="32"/>
  <c r="I1904" i="32"/>
  <c r="J1904" i="32"/>
  <c r="K1904" i="32"/>
  <c r="L1904" i="32"/>
  <c r="M1904" i="32"/>
  <c r="F1904" i="32"/>
  <c r="N1904" i="32" s="1"/>
  <c r="E1899" i="32"/>
  <c r="F1899" i="32" s="1"/>
  <c r="G1900" i="32"/>
  <c r="G1899" i="32"/>
  <c r="G1897" i="32"/>
  <c r="G1896" i="32"/>
  <c r="N1903" i="32"/>
  <c r="L1903" i="32"/>
  <c r="K1903" i="32"/>
  <c r="J1903" i="32"/>
  <c r="I1903" i="32"/>
  <c r="H1903" i="32"/>
  <c r="F1903" i="32"/>
  <c r="M1903" i="32" s="1"/>
  <c r="N1902" i="32"/>
  <c r="L1902" i="32"/>
  <c r="K1902" i="32"/>
  <c r="J1902" i="32"/>
  <c r="I1902" i="32"/>
  <c r="H1902" i="32"/>
  <c r="F1902" i="32"/>
  <c r="M1902" i="32" s="1"/>
  <c r="N1901" i="32"/>
  <c r="K1901" i="32"/>
  <c r="J1901" i="32"/>
  <c r="I1901" i="32"/>
  <c r="H1901" i="32"/>
  <c r="F1901" i="32"/>
  <c r="L1901" i="32" s="1"/>
  <c r="N1900" i="32"/>
  <c r="M1900" i="32"/>
  <c r="L1900" i="32"/>
  <c r="K1900" i="32"/>
  <c r="J1900" i="32"/>
  <c r="H1900" i="32"/>
  <c r="F1900" i="32"/>
  <c r="N1899" i="32"/>
  <c r="M1899" i="32"/>
  <c r="L1899" i="32"/>
  <c r="K1899" i="32"/>
  <c r="J1899" i="32"/>
  <c r="H1899" i="32"/>
  <c r="N1898" i="32"/>
  <c r="M1898" i="32"/>
  <c r="L1898" i="32"/>
  <c r="J1898" i="32"/>
  <c r="I1898" i="32"/>
  <c r="H1898" i="32"/>
  <c r="F1898" i="32"/>
  <c r="K1898" i="32" s="1"/>
  <c r="N1897" i="32"/>
  <c r="M1897" i="32"/>
  <c r="K1897" i="32"/>
  <c r="J1897" i="32"/>
  <c r="I1897" i="32"/>
  <c r="H1897" i="32"/>
  <c r="F1897" i="32"/>
  <c r="N1896" i="32"/>
  <c r="L1896" i="32"/>
  <c r="K1896" i="32"/>
  <c r="J1896" i="32"/>
  <c r="I1896" i="32"/>
  <c r="H1896" i="32"/>
  <c r="F1896" i="32"/>
  <c r="H1893" i="32"/>
  <c r="I1893" i="32"/>
  <c r="J1893" i="32"/>
  <c r="K1893" i="32"/>
  <c r="L1893" i="32"/>
  <c r="N1893" i="32"/>
  <c r="F1893" i="32"/>
  <c r="M1893" i="32" s="1"/>
  <c r="E1889" i="32"/>
  <c r="G1887" i="32"/>
  <c r="G1886" i="32"/>
  <c r="N1892" i="32"/>
  <c r="L1892" i="32"/>
  <c r="K1892" i="32"/>
  <c r="J1892" i="32"/>
  <c r="I1892" i="32"/>
  <c r="H1892" i="32"/>
  <c r="F1892" i="32"/>
  <c r="M1892" i="32" s="1"/>
  <c r="N1891" i="32"/>
  <c r="M1891" i="32"/>
  <c r="K1891" i="32"/>
  <c r="J1891" i="32"/>
  <c r="I1891" i="32"/>
  <c r="H1891" i="32"/>
  <c r="F1891" i="32"/>
  <c r="L1891" i="32" s="1"/>
  <c r="N1890" i="32"/>
  <c r="M1890" i="32"/>
  <c r="L1890" i="32"/>
  <c r="K1890" i="32"/>
  <c r="J1890" i="32"/>
  <c r="H1890" i="32"/>
  <c r="G1890" i="32"/>
  <c r="F1890" i="32"/>
  <c r="N1889" i="32"/>
  <c r="M1889" i="32"/>
  <c r="L1889" i="32"/>
  <c r="K1889" i="32"/>
  <c r="J1889" i="32"/>
  <c r="H1889" i="32"/>
  <c r="G1889" i="32"/>
  <c r="F1889" i="32"/>
  <c r="N1888" i="32"/>
  <c r="M1888" i="32"/>
  <c r="L1888" i="32"/>
  <c r="J1888" i="32"/>
  <c r="I1888" i="32"/>
  <c r="H1888" i="32"/>
  <c r="F1888" i="32"/>
  <c r="K1888" i="32" s="1"/>
  <c r="N1887" i="32"/>
  <c r="M1887" i="32"/>
  <c r="K1887" i="32"/>
  <c r="J1887" i="32"/>
  <c r="I1887" i="32"/>
  <c r="H1887" i="32"/>
  <c r="F1887" i="32"/>
  <c r="N1886" i="32"/>
  <c r="L1886" i="32"/>
  <c r="K1886" i="32"/>
  <c r="I1886" i="32"/>
  <c r="H1886" i="32"/>
  <c r="F1886" i="32"/>
  <c r="J1886" i="32" s="1"/>
  <c r="E1880" i="32"/>
  <c r="G1878" i="32"/>
  <c r="G1877" i="32"/>
  <c r="N1883" i="32"/>
  <c r="M1883" i="32"/>
  <c r="L1883" i="32"/>
  <c r="J1883" i="32"/>
  <c r="I1883" i="32"/>
  <c r="H1883" i="32"/>
  <c r="F1883" i="32"/>
  <c r="K1883" i="32" s="1"/>
  <c r="N1882" i="32"/>
  <c r="M1882" i="32"/>
  <c r="K1882" i="32"/>
  <c r="J1882" i="32"/>
  <c r="I1882" i="32"/>
  <c r="H1882" i="32"/>
  <c r="F1882" i="32"/>
  <c r="L1882" i="32" s="1"/>
  <c r="N1881" i="32"/>
  <c r="M1881" i="32"/>
  <c r="L1881" i="32"/>
  <c r="K1881" i="32"/>
  <c r="J1881" i="32"/>
  <c r="H1881" i="32"/>
  <c r="G1881" i="32"/>
  <c r="F1881" i="32"/>
  <c r="N1880" i="32"/>
  <c r="M1880" i="32"/>
  <c r="L1880" i="32"/>
  <c r="K1880" i="32"/>
  <c r="J1880" i="32"/>
  <c r="H1880" i="32"/>
  <c r="G1880" i="32"/>
  <c r="F1880" i="32"/>
  <c r="N1879" i="32"/>
  <c r="M1879" i="32"/>
  <c r="L1879" i="32"/>
  <c r="K1879" i="32"/>
  <c r="I1879" i="32"/>
  <c r="H1879" i="32"/>
  <c r="F1879" i="32"/>
  <c r="J1879" i="32" s="1"/>
  <c r="N1878" i="32"/>
  <c r="M1878" i="32"/>
  <c r="K1878" i="32"/>
  <c r="J1878" i="32"/>
  <c r="I1878" i="32"/>
  <c r="H1878" i="32"/>
  <c r="F1878" i="32"/>
  <c r="N1877" i="32"/>
  <c r="M1877" i="32"/>
  <c r="L1877" i="32"/>
  <c r="K1877" i="32"/>
  <c r="I1877" i="32"/>
  <c r="H1877" i="32"/>
  <c r="F1877" i="32"/>
  <c r="E1871" i="32"/>
  <c r="F1871" i="32" s="1"/>
  <c r="G1872" i="32"/>
  <c r="G1871" i="32"/>
  <c r="N1874" i="32"/>
  <c r="M1874" i="32"/>
  <c r="K1874" i="32"/>
  <c r="J1874" i="32"/>
  <c r="I1874" i="32"/>
  <c r="H1874" i="32"/>
  <c r="F1874" i="32"/>
  <c r="L1874" i="32" s="1"/>
  <c r="N1873" i="32"/>
  <c r="M1873" i="32"/>
  <c r="L1873" i="32"/>
  <c r="K1873" i="32"/>
  <c r="I1873" i="32"/>
  <c r="H1873" i="32"/>
  <c r="F1873" i="32"/>
  <c r="J1873" i="32" s="1"/>
  <c r="N1872" i="32"/>
  <c r="M1872" i="32"/>
  <c r="L1872" i="32"/>
  <c r="K1872" i="32"/>
  <c r="J1872" i="32"/>
  <c r="H1872" i="32"/>
  <c r="F1872" i="32"/>
  <c r="N1871" i="32"/>
  <c r="M1871" i="32"/>
  <c r="L1871" i="32"/>
  <c r="K1871" i="32"/>
  <c r="J1871" i="32"/>
  <c r="H1871" i="32"/>
  <c r="N1870" i="32"/>
  <c r="M1870" i="32"/>
  <c r="L1870" i="32"/>
  <c r="J1870" i="32"/>
  <c r="I1870" i="32"/>
  <c r="H1870" i="32"/>
  <c r="G1870" i="32"/>
  <c r="F1870" i="32"/>
  <c r="N1869" i="32"/>
  <c r="M1869" i="32"/>
  <c r="L1869" i="32"/>
  <c r="K1869" i="32"/>
  <c r="I1869" i="32"/>
  <c r="H1869" i="32"/>
  <c r="G1869" i="32"/>
  <c r="F1869" i="32"/>
  <c r="H1854" i="32"/>
  <c r="I1854" i="32"/>
  <c r="J1854" i="32"/>
  <c r="L1854" i="32"/>
  <c r="M1854" i="32"/>
  <c r="N1854" i="32"/>
  <c r="F1854" i="32"/>
  <c r="K1854" i="32" s="1"/>
  <c r="E1850" i="32"/>
  <c r="F1850" i="32" s="1"/>
  <c r="G1851" i="32"/>
  <c r="G1850" i="32"/>
  <c r="G1848" i="32"/>
  <c r="G1847" i="32"/>
  <c r="N1853" i="32"/>
  <c r="L1853" i="32"/>
  <c r="J1853" i="32"/>
  <c r="I1853" i="32"/>
  <c r="H1853" i="32"/>
  <c r="F1853" i="32"/>
  <c r="M1853" i="32" s="1"/>
  <c r="N1852" i="32"/>
  <c r="K1852" i="32"/>
  <c r="J1852" i="32"/>
  <c r="I1852" i="32"/>
  <c r="H1852" i="32"/>
  <c r="F1852" i="32"/>
  <c r="M1852" i="32" s="1"/>
  <c r="N1851" i="32"/>
  <c r="M1851" i="32"/>
  <c r="L1851" i="32"/>
  <c r="K1851" i="32"/>
  <c r="J1851" i="32"/>
  <c r="H1851" i="32"/>
  <c r="F1851" i="32"/>
  <c r="N1850" i="32"/>
  <c r="M1850" i="32"/>
  <c r="L1850" i="32"/>
  <c r="K1850" i="32"/>
  <c r="J1850" i="32"/>
  <c r="H1850" i="32"/>
  <c r="N1849" i="32"/>
  <c r="M1849" i="32"/>
  <c r="L1849" i="32"/>
  <c r="I1849" i="32"/>
  <c r="H1849" i="32"/>
  <c r="F1849" i="32"/>
  <c r="K1849" i="32" s="1"/>
  <c r="N1848" i="32"/>
  <c r="M1848" i="32"/>
  <c r="K1848" i="32"/>
  <c r="J1848" i="32"/>
  <c r="I1848" i="32"/>
  <c r="H1848" i="32"/>
  <c r="F1848" i="32"/>
  <c r="N1847" i="32"/>
  <c r="M1847" i="32"/>
  <c r="L1847" i="32"/>
  <c r="K1847" i="32"/>
  <c r="I1847" i="32"/>
  <c r="H1847" i="32"/>
  <c r="F1847" i="32"/>
  <c r="E1841" i="32"/>
  <c r="F1841" i="32" s="1"/>
  <c r="E1840" i="32"/>
  <c r="F1840" i="32" s="1"/>
  <c r="G1841" i="32"/>
  <c r="G1840" i="32"/>
  <c r="G1838" i="32"/>
  <c r="G1837" i="32"/>
  <c r="L1844" i="32"/>
  <c r="K1844" i="32"/>
  <c r="J1844" i="32"/>
  <c r="I1844" i="32"/>
  <c r="H1844" i="32"/>
  <c r="F1844" i="32"/>
  <c r="M1844" i="32" s="1"/>
  <c r="N1843" i="32"/>
  <c r="L1843" i="32"/>
  <c r="K1843" i="32"/>
  <c r="J1843" i="32"/>
  <c r="I1843" i="32"/>
  <c r="H1843" i="32"/>
  <c r="F1843" i="32"/>
  <c r="M1843" i="32" s="1"/>
  <c r="N1842" i="32"/>
  <c r="K1842" i="32"/>
  <c r="J1842" i="32"/>
  <c r="I1842" i="32"/>
  <c r="H1842" i="32"/>
  <c r="F1842" i="32"/>
  <c r="L1842" i="32" s="1"/>
  <c r="N1841" i="32"/>
  <c r="M1841" i="32"/>
  <c r="L1841" i="32"/>
  <c r="K1841" i="32"/>
  <c r="J1841" i="32"/>
  <c r="H1841" i="32"/>
  <c r="N1840" i="32"/>
  <c r="M1840" i="32"/>
  <c r="L1840" i="32"/>
  <c r="K1840" i="32"/>
  <c r="J1840" i="32"/>
  <c r="H1840" i="32"/>
  <c r="N1839" i="32"/>
  <c r="M1839" i="32"/>
  <c r="L1839" i="32"/>
  <c r="J1839" i="32"/>
  <c r="I1839" i="32"/>
  <c r="H1839" i="32"/>
  <c r="F1839" i="32"/>
  <c r="K1839" i="32" s="1"/>
  <c r="N1838" i="32"/>
  <c r="M1838" i="32"/>
  <c r="K1838" i="32"/>
  <c r="J1838" i="32"/>
  <c r="I1838" i="32"/>
  <c r="H1838" i="32"/>
  <c r="F1838" i="32"/>
  <c r="N1837" i="32"/>
  <c r="L1837" i="32"/>
  <c r="K1837" i="32"/>
  <c r="J1837" i="32"/>
  <c r="I1837" i="32"/>
  <c r="H1837" i="32"/>
  <c r="F1837" i="32"/>
  <c r="N1834" i="32"/>
  <c r="L1834" i="32"/>
  <c r="K1834" i="32"/>
  <c r="J1834" i="32"/>
  <c r="I1834" i="32"/>
  <c r="H1834" i="32"/>
  <c r="F1834" i="32"/>
  <c r="M1834" i="32" s="1"/>
  <c r="E1830" i="32"/>
  <c r="F1830" i="32" s="1"/>
  <c r="G1831" i="32"/>
  <c r="G1830" i="32"/>
  <c r="G1828" i="32"/>
  <c r="G1827" i="32"/>
  <c r="N1833" i="32"/>
  <c r="L1833" i="32"/>
  <c r="J1833" i="32"/>
  <c r="I1833" i="32"/>
  <c r="H1833" i="32"/>
  <c r="F1833" i="32"/>
  <c r="K1833" i="32" s="1"/>
  <c r="N1832" i="32"/>
  <c r="M1832" i="32"/>
  <c r="K1832" i="32"/>
  <c r="J1832" i="32"/>
  <c r="I1832" i="32"/>
  <c r="H1832" i="32"/>
  <c r="F1832" i="32"/>
  <c r="L1832" i="32" s="1"/>
  <c r="N1831" i="32"/>
  <c r="M1831" i="32"/>
  <c r="L1831" i="32"/>
  <c r="K1831" i="32"/>
  <c r="J1831" i="32"/>
  <c r="H1831" i="32"/>
  <c r="F1831" i="32"/>
  <c r="N1830" i="32"/>
  <c r="M1830" i="32"/>
  <c r="L1830" i="32"/>
  <c r="K1830" i="32"/>
  <c r="J1830" i="32"/>
  <c r="H1830" i="32"/>
  <c r="N1829" i="32"/>
  <c r="M1829" i="32"/>
  <c r="L1829" i="32"/>
  <c r="J1829" i="32"/>
  <c r="I1829" i="32"/>
  <c r="H1829" i="32"/>
  <c r="F1829" i="32"/>
  <c r="K1829" i="32" s="1"/>
  <c r="N1828" i="32"/>
  <c r="M1828" i="32"/>
  <c r="K1828" i="32"/>
  <c r="J1828" i="32"/>
  <c r="I1828" i="32"/>
  <c r="H1828" i="32"/>
  <c r="F1828" i="32"/>
  <c r="N1827" i="32"/>
  <c r="L1827" i="32"/>
  <c r="K1827" i="32"/>
  <c r="I1827" i="32"/>
  <c r="H1827" i="32"/>
  <c r="F1827" i="32"/>
  <c r="J1827" i="32" s="1"/>
  <c r="E1821" i="32"/>
  <c r="G1819" i="32"/>
  <c r="G1818" i="32"/>
  <c r="N1824" i="32"/>
  <c r="M1824" i="32"/>
  <c r="L1824" i="32"/>
  <c r="J1824" i="32"/>
  <c r="I1824" i="32"/>
  <c r="H1824" i="32"/>
  <c r="F1824" i="32"/>
  <c r="K1824" i="32" s="1"/>
  <c r="N1823" i="32"/>
  <c r="M1823" i="32"/>
  <c r="K1823" i="32"/>
  <c r="J1823" i="32"/>
  <c r="I1823" i="32"/>
  <c r="H1823" i="32"/>
  <c r="F1823" i="32"/>
  <c r="L1823" i="32" s="1"/>
  <c r="N1822" i="32"/>
  <c r="M1822" i="32"/>
  <c r="L1822" i="32"/>
  <c r="K1822" i="32"/>
  <c r="J1822" i="32"/>
  <c r="H1822" i="32"/>
  <c r="G1822" i="32"/>
  <c r="F1822" i="32"/>
  <c r="N1821" i="32"/>
  <c r="M1821" i="32"/>
  <c r="L1821" i="32"/>
  <c r="K1821" i="32"/>
  <c r="J1821" i="32"/>
  <c r="H1821" i="32"/>
  <c r="G1821" i="32"/>
  <c r="F1821" i="32"/>
  <c r="N1820" i="32"/>
  <c r="M1820" i="32"/>
  <c r="L1820" i="32"/>
  <c r="K1820" i="32"/>
  <c r="I1820" i="32"/>
  <c r="H1820" i="32"/>
  <c r="F1820" i="32"/>
  <c r="J1820" i="32" s="1"/>
  <c r="N1819" i="32"/>
  <c r="M1819" i="32"/>
  <c r="K1819" i="32"/>
  <c r="J1819" i="32"/>
  <c r="I1819" i="32"/>
  <c r="H1819" i="32"/>
  <c r="F1819" i="32"/>
  <c r="N1818" i="32"/>
  <c r="M1818" i="32"/>
  <c r="L1818" i="32"/>
  <c r="K1818" i="32"/>
  <c r="I1818" i="32"/>
  <c r="H1818" i="32"/>
  <c r="F1818" i="32"/>
  <c r="N1815" i="32"/>
  <c r="M1815" i="32"/>
  <c r="L1815" i="32"/>
  <c r="J1815" i="32"/>
  <c r="I1815" i="32"/>
  <c r="H1815" i="32"/>
  <c r="F1815" i="32"/>
  <c r="K1815" i="32" s="1"/>
  <c r="N1814" i="32"/>
  <c r="M1814" i="32"/>
  <c r="L1814" i="32"/>
  <c r="J1814" i="32"/>
  <c r="I1814" i="32"/>
  <c r="H1814" i="32"/>
  <c r="F1814" i="32"/>
  <c r="K1814" i="32" s="1"/>
  <c r="N1813" i="32"/>
  <c r="M1813" i="32"/>
  <c r="K1813" i="32"/>
  <c r="J1813" i="32"/>
  <c r="I1813" i="32"/>
  <c r="H1813" i="32"/>
  <c r="F1813" i="32"/>
  <c r="L1813" i="32" s="1"/>
  <c r="N1812" i="32"/>
  <c r="M1812" i="32"/>
  <c r="L1812" i="32"/>
  <c r="K1812" i="32"/>
  <c r="J1812" i="32"/>
  <c r="H1812" i="32"/>
  <c r="G1812" i="32"/>
  <c r="F1812" i="32"/>
  <c r="N1811" i="32"/>
  <c r="M1811" i="32"/>
  <c r="L1811" i="32"/>
  <c r="K1811" i="32"/>
  <c r="J1811" i="32"/>
  <c r="H1811" i="32"/>
  <c r="G1811" i="32"/>
  <c r="E1811" i="32"/>
  <c r="F1811" i="32" s="1"/>
  <c r="N1810" i="32"/>
  <c r="M1810" i="32"/>
  <c r="L1810" i="32"/>
  <c r="K1810" i="32"/>
  <c r="I1810" i="32"/>
  <c r="H1810" i="32"/>
  <c r="F1810" i="32"/>
  <c r="J1810" i="32" s="1"/>
  <c r="N1809" i="32"/>
  <c r="M1809" i="32"/>
  <c r="K1809" i="32"/>
  <c r="J1809" i="32"/>
  <c r="I1809" i="32"/>
  <c r="H1809" i="32"/>
  <c r="G1809" i="32"/>
  <c r="F1809" i="32"/>
  <c r="N1808" i="32"/>
  <c r="M1808" i="32"/>
  <c r="L1808" i="32"/>
  <c r="K1808" i="32"/>
  <c r="I1808" i="32"/>
  <c r="H1808" i="32"/>
  <c r="G1808" i="32"/>
  <c r="F1808" i="32"/>
  <c r="E1801" i="32"/>
  <c r="F1801" i="32" s="1"/>
  <c r="G1799" i="32"/>
  <c r="G1798" i="32"/>
  <c r="N1805" i="32"/>
  <c r="M1805" i="32"/>
  <c r="L1805" i="32"/>
  <c r="J1805" i="32"/>
  <c r="I1805" i="32"/>
  <c r="H1805" i="32"/>
  <c r="F1805" i="32"/>
  <c r="K1805" i="32" s="1"/>
  <c r="N1804" i="32"/>
  <c r="M1804" i="32"/>
  <c r="J1804" i="32"/>
  <c r="I1804" i="32"/>
  <c r="H1804" i="32"/>
  <c r="F1804" i="32"/>
  <c r="L1804" i="32" s="1"/>
  <c r="N1803" i="32"/>
  <c r="M1803" i="32"/>
  <c r="K1803" i="32"/>
  <c r="J1803" i="32"/>
  <c r="I1803" i="32"/>
  <c r="H1803" i="32"/>
  <c r="F1803" i="32"/>
  <c r="L1803" i="32" s="1"/>
  <c r="N1802" i="32"/>
  <c r="M1802" i="32"/>
  <c r="L1802" i="32"/>
  <c r="K1802" i="32"/>
  <c r="J1802" i="32"/>
  <c r="H1802" i="32"/>
  <c r="G1802" i="32"/>
  <c r="F1802" i="32"/>
  <c r="N1801" i="32"/>
  <c r="M1801" i="32"/>
  <c r="L1801" i="32"/>
  <c r="K1801" i="32"/>
  <c r="J1801" i="32"/>
  <c r="H1801" i="32"/>
  <c r="G1801" i="32"/>
  <c r="N1800" i="32"/>
  <c r="M1800" i="32"/>
  <c r="L1800" i="32"/>
  <c r="K1800" i="32"/>
  <c r="I1800" i="32"/>
  <c r="H1800" i="32"/>
  <c r="F1800" i="32"/>
  <c r="J1800" i="32" s="1"/>
  <c r="N1799" i="32"/>
  <c r="M1799" i="32"/>
  <c r="K1799" i="32"/>
  <c r="J1799" i="32"/>
  <c r="I1799" i="32"/>
  <c r="H1799" i="32"/>
  <c r="F1799" i="32"/>
  <c r="N1798" i="32"/>
  <c r="M1798" i="32"/>
  <c r="L1798" i="32"/>
  <c r="K1798" i="32"/>
  <c r="I1798" i="32"/>
  <c r="H1798" i="32"/>
  <c r="F1798" i="32"/>
  <c r="E1791" i="32"/>
  <c r="F1791" i="32" s="1"/>
  <c r="G1789" i="32"/>
  <c r="G1788" i="32"/>
  <c r="N1795" i="32"/>
  <c r="M1795" i="32"/>
  <c r="L1795" i="32"/>
  <c r="J1795" i="32"/>
  <c r="I1795" i="32"/>
  <c r="H1795" i="32"/>
  <c r="F1795" i="32"/>
  <c r="K1795" i="32" s="1"/>
  <c r="N1794" i="32"/>
  <c r="M1794" i="32"/>
  <c r="K1794" i="32"/>
  <c r="J1794" i="32"/>
  <c r="I1794" i="32"/>
  <c r="H1794" i="32"/>
  <c r="F1794" i="32"/>
  <c r="L1794" i="32" s="1"/>
  <c r="N1793" i="32"/>
  <c r="M1793" i="32"/>
  <c r="K1793" i="32"/>
  <c r="J1793" i="32"/>
  <c r="I1793" i="32"/>
  <c r="H1793" i="32"/>
  <c r="F1793" i="32"/>
  <c r="L1793" i="32" s="1"/>
  <c r="N1792" i="32"/>
  <c r="M1792" i="32"/>
  <c r="L1792" i="32"/>
  <c r="K1792" i="32"/>
  <c r="J1792" i="32"/>
  <c r="H1792" i="32"/>
  <c r="G1792" i="32"/>
  <c r="F1792" i="32"/>
  <c r="N1791" i="32"/>
  <c r="M1791" i="32"/>
  <c r="L1791" i="32"/>
  <c r="K1791" i="32"/>
  <c r="J1791" i="32"/>
  <c r="H1791" i="32"/>
  <c r="G1791" i="32"/>
  <c r="N1790" i="32"/>
  <c r="M1790" i="32"/>
  <c r="L1790" i="32"/>
  <c r="K1790" i="32"/>
  <c r="I1790" i="32"/>
  <c r="H1790" i="32"/>
  <c r="F1790" i="32"/>
  <c r="J1790" i="32" s="1"/>
  <c r="N1789" i="32"/>
  <c r="M1789" i="32"/>
  <c r="K1789" i="32"/>
  <c r="J1789" i="32"/>
  <c r="I1789" i="32"/>
  <c r="H1789" i="32"/>
  <c r="F1789" i="32"/>
  <c r="N1788" i="32"/>
  <c r="M1788" i="32"/>
  <c r="L1788" i="32"/>
  <c r="K1788" i="32"/>
  <c r="I1788" i="32"/>
  <c r="H1788" i="32"/>
  <c r="F1788" i="32"/>
  <c r="E1782" i="32"/>
  <c r="F1782" i="32" s="1"/>
  <c r="G1781" i="32"/>
  <c r="G1780" i="32"/>
  <c r="N1785" i="32"/>
  <c r="M1785" i="32"/>
  <c r="J1785" i="32"/>
  <c r="I1785" i="32"/>
  <c r="H1785" i="32"/>
  <c r="F1785" i="32"/>
  <c r="K1785" i="32" s="1"/>
  <c r="N1784" i="32"/>
  <c r="M1784" i="32"/>
  <c r="J1784" i="32"/>
  <c r="I1784" i="32"/>
  <c r="H1784" i="32"/>
  <c r="F1784" i="32"/>
  <c r="L1784" i="32" s="1"/>
  <c r="N1783" i="32"/>
  <c r="M1783" i="32"/>
  <c r="L1783" i="32"/>
  <c r="K1783" i="32"/>
  <c r="J1783" i="32"/>
  <c r="H1783" i="32"/>
  <c r="G1783" i="32"/>
  <c r="F1783" i="32"/>
  <c r="N1782" i="32"/>
  <c r="M1782" i="32"/>
  <c r="L1782" i="32"/>
  <c r="K1782" i="32"/>
  <c r="J1782" i="32"/>
  <c r="H1782" i="32"/>
  <c r="G1782" i="32"/>
  <c r="N1781" i="32"/>
  <c r="M1781" i="32"/>
  <c r="J1781" i="32"/>
  <c r="I1781" i="32"/>
  <c r="H1781" i="32"/>
  <c r="F1781" i="32"/>
  <c r="L1781" i="32" s="1"/>
  <c r="N1780" i="32"/>
  <c r="M1780" i="32"/>
  <c r="L1780" i="32"/>
  <c r="K1780" i="32"/>
  <c r="I1780" i="32"/>
  <c r="H1780" i="32"/>
  <c r="F1780" i="32"/>
  <c r="J1780" i="32" s="1"/>
  <c r="N1776" i="32"/>
  <c r="M1776" i="32"/>
  <c r="K1776" i="32"/>
  <c r="J1776" i="32"/>
  <c r="I1776" i="32"/>
  <c r="H1776" i="32"/>
  <c r="F1776" i="32"/>
  <c r="L1776" i="32" s="1"/>
  <c r="N1775" i="32"/>
  <c r="M1775" i="32"/>
  <c r="K1775" i="32"/>
  <c r="J1775" i="32"/>
  <c r="I1775" i="32"/>
  <c r="H1775" i="32"/>
  <c r="F1775" i="32"/>
  <c r="L1775" i="32" s="1"/>
  <c r="N1774" i="32"/>
  <c r="M1774" i="32"/>
  <c r="L1774" i="32"/>
  <c r="K1774" i="32"/>
  <c r="I1774" i="32"/>
  <c r="H1774" i="32"/>
  <c r="F1774" i="32"/>
  <c r="J1774" i="32" s="1"/>
  <c r="N1773" i="32"/>
  <c r="M1773" i="32"/>
  <c r="L1773" i="32"/>
  <c r="K1773" i="32"/>
  <c r="J1773" i="32"/>
  <c r="H1773" i="32"/>
  <c r="G1773" i="32"/>
  <c r="F1773" i="32"/>
  <c r="N1772" i="32"/>
  <c r="M1772" i="32"/>
  <c r="L1772" i="32"/>
  <c r="K1772" i="32"/>
  <c r="J1772" i="32"/>
  <c r="H1772" i="32"/>
  <c r="G1772" i="32"/>
  <c r="E1772" i="32"/>
  <c r="F1772" i="32" s="1"/>
  <c r="N1771" i="32"/>
  <c r="M1771" i="32"/>
  <c r="L1771" i="32"/>
  <c r="J1771" i="32"/>
  <c r="I1771" i="32"/>
  <c r="H1771" i="32"/>
  <c r="G1771" i="32"/>
  <c r="F1771" i="32"/>
  <c r="N1770" i="32"/>
  <c r="M1770" i="32"/>
  <c r="L1770" i="32"/>
  <c r="K1770" i="32"/>
  <c r="I1770" i="32"/>
  <c r="H1770" i="32"/>
  <c r="G1770" i="32"/>
  <c r="F1770" i="32"/>
  <c r="N1753" i="32"/>
  <c r="M1753" i="32"/>
  <c r="K1753" i="32"/>
  <c r="I1753" i="32"/>
  <c r="H1753" i="32"/>
  <c r="F1753" i="32"/>
  <c r="L1753" i="32" s="1"/>
  <c r="E1763" i="32"/>
  <c r="F1763" i="32" s="1"/>
  <c r="G1764" i="32"/>
  <c r="G1763" i="32"/>
  <c r="G1762" i="32"/>
  <c r="G1761" i="32"/>
  <c r="E1754" i="32"/>
  <c r="F1754" i="32" s="1"/>
  <c r="G1755" i="32"/>
  <c r="G1754" i="32"/>
  <c r="G1752" i="32"/>
  <c r="G1751" i="32"/>
  <c r="N1767" i="32"/>
  <c r="M1767" i="32"/>
  <c r="K1767" i="32"/>
  <c r="J1767" i="32"/>
  <c r="I1767" i="32"/>
  <c r="H1767" i="32"/>
  <c r="F1767" i="32"/>
  <c r="L1767" i="32" s="1"/>
  <c r="N1766" i="32"/>
  <c r="M1766" i="32"/>
  <c r="K1766" i="32"/>
  <c r="J1766" i="32"/>
  <c r="I1766" i="32"/>
  <c r="H1766" i="32"/>
  <c r="F1766" i="32"/>
  <c r="L1766" i="32" s="1"/>
  <c r="N1765" i="32"/>
  <c r="M1765" i="32"/>
  <c r="L1765" i="32"/>
  <c r="I1765" i="32"/>
  <c r="H1765" i="32"/>
  <c r="F1765" i="32"/>
  <c r="K1765" i="32" s="1"/>
  <c r="N1764" i="32"/>
  <c r="M1764" i="32"/>
  <c r="L1764" i="32"/>
  <c r="K1764" i="32"/>
  <c r="J1764" i="32"/>
  <c r="H1764" i="32"/>
  <c r="F1764" i="32"/>
  <c r="N1763" i="32"/>
  <c r="M1763" i="32"/>
  <c r="L1763" i="32"/>
  <c r="K1763" i="32"/>
  <c r="J1763" i="32"/>
  <c r="H1763" i="32"/>
  <c r="N1762" i="32"/>
  <c r="M1762" i="32"/>
  <c r="J1762" i="32"/>
  <c r="I1762" i="32"/>
  <c r="H1762" i="32"/>
  <c r="F1762" i="32"/>
  <c r="L1762" i="32" s="1"/>
  <c r="N1761" i="32"/>
  <c r="M1761" i="32"/>
  <c r="L1761" i="32"/>
  <c r="K1761" i="32"/>
  <c r="I1761" i="32"/>
  <c r="H1761" i="32"/>
  <c r="F1761" i="32"/>
  <c r="N1758" i="32"/>
  <c r="M1758" i="32"/>
  <c r="J1758" i="32"/>
  <c r="I1758" i="32"/>
  <c r="H1758" i="32"/>
  <c r="F1758" i="32"/>
  <c r="L1758" i="32" s="1"/>
  <c r="N1757" i="32"/>
  <c r="M1757" i="32"/>
  <c r="K1757" i="32"/>
  <c r="J1757" i="32"/>
  <c r="I1757" i="32"/>
  <c r="H1757" i="32"/>
  <c r="F1757" i="32"/>
  <c r="L1757" i="32" s="1"/>
  <c r="N1756" i="32"/>
  <c r="M1756" i="32"/>
  <c r="J1756" i="32"/>
  <c r="I1756" i="32"/>
  <c r="H1756" i="32"/>
  <c r="F1756" i="32"/>
  <c r="K1756" i="32" s="1"/>
  <c r="N1755" i="32"/>
  <c r="M1755" i="32"/>
  <c r="L1755" i="32"/>
  <c r="K1755" i="32"/>
  <c r="J1755" i="32"/>
  <c r="H1755" i="32"/>
  <c r="F1755" i="32"/>
  <c r="N1754" i="32"/>
  <c r="M1754" i="32"/>
  <c r="L1754" i="32"/>
  <c r="K1754" i="32"/>
  <c r="J1754" i="32"/>
  <c r="H1754" i="32"/>
  <c r="N1752" i="32"/>
  <c r="M1752" i="32"/>
  <c r="K1752" i="32"/>
  <c r="J1752" i="32"/>
  <c r="I1752" i="32"/>
  <c r="H1752" i="32"/>
  <c r="F1752" i="32"/>
  <c r="N1751" i="32"/>
  <c r="M1751" i="32"/>
  <c r="L1751" i="32"/>
  <c r="K1751" i="32"/>
  <c r="I1751" i="32"/>
  <c r="H1751" i="32"/>
  <c r="F1751" i="32"/>
  <c r="E1744" i="32"/>
  <c r="F1744" i="32" s="1"/>
  <c r="G1745" i="32"/>
  <c r="G1744" i="32"/>
  <c r="G1743" i="32"/>
  <c r="G1742" i="32"/>
  <c r="N1748" i="32"/>
  <c r="M1748" i="32"/>
  <c r="K1748" i="32"/>
  <c r="J1748" i="32"/>
  <c r="I1748" i="32"/>
  <c r="H1748" i="32"/>
  <c r="F1748" i="32"/>
  <c r="L1748" i="32" s="1"/>
  <c r="N1747" i="32"/>
  <c r="M1747" i="32"/>
  <c r="K1747" i="32"/>
  <c r="J1747" i="32"/>
  <c r="I1747" i="32"/>
  <c r="H1747" i="32"/>
  <c r="F1747" i="32"/>
  <c r="L1747" i="32" s="1"/>
  <c r="N1746" i="32"/>
  <c r="M1746" i="32"/>
  <c r="L1746" i="32"/>
  <c r="J1746" i="32"/>
  <c r="I1746" i="32"/>
  <c r="H1746" i="32"/>
  <c r="F1746" i="32"/>
  <c r="K1746" i="32" s="1"/>
  <c r="N1745" i="32"/>
  <c r="M1745" i="32"/>
  <c r="L1745" i="32"/>
  <c r="K1745" i="32"/>
  <c r="J1745" i="32"/>
  <c r="H1745" i="32"/>
  <c r="F1745" i="32"/>
  <c r="N1744" i="32"/>
  <c r="M1744" i="32"/>
  <c r="L1744" i="32"/>
  <c r="K1744" i="32"/>
  <c r="J1744" i="32"/>
  <c r="H1744" i="32"/>
  <c r="N1743" i="32"/>
  <c r="K1743" i="32"/>
  <c r="J1743" i="32"/>
  <c r="I1743" i="32"/>
  <c r="H1743" i="32"/>
  <c r="F1743" i="32"/>
  <c r="N1742" i="32"/>
  <c r="M1742" i="32"/>
  <c r="L1742" i="32"/>
  <c r="I1742" i="32"/>
  <c r="H1742" i="32"/>
  <c r="K1742" i="32"/>
  <c r="F1742" i="32"/>
  <c r="N1720" i="32"/>
  <c r="M1720" i="32"/>
  <c r="K1720" i="32"/>
  <c r="J1720" i="32"/>
  <c r="I1720" i="32"/>
  <c r="H1720" i="32"/>
  <c r="F1720" i="32"/>
  <c r="L1720" i="32" s="1"/>
  <c r="E1716" i="32"/>
  <c r="G1717" i="32"/>
  <c r="G1716" i="32"/>
  <c r="G1715" i="32"/>
  <c r="G1714" i="32"/>
  <c r="N1719" i="32"/>
  <c r="M1719" i="32"/>
  <c r="K1719" i="32"/>
  <c r="J1719" i="32"/>
  <c r="I1719" i="32"/>
  <c r="H1719" i="32"/>
  <c r="F1719" i="32"/>
  <c r="L1719" i="32" s="1"/>
  <c r="N1718" i="32"/>
  <c r="M1718" i="32"/>
  <c r="L1718" i="32"/>
  <c r="J1718" i="32"/>
  <c r="I1718" i="32"/>
  <c r="H1718" i="32"/>
  <c r="F1718" i="32"/>
  <c r="K1718" i="32" s="1"/>
  <c r="N1717" i="32"/>
  <c r="M1717" i="32"/>
  <c r="L1717" i="32"/>
  <c r="K1717" i="32"/>
  <c r="J1717" i="32"/>
  <c r="H1717" i="32"/>
  <c r="F1717" i="32"/>
  <c r="N1716" i="32"/>
  <c r="M1716" i="32"/>
  <c r="L1716" i="32"/>
  <c r="K1716" i="32"/>
  <c r="J1716" i="32"/>
  <c r="H1716" i="32"/>
  <c r="F1716" i="32"/>
  <c r="N1715" i="32"/>
  <c r="K1715" i="32"/>
  <c r="J1715" i="32"/>
  <c r="I1715" i="32"/>
  <c r="H1715" i="32"/>
  <c r="F1715" i="32"/>
  <c r="L1715" i="32" s="1"/>
  <c r="N1714" i="32"/>
  <c r="M1714" i="32"/>
  <c r="L1714" i="32"/>
  <c r="I1714" i="32"/>
  <c r="H1714" i="32"/>
  <c r="F1714" i="32"/>
  <c r="J1714" i="32" s="1"/>
  <c r="N1711" i="32"/>
  <c r="M1711" i="32"/>
  <c r="L1711" i="32"/>
  <c r="J1711" i="32"/>
  <c r="I1711" i="32"/>
  <c r="H1711" i="32"/>
  <c r="F1711" i="32"/>
  <c r="K1711" i="32" s="1"/>
  <c r="N1710" i="32"/>
  <c r="M1710" i="32"/>
  <c r="L1710" i="32"/>
  <c r="J1710" i="32"/>
  <c r="I1710" i="32"/>
  <c r="H1710" i="32"/>
  <c r="F1710" i="32"/>
  <c r="K1710" i="32" s="1"/>
  <c r="N1709" i="32"/>
  <c r="M1709" i="32"/>
  <c r="L1709" i="32"/>
  <c r="K1709" i="32"/>
  <c r="J1709" i="32"/>
  <c r="H1709" i="32"/>
  <c r="G1709" i="32"/>
  <c r="F1709" i="32"/>
  <c r="N1708" i="32"/>
  <c r="M1708" i="32"/>
  <c r="L1708" i="32"/>
  <c r="K1708" i="32"/>
  <c r="J1708" i="32"/>
  <c r="H1708" i="32"/>
  <c r="G1708" i="32"/>
  <c r="E1708" i="32"/>
  <c r="F1708" i="32" s="1"/>
  <c r="N1707" i="32"/>
  <c r="M1707" i="32"/>
  <c r="K1707" i="32"/>
  <c r="J1707" i="32"/>
  <c r="I1707" i="32"/>
  <c r="H1707" i="32"/>
  <c r="G1707" i="32"/>
  <c r="F1707" i="32"/>
  <c r="N1706" i="32"/>
  <c r="M1706" i="32"/>
  <c r="L1706" i="32"/>
  <c r="K1706" i="32"/>
  <c r="I1706" i="32"/>
  <c r="H1706" i="32"/>
  <c r="G1706" i="32"/>
  <c r="F1706" i="32"/>
  <c r="G1701" i="32"/>
  <c r="G1700" i="32"/>
  <c r="G1699" i="32"/>
  <c r="G1698" i="32"/>
  <c r="N1703" i="32"/>
  <c r="M1703" i="32"/>
  <c r="J1703" i="32"/>
  <c r="I1703" i="32"/>
  <c r="H1703" i="32"/>
  <c r="F1703" i="32"/>
  <c r="L1703" i="32" s="1"/>
  <c r="N1702" i="32"/>
  <c r="M1702" i="32"/>
  <c r="J1702" i="32"/>
  <c r="I1702" i="32"/>
  <c r="H1702" i="32"/>
  <c r="F1702" i="32"/>
  <c r="L1702" i="32" s="1"/>
  <c r="N1701" i="32"/>
  <c r="M1701" i="32"/>
  <c r="L1701" i="32"/>
  <c r="K1701" i="32"/>
  <c r="J1701" i="32"/>
  <c r="H1701" i="32"/>
  <c r="F1701" i="32"/>
  <c r="N1700" i="32"/>
  <c r="M1700" i="32"/>
  <c r="L1700" i="32"/>
  <c r="K1700" i="32"/>
  <c r="J1700" i="32"/>
  <c r="H1700" i="32"/>
  <c r="E1700" i="32"/>
  <c r="F1700" i="32" s="1"/>
  <c r="N1699" i="32"/>
  <c r="M1699" i="32"/>
  <c r="J1699" i="32"/>
  <c r="I1699" i="32"/>
  <c r="H1699" i="32"/>
  <c r="F1699" i="32"/>
  <c r="K1699" i="32" s="1"/>
  <c r="N1698" i="32"/>
  <c r="M1698" i="32"/>
  <c r="L1698" i="32"/>
  <c r="K1698" i="32"/>
  <c r="I1698" i="32"/>
  <c r="H1698" i="32"/>
  <c r="F1698" i="32"/>
  <c r="N1668" i="32"/>
  <c r="M1668" i="32"/>
  <c r="J1668" i="32"/>
  <c r="I1668" i="32"/>
  <c r="H1668" i="32"/>
  <c r="F1668" i="32"/>
  <c r="L1668" i="32" s="1"/>
  <c r="N1667" i="32"/>
  <c r="M1667" i="32"/>
  <c r="J1667" i="32"/>
  <c r="I1667" i="32"/>
  <c r="H1667" i="32"/>
  <c r="F1667" i="32"/>
  <c r="K1667" i="32" s="1"/>
  <c r="N1666" i="32"/>
  <c r="M1666" i="32"/>
  <c r="K1666" i="32"/>
  <c r="J1666" i="32"/>
  <c r="I1666" i="32"/>
  <c r="H1666" i="32"/>
  <c r="F1666" i="32"/>
  <c r="L1666" i="32" s="1"/>
  <c r="N1665" i="32"/>
  <c r="M1665" i="32"/>
  <c r="L1665" i="32"/>
  <c r="K1665" i="32"/>
  <c r="J1665" i="32"/>
  <c r="H1665" i="32"/>
  <c r="G1665" i="32"/>
  <c r="F1665" i="32"/>
  <c r="E1629" i="32"/>
  <c r="F1629" i="32" s="1"/>
  <c r="G1628" i="32"/>
  <c r="G1627" i="32"/>
  <c r="N1632" i="32"/>
  <c r="M1632" i="32"/>
  <c r="L1632" i="32"/>
  <c r="I1632" i="32"/>
  <c r="H1632" i="32"/>
  <c r="F1632" i="32"/>
  <c r="J1632" i="32" s="1"/>
  <c r="N1631" i="32"/>
  <c r="M1631" i="32"/>
  <c r="K1631" i="32"/>
  <c r="J1631" i="32"/>
  <c r="I1631" i="32"/>
  <c r="H1631" i="32"/>
  <c r="F1631" i="32"/>
  <c r="L1631" i="32" s="1"/>
  <c r="N1630" i="32"/>
  <c r="M1630" i="32"/>
  <c r="L1630" i="32"/>
  <c r="K1630" i="32"/>
  <c r="J1630" i="32"/>
  <c r="H1630" i="32"/>
  <c r="G1630" i="32"/>
  <c r="F1630" i="32"/>
  <c r="N1629" i="32"/>
  <c r="M1629" i="32"/>
  <c r="L1629" i="32"/>
  <c r="K1629" i="32"/>
  <c r="J1629" i="32"/>
  <c r="H1629" i="32"/>
  <c r="G1629" i="32"/>
  <c r="N1628" i="32"/>
  <c r="M1628" i="32"/>
  <c r="L1628" i="32"/>
  <c r="J1628" i="32"/>
  <c r="I1628" i="32"/>
  <c r="H1628" i="32"/>
  <c r="F1628" i="32"/>
  <c r="N1627" i="32"/>
  <c r="M1627" i="32"/>
  <c r="L1627" i="32"/>
  <c r="K1627" i="32"/>
  <c r="I1627" i="32"/>
  <c r="H1627" i="32"/>
  <c r="F1627" i="32"/>
  <c r="E1620" i="32"/>
  <c r="F1620" i="32" s="1"/>
  <c r="G1621" i="32"/>
  <c r="G1620" i="32"/>
  <c r="G1619" i="32"/>
  <c r="G1618" i="32"/>
  <c r="N1624" i="32"/>
  <c r="L1624" i="32"/>
  <c r="K1624" i="32"/>
  <c r="I1624" i="32"/>
  <c r="H1624" i="32"/>
  <c r="F1624" i="32"/>
  <c r="M1624" i="32" s="1"/>
  <c r="N1623" i="32"/>
  <c r="M1623" i="32"/>
  <c r="K1623" i="32"/>
  <c r="J1623" i="32"/>
  <c r="I1623" i="32"/>
  <c r="H1623" i="32"/>
  <c r="F1623" i="32"/>
  <c r="L1623" i="32" s="1"/>
  <c r="N1622" i="32"/>
  <c r="M1622" i="32"/>
  <c r="K1622" i="32"/>
  <c r="J1622" i="32"/>
  <c r="I1622" i="32"/>
  <c r="H1622" i="32"/>
  <c r="F1622" i="32"/>
  <c r="L1622" i="32" s="1"/>
  <c r="N1621" i="32"/>
  <c r="M1621" i="32"/>
  <c r="L1621" i="32"/>
  <c r="K1621" i="32"/>
  <c r="J1621" i="32"/>
  <c r="H1621" i="32"/>
  <c r="F1621" i="32"/>
  <c r="N1620" i="32"/>
  <c r="M1620" i="32"/>
  <c r="L1620" i="32"/>
  <c r="K1620" i="32"/>
  <c r="J1620" i="32"/>
  <c r="H1620" i="32"/>
  <c r="N1619" i="32"/>
  <c r="L1619" i="32"/>
  <c r="J1619" i="32"/>
  <c r="I1619" i="32"/>
  <c r="H1619" i="32"/>
  <c r="M1619" i="32"/>
  <c r="F1619" i="32"/>
  <c r="N1618" i="32"/>
  <c r="M1618" i="32"/>
  <c r="L1618" i="32"/>
  <c r="I1618" i="32"/>
  <c r="H1618" i="32"/>
  <c r="F1618" i="32"/>
  <c r="K1618" i="32" s="1"/>
  <c r="N1615" i="32"/>
  <c r="K1615" i="32"/>
  <c r="J1615" i="32"/>
  <c r="I1615" i="32"/>
  <c r="H1615" i="32"/>
  <c r="F1615" i="32"/>
  <c r="L1615" i="32" s="1"/>
  <c r="E1612" i="32"/>
  <c r="F1612" i="32" s="1"/>
  <c r="E1611" i="32"/>
  <c r="F1611" i="32" s="1"/>
  <c r="G1612" i="32"/>
  <c r="G1611" i="32"/>
  <c r="G1609" i="32"/>
  <c r="G1608" i="32"/>
  <c r="N1614" i="32"/>
  <c r="M1614" i="32"/>
  <c r="K1614" i="32"/>
  <c r="J1614" i="32"/>
  <c r="I1614" i="32"/>
  <c r="H1614" i="32"/>
  <c r="F1614" i="32"/>
  <c r="L1614" i="32" s="1"/>
  <c r="N1613" i="32"/>
  <c r="M1613" i="32"/>
  <c r="K1613" i="32"/>
  <c r="J1613" i="32"/>
  <c r="I1613" i="32"/>
  <c r="H1613" i="32"/>
  <c r="F1613" i="32"/>
  <c r="L1613" i="32" s="1"/>
  <c r="N1612" i="32"/>
  <c r="M1612" i="32"/>
  <c r="L1612" i="32"/>
  <c r="K1612" i="32"/>
  <c r="J1612" i="32"/>
  <c r="H1612" i="32"/>
  <c r="N1611" i="32"/>
  <c r="M1611" i="32"/>
  <c r="L1611" i="32"/>
  <c r="K1611" i="32"/>
  <c r="J1611" i="32"/>
  <c r="H1611" i="32"/>
  <c r="N1610" i="32"/>
  <c r="M1610" i="32"/>
  <c r="L1610" i="32"/>
  <c r="K1610" i="32"/>
  <c r="I1610" i="32"/>
  <c r="H1610" i="32"/>
  <c r="F1610" i="32"/>
  <c r="J1610" i="32" s="1"/>
  <c r="N1609" i="32"/>
  <c r="L1609" i="32"/>
  <c r="K1609" i="32"/>
  <c r="J1609" i="32"/>
  <c r="I1609" i="32"/>
  <c r="H1609" i="32"/>
  <c r="F1609" i="32"/>
  <c r="N1608" i="32"/>
  <c r="M1608" i="32"/>
  <c r="L1608" i="32"/>
  <c r="I1608" i="32"/>
  <c r="H1608" i="32"/>
  <c r="F1608" i="32"/>
  <c r="N1604" i="32"/>
  <c r="M1604" i="32"/>
  <c r="K1604" i="32"/>
  <c r="J1604" i="32"/>
  <c r="I1604" i="32"/>
  <c r="H1604" i="32"/>
  <c r="F1604" i="32"/>
  <c r="L1604" i="32" s="1"/>
  <c r="E1601" i="32"/>
  <c r="F1601" i="32" s="1"/>
  <c r="G1602" i="32"/>
  <c r="G1601" i="32"/>
  <c r="G1600" i="32"/>
  <c r="G1599" i="32"/>
  <c r="N1605" i="32"/>
  <c r="M1605" i="32"/>
  <c r="L1605" i="32"/>
  <c r="K1605" i="32"/>
  <c r="I1605" i="32"/>
  <c r="H1605" i="32"/>
  <c r="F1605" i="32"/>
  <c r="J1605" i="32" s="1"/>
  <c r="N1603" i="32"/>
  <c r="M1603" i="32"/>
  <c r="K1603" i="32"/>
  <c r="J1603" i="32"/>
  <c r="I1603" i="32"/>
  <c r="H1603" i="32"/>
  <c r="F1603" i="32"/>
  <c r="L1603" i="32" s="1"/>
  <c r="N1602" i="32"/>
  <c r="M1602" i="32"/>
  <c r="L1602" i="32"/>
  <c r="K1602" i="32"/>
  <c r="J1602" i="32"/>
  <c r="H1602" i="32"/>
  <c r="F1602" i="32"/>
  <c r="I1602" i="32" s="1"/>
  <c r="N1601" i="32"/>
  <c r="M1601" i="32"/>
  <c r="L1601" i="32"/>
  <c r="K1601" i="32"/>
  <c r="J1601" i="32"/>
  <c r="H1601" i="32"/>
  <c r="N1600" i="32"/>
  <c r="M1600" i="32"/>
  <c r="J1600" i="32"/>
  <c r="I1600" i="32"/>
  <c r="H1600" i="32"/>
  <c r="F1600" i="32"/>
  <c r="L1600" i="32" s="1"/>
  <c r="N1599" i="32"/>
  <c r="M1599" i="32"/>
  <c r="L1599" i="32"/>
  <c r="K1599" i="32"/>
  <c r="I1599" i="32"/>
  <c r="H1599" i="32"/>
  <c r="F1599" i="32"/>
  <c r="E1592" i="32"/>
  <c r="F1592" i="32" s="1"/>
  <c r="G1593" i="32"/>
  <c r="G1592" i="32"/>
  <c r="G1590" i="32"/>
  <c r="G1589" i="32"/>
  <c r="N1596" i="32"/>
  <c r="M1596" i="32"/>
  <c r="K1596" i="32"/>
  <c r="J1596" i="32"/>
  <c r="I1596" i="32"/>
  <c r="H1596" i="32"/>
  <c r="F1596" i="32"/>
  <c r="L1596" i="32" s="1"/>
  <c r="N1595" i="32"/>
  <c r="M1595" i="32"/>
  <c r="K1595" i="32"/>
  <c r="J1595" i="32"/>
  <c r="I1595" i="32"/>
  <c r="H1595" i="32"/>
  <c r="F1595" i="32"/>
  <c r="L1595" i="32" s="1"/>
  <c r="N1594" i="32"/>
  <c r="M1594" i="32"/>
  <c r="K1594" i="32"/>
  <c r="J1594" i="32"/>
  <c r="I1594" i="32"/>
  <c r="H1594" i="32"/>
  <c r="F1594" i="32"/>
  <c r="L1594" i="32" s="1"/>
  <c r="N1593" i="32"/>
  <c r="M1593" i="32"/>
  <c r="L1593" i="32"/>
  <c r="K1593" i="32"/>
  <c r="J1593" i="32"/>
  <c r="H1593" i="32"/>
  <c r="F1593" i="32"/>
  <c r="N1592" i="32"/>
  <c r="M1592" i="32"/>
  <c r="L1592" i="32"/>
  <c r="K1592" i="32"/>
  <c r="J1592" i="32"/>
  <c r="H1592" i="32"/>
  <c r="N1591" i="32"/>
  <c r="M1591" i="32"/>
  <c r="L1591" i="32"/>
  <c r="I1591" i="32"/>
  <c r="H1591" i="32"/>
  <c r="F1591" i="32"/>
  <c r="K1591" i="32" s="1"/>
  <c r="N1590" i="32"/>
  <c r="K1590" i="32"/>
  <c r="J1590" i="32"/>
  <c r="I1590" i="32"/>
  <c r="H1590" i="32"/>
  <c r="F1590" i="32"/>
  <c r="L1590" i="32" s="1"/>
  <c r="N1589" i="32"/>
  <c r="M1589" i="32"/>
  <c r="L1589" i="32"/>
  <c r="K1589" i="32"/>
  <c r="I1589" i="32"/>
  <c r="H1589" i="32"/>
  <c r="F1589" i="32"/>
  <c r="N1586" i="32"/>
  <c r="M1586" i="32"/>
  <c r="L1586" i="32"/>
  <c r="J1586" i="32"/>
  <c r="I1586" i="32"/>
  <c r="H1586" i="32"/>
  <c r="F1586" i="32"/>
  <c r="K1586" i="32" s="1"/>
  <c r="N1585" i="32"/>
  <c r="M1585" i="32"/>
  <c r="K1585" i="32"/>
  <c r="J1585" i="32"/>
  <c r="I1585" i="32"/>
  <c r="H1585" i="32"/>
  <c r="F1585" i="32"/>
  <c r="L1585" i="32" s="1"/>
  <c r="N1584" i="32"/>
  <c r="M1584" i="32"/>
  <c r="L1584" i="32"/>
  <c r="K1584" i="32"/>
  <c r="J1584" i="32"/>
  <c r="H1584" i="32"/>
  <c r="G1584" i="32"/>
  <c r="E1584" i="32"/>
  <c r="F1584" i="32" s="1"/>
  <c r="N1583" i="32"/>
  <c r="M1583" i="32"/>
  <c r="L1583" i="32"/>
  <c r="K1583" i="32"/>
  <c r="J1583" i="32"/>
  <c r="H1583" i="32"/>
  <c r="G1583" i="32"/>
  <c r="E1583" i="32"/>
  <c r="F1583" i="32" s="1"/>
  <c r="N1582" i="32"/>
  <c r="M1582" i="32"/>
  <c r="K1582" i="32"/>
  <c r="J1582" i="32"/>
  <c r="I1582" i="32"/>
  <c r="H1582" i="32"/>
  <c r="G1582" i="32"/>
  <c r="F1582" i="32"/>
  <c r="N1581" i="32"/>
  <c r="M1581" i="32"/>
  <c r="L1581" i="32"/>
  <c r="K1581" i="32"/>
  <c r="I1581" i="32"/>
  <c r="H1581" i="32"/>
  <c r="G1581" i="32"/>
  <c r="F1581" i="32"/>
  <c r="N1578" i="32"/>
  <c r="M1578" i="32"/>
  <c r="L1578" i="32"/>
  <c r="J1578" i="32"/>
  <c r="I1578" i="32"/>
  <c r="H1578" i="32"/>
  <c r="F1578" i="32"/>
  <c r="K1578" i="32" s="1"/>
  <c r="N1577" i="32"/>
  <c r="M1577" i="32"/>
  <c r="K1577" i="32"/>
  <c r="J1577" i="32"/>
  <c r="I1577" i="32"/>
  <c r="H1577" i="32"/>
  <c r="F1577" i="32"/>
  <c r="L1577" i="32" s="1"/>
  <c r="N1576" i="32"/>
  <c r="M1576" i="32"/>
  <c r="L1576" i="32"/>
  <c r="K1576" i="32"/>
  <c r="J1576" i="32"/>
  <c r="H1576" i="32"/>
  <c r="G1576" i="32"/>
  <c r="E1576" i="32"/>
  <c r="F1576" i="32" s="1"/>
  <c r="N1575" i="32"/>
  <c r="M1575" i="32"/>
  <c r="L1575" i="32"/>
  <c r="K1575" i="32"/>
  <c r="J1575" i="32"/>
  <c r="H1575" i="32"/>
  <c r="G1575" i="32"/>
  <c r="E1575" i="32"/>
  <c r="F1575" i="32" s="1"/>
  <c r="N1574" i="32"/>
  <c r="M1574" i="32"/>
  <c r="K1574" i="32"/>
  <c r="J1574" i="32"/>
  <c r="I1574" i="32"/>
  <c r="H1574" i="32"/>
  <c r="G1574" i="32"/>
  <c r="F1574" i="32"/>
  <c r="N1573" i="32"/>
  <c r="M1573" i="32"/>
  <c r="L1573" i="32"/>
  <c r="K1573" i="32"/>
  <c r="I1573" i="32"/>
  <c r="H1573" i="32"/>
  <c r="G1573" i="32"/>
  <c r="F1573" i="32"/>
  <c r="E1567" i="32"/>
  <c r="E1566" i="32"/>
  <c r="F1566" i="32" s="1"/>
  <c r="G1564" i="32"/>
  <c r="G1563" i="32"/>
  <c r="N1570" i="32"/>
  <c r="M1570" i="32"/>
  <c r="K1570" i="32"/>
  <c r="J1570" i="32"/>
  <c r="I1570" i="32"/>
  <c r="H1570" i="32"/>
  <c r="F1570" i="32"/>
  <c r="L1570" i="32" s="1"/>
  <c r="N1569" i="32"/>
  <c r="M1569" i="32"/>
  <c r="K1569" i="32"/>
  <c r="J1569" i="32"/>
  <c r="I1569" i="32"/>
  <c r="H1569" i="32"/>
  <c r="F1569" i="32"/>
  <c r="L1569" i="32" s="1"/>
  <c r="N1568" i="32"/>
  <c r="M1568" i="32"/>
  <c r="K1568" i="32"/>
  <c r="J1568" i="32"/>
  <c r="I1568" i="32"/>
  <c r="H1568" i="32"/>
  <c r="F1568" i="32"/>
  <c r="L1568" i="32" s="1"/>
  <c r="N1567" i="32"/>
  <c r="M1567" i="32"/>
  <c r="L1567" i="32"/>
  <c r="K1567" i="32"/>
  <c r="J1567" i="32"/>
  <c r="H1567" i="32"/>
  <c r="G1567" i="32"/>
  <c r="F1567" i="32"/>
  <c r="N1566" i="32"/>
  <c r="M1566" i="32"/>
  <c r="L1566" i="32"/>
  <c r="K1566" i="32"/>
  <c r="J1566" i="32"/>
  <c r="H1566" i="32"/>
  <c r="G1566" i="32"/>
  <c r="N1565" i="32"/>
  <c r="M1565" i="32"/>
  <c r="L1565" i="32"/>
  <c r="I1565" i="32"/>
  <c r="H1565" i="32"/>
  <c r="F1565" i="32"/>
  <c r="J1565" i="32" s="1"/>
  <c r="N1564" i="32"/>
  <c r="M1564" i="32"/>
  <c r="J1564" i="32"/>
  <c r="I1564" i="32"/>
  <c r="H1564" i="32"/>
  <c r="F1564" i="32"/>
  <c r="N1563" i="32"/>
  <c r="M1563" i="32"/>
  <c r="L1563" i="32"/>
  <c r="K1563" i="32"/>
  <c r="I1563" i="32"/>
  <c r="H1563" i="32"/>
  <c r="F1563" i="32"/>
  <c r="E1558" i="32"/>
  <c r="E1557" i="32"/>
  <c r="F1557" i="32" s="1"/>
  <c r="G1556" i="32"/>
  <c r="G1555" i="32"/>
  <c r="N1560" i="32"/>
  <c r="M1560" i="32"/>
  <c r="L1560" i="32"/>
  <c r="I1560" i="32"/>
  <c r="H1560" i="32"/>
  <c r="F1560" i="32"/>
  <c r="J1560" i="32" s="1"/>
  <c r="N1559" i="32"/>
  <c r="M1559" i="32"/>
  <c r="K1559" i="32"/>
  <c r="J1559" i="32"/>
  <c r="I1559" i="32"/>
  <c r="H1559" i="32"/>
  <c r="F1559" i="32"/>
  <c r="L1559" i="32" s="1"/>
  <c r="N1558" i="32"/>
  <c r="M1558" i="32"/>
  <c r="L1558" i="32"/>
  <c r="K1558" i="32"/>
  <c r="J1558" i="32"/>
  <c r="H1558" i="32"/>
  <c r="G1558" i="32"/>
  <c r="F1558" i="32"/>
  <c r="N1557" i="32"/>
  <c r="M1557" i="32"/>
  <c r="L1557" i="32"/>
  <c r="K1557" i="32"/>
  <c r="J1557" i="32"/>
  <c r="H1557" i="32"/>
  <c r="G1557" i="32"/>
  <c r="N1556" i="32"/>
  <c r="M1556" i="32"/>
  <c r="J1556" i="32"/>
  <c r="I1556" i="32"/>
  <c r="H1556" i="32"/>
  <c r="F1556" i="32"/>
  <c r="K1556" i="32" s="1"/>
  <c r="N1555" i="32"/>
  <c r="M1555" i="32"/>
  <c r="L1555" i="32"/>
  <c r="K1555" i="32"/>
  <c r="I1555" i="32"/>
  <c r="H1555" i="32"/>
  <c r="F1555" i="32"/>
  <c r="G1545" i="32"/>
  <c r="G1546" i="32"/>
  <c r="N1552" i="32"/>
  <c r="M1552" i="32"/>
  <c r="K1552" i="32"/>
  <c r="J1552" i="32"/>
  <c r="I1552" i="32"/>
  <c r="H1552" i="32"/>
  <c r="F1552" i="32"/>
  <c r="L1552" i="32" s="1"/>
  <c r="N1551" i="32"/>
  <c r="M1551" i="32"/>
  <c r="K1551" i="32"/>
  <c r="J1551" i="32"/>
  <c r="I1551" i="32"/>
  <c r="H1551" i="32"/>
  <c r="F1551" i="32"/>
  <c r="L1551" i="32" s="1"/>
  <c r="N1550" i="32"/>
  <c r="M1550" i="32"/>
  <c r="K1550" i="32"/>
  <c r="J1550" i="32"/>
  <c r="I1550" i="32"/>
  <c r="H1550" i="32"/>
  <c r="F1550" i="32"/>
  <c r="L1550" i="32" s="1"/>
  <c r="N1549" i="32"/>
  <c r="M1549" i="32"/>
  <c r="L1549" i="32"/>
  <c r="K1549" i="32"/>
  <c r="J1549" i="32"/>
  <c r="H1549" i="32"/>
  <c r="G1549" i="32"/>
  <c r="E1549" i="32"/>
  <c r="F1549" i="32" s="1"/>
  <c r="N1548" i="32"/>
  <c r="M1548" i="32"/>
  <c r="L1548" i="32"/>
  <c r="K1548" i="32"/>
  <c r="J1548" i="32"/>
  <c r="H1548" i="32"/>
  <c r="G1548" i="32"/>
  <c r="E1548" i="32"/>
  <c r="F1548" i="32" s="1"/>
  <c r="N1547" i="32"/>
  <c r="M1547" i="32"/>
  <c r="L1547" i="32"/>
  <c r="K1547" i="32"/>
  <c r="I1547" i="32"/>
  <c r="H1547" i="32"/>
  <c r="F1547" i="32"/>
  <c r="J1547" i="32" s="1"/>
  <c r="N1546" i="32"/>
  <c r="M1546" i="32"/>
  <c r="J1546" i="32"/>
  <c r="I1546" i="32"/>
  <c r="H1546" i="32"/>
  <c r="F1546" i="32"/>
  <c r="L1546" i="32" s="1"/>
  <c r="N1545" i="32"/>
  <c r="M1545" i="32"/>
  <c r="L1545" i="32"/>
  <c r="K1545" i="32"/>
  <c r="I1545" i="32"/>
  <c r="H1545" i="32"/>
  <c r="F1545" i="32"/>
  <c r="E1541" i="32"/>
  <c r="F1541" i="32" s="1"/>
  <c r="E1540" i="32"/>
  <c r="F1540" i="32" s="1"/>
  <c r="G1541" i="32"/>
  <c r="G1540" i="32"/>
  <c r="G1539" i="32"/>
  <c r="G1538" i="32"/>
  <c r="N1535" i="32"/>
  <c r="M1535" i="32"/>
  <c r="J1535" i="32"/>
  <c r="I1535" i="32"/>
  <c r="H1535" i="32"/>
  <c r="F1535" i="32"/>
  <c r="L1535" i="32" s="1"/>
  <c r="E1532" i="32"/>
  <c r="F1532" i="32" s="1"/>
  <c r="G1531" i="32"/>
  <c r="G1530" i="32"/>
  <c r="N1542" i="32"/>
  <c r="M1542" i="32"/>
  <c r="K1542" i="32"/>
  <c r="J1542" i="32"/>
  <c r="I1542" i="32"/>
  <c r="H1542" i="32"/>
  <c r="F1542" i="32"/>
  <c r="L1542" i="32" s="1"/>
  <c r="N1541" i="32"/>
  <c r="M1541" i="32"/>
  <c r="L1541" i="32"/>
  <c r="K1541" i="32"/>
  <c r="J1541" i="32"/>
  <c r="H1541" i="32"/>
  <c r="N1540" i="32"/>
  <c r="M1540" i="32"/>
  <c r="L1540" i="32"/>
  <c r="K1540" i="32"/>
  <c r="J1540" i="32"/>
  <c r="H1540" i="32"/>
  <c r="N1539" i="32"/>
  <c r="M1539" i="32"/>
  <c r="K1539" i="32"/>
  <c r="J1539" i="32"/>
  <c r="I1539" i="32"/>
  <c r="H1539" i="32"/>
  <c r="F1539" i="32"/>
  <c r="N1538" i="32"/>
  <c r="M1538" i="32"/>
  <c r="L1538" i="32"/>
  <c r="K1538" i="32"/>
  <c r="I1538" i="32"/>
  <c r="H1538" i="32"/>
  <c r="F1538" i="32"/>
  <c r="N1534" i="32"/>
  <c r="M1534" i="32"/>
  <c r="K1534" i="32"/>
  <c r="J1534" i="32"/>
  <c r="I1534" i="32"/>
  <c r="H1534" i="32"/>
  <c r="F1534" i="32"/>
  <c r="L1534" i="32" s="1"/>
  <c r="N1533" i="32"/>
  <c r="M1533" i="32"/>
  <c r="L1533" i="32"/>
  <c r="K1533" i="32"/>
  <c r="J1533" i="32"/>
  <c r="H1533" i="32"/>
  <c r="G1533" i="32"/>
  <c r="F1533" i="32"/>
  <c r="N1532" i="32"/>
  <c r="M1532" i="32"/>
  <c r="L1532" i="32"/>
  <c r="K1532" i="32"/>
  <c r="J1532" i="32"/>
  <c r="H1532" i="32"/>
  <c r="G1532" i="32"/>
  <c r="N1531" i="32"/>
  <c r="M1531" i="32"/>
  <c r="J1531" i="32"/>
  <c r="I1531" i="32"/>
  <c r="H1531" i="32"/>
  <c r="F1531" i="32"/>
  <c r="N1530" i="32"/>
  <c r="M1530" i="32"/>
  <c r="L1530" i="32"/>
  <c r="K1530" i="32"/>
  <c r="I1530" i="32"/>
  <c r="H1530" i="32"/>
  <c r="F1530" i="32"/>
  <c r="E1526" i="32"/>
  <c r="F1526" i="32" s="1"/>
  <c r="E1525" i="32"/>
  <c r="F1525" i="32" s="1"/>
  <c r="G1523" i="32"/>
  <c r="G1524" i="32"/>
  <c r="N1527" i="32"/>
  <c r="M1527" i="32"/>
  <c r="K1527" i="32"/>
  <c r="J1527" i="32"/>
  <c r="I1527" i="32"/>
  <c r="H1527" i="32"/>
  <c r="F1527" i="32"/>
  <c r="L1527" i="32" s="1"/>
  <c r="N1526" i="32"/>
  <c r="M1526" i="32"/>
  <c r="L1526" i="32"/>
  <c r="K1526" i="32"/>
  <c r="J1526" i="32"/>
  <c r="H1526" i="32"/>
  <c r="G1526" i="32"/>
  <c r="N1525" i="32"/>
  <c r="M1525" i="32"/>
  <c r="L1525" i="32"/>
  <c r="K1525" i="32"/>
  <c r="J1525" i="32"/>
  <c r="H1525" i="32"/>
  <c r="G1525" i="32"/>
  <c r="N1524" i="32"/>
  <c r="M1524" i="32"/>
  <c r="J1524" i="32"/>
  <c r="I1524" i="32"/>
  <c r="H1524" i="32"/>
  <c r="F1524" i="32"/>
  <c r="K1524" i="32" s="1"/>
  <c r="N1523" i="32"/>
  <c r="M1523" i="32"/>
  <c r="L1523" i="32"/>
  <c r="K1523" i="32"/>
  <c r="I1523" i="32"/>
  <c r="H1523" i="32"/>
  <c r="F1523" i="32"/>
  <c r="N1518" i="32"/>
  <c r="M1518" i="32"/>
  <c r="K1518" i="32"/>
  <c r="J1518" i="32"/>
  <c r="I1518" i="32"/>
  <c r="H1518" i="32"/>
  <c r="F1518" i="32"/>
  <c r="L1518" i="32" s="1"/>
  <c r="E1517" i="32"/>
  <c r="F1517" i="32" s="1"/>
  <c r="E1516" i="32"/>
  <c r="F1516" i="32" s="1"/>
  <c r="N1515" i="32"/>
  <c r="M1515" i="32"/>
  <c r="L1515" i="32"/>
  <c r="K1515" i="32"/>
  <c r="I1515" i="32"/>
  <c r="H1515" i="32"/>
  <c r="F1515" i="32"/>
  <c r="J1515" i="32" s="1"/>
  <c r="G1514" i="32"/>
  <c r="G1513" i="32"/>
  <c r="N1520" i="32"/>
  <c r="M1520" i="32"/>
  <c r="K1520" i="32"/>
  <c r="J1520" i="32"/>
  <c r="I1520" i="32"/>
  <c r="H1520" i="32"/>
  <c r="F1520" i="32"/>
  <c r="L1520" i="32" s="1"/>
  <c r="N1519" i="32"/>
  <c r="M1519" i="32"/>
  <c r="K1519" i="32"/>
  <c r="J1519" i="32"/>
  <c r="I1519" i="32"/>
  <c r="H1519" i="32"/>
  <c r="F1519" i="32"/>
  <c r="L1519" i="32" s="1"/>
  <c r="N1517" i="32"/>
  <c r="M1517" i="32"/>
  <c r="L1517" i="32"/>
  <c r="K1517" i="32"/>
  <c r="J1517" i="32"/>
  <c r="H1517" i="32"/>
  <c r="G1517" i="32"/>
  <c r="N1516" i="32"/>
  <c r="M1516" i="32"/>
  <c r="L1516" i="32"/>
  <c r="K1516" i="32"/>
  <c r="J1516" i="32"/>
  <c r="H1516" i="32"/>
  <c r="G1516" i="32"/>
  <c r="N1514" i="32"/>
  <c r="M1514" i="32"/>
  <c r="J1514" i="32"/>
  <c r="I1514" i="32"/>
  <c r="H1514" i="32"/>
  <c r="K1514" i="32"/>
  <c r="F1514" i="32"/>
  <c r="N1513" i="32"/>
  <c r="M1513" i="32"/>
  <c r="L1513" i="32"/>
  <c r="K1513" i="32"/>
  <c r="I1513" i="32"/>
  <c r="H1513" i="32"/>
  <c r="F1513" i="32"/>
  <c r="N1510" i="32"/>
  <c r="M1510" i="32"/>
  <c r="K1510" i="32"/>
  <c r="I1510" i="32"/>
  <c r="H1510" i="32"/>
  <c r="F1510" i="32"/>
  <c r="L1510" i="32" s="1"/>
  <c r="G1508" i="32"/>
  <c r="G1507" i="32"/>
  <c r="G1506" i="32"/>
  <c r="G1505" i="32"/>
  <c r="N1509" i="32"/>
  <c r="M1509" i="32"/>
  <c r="K1509" i="32"/>
  <c r="J1509" i="32"/>
  <c r="I1509" i="32"/>
  <c r="H1509" i="32"/>
  <c r="F1509" i="32"/>
  <c r="L1509" i="32" s="1"/>
  <c r="N1508" i="32"/>
  <c r="M1508" i="32"/>
  <c r="L1508" i="32"/>
  <c r="K1508" i="32"/>
  <c r="J1508" i="32"/>
  <c r="H1508" i="32"/>
  <c r="F1508" i="32"/>
  <c r="N1507" i="32"/>
  <c r="M1507" i="32"/>
  <c r="L1507" i="32"/>
  <c r="K1507" i="32"/>
  <c r="J1507" i="32"/>
  <c r="H1507" i="32"/>
  <c r="E1507" i="32"/>
  <c r="F1507" i="32" s="1"/>
  <c r="N1506" i="32"/>
  <c r="M1506" i="32"/>
  <c r="J1506" i="32"/>
  <c r="I1506" i="32"/>
  <c r="H1506" i="32"/>
  <c r="F1506" i="32"/>
  <c r="L1506" i="32" s="1"/>
  <c r="N1505" i="32"/>
  <c r="M1505" i="32"/>
  <c r="L1505" i="32"/>
  <c r="K1505" i="32"/>
  <c r="I1505" i="32"/>
  <c r="H1505" i="32"/>
  <c r="F1505" i="32"/>
  <c r="G1501" i="32"/>
  <c r="G1500" i="32"/>
  <c r="E1500" i="32"/>
  <c r="F1500" i="32" s="1"/>
  <c r="G1499" i="32"/>
  <c r="G1498" i="32"/>
  <c r="N1502" i="32"/>
  <c r="M1502" i="32"/>
  <c r="K1502" i="32"/>
  <c r="J1502" i="32"/>
  <c r="I1502" i="32"/>
  <c r="H1502" i="32"/>
  <c r="F1502" i="32"/>
  <c r="L1502" i="32" s="1"/>
  <c r="N1501" i="32"/>
  <c r="M1501" i="32"/>
  <c r="L1501" i="32"/>
  <c r="K1501" i="32"/>
  <c r="J1501" i="32"/>
  <c r="H1501" i="32"/>
  <c r="F1501" i="32"/>
  <c r="N1500" i="32"/>
  <c r="M1500" i="32"/>
  <c r="L1500" i="32"/>
  <c r="K1500" i="32"/>
  <c r="J1500" i="32"/>
  <c r="H1500" i="32"/>
  <c r="N1499" i="32"/>
  <c r="M1499" i="32"/>
  <c r="J1499" i="32"/>
  <c r="I1499" i="32"/>
  <c r="H1499" i="32"/>
  <c r="F1499" i="32"/>
  <c r="K1499" i="32" s="1"/>
  <c r="N1498" i="32"/>
  <c r="M1498" i="32"/>
  <c r="L1498" i="32"/>
  <c r="K1498" i="32"/>
  <c r="I1498" i="32"/>
  <c r="H1498" i="32"/>
  <c r="F1498" i="32"/>
  <c r="E1492" i="32"/>
  <c r="F1492" i="32" s="1"/>
  <c r="G1491" i="32"/>
  <c r="G1490" i="32"/>
  <c r="N1495" i="32"/>
  <c r="M1495" i="32"/>
  <c r="J1495" i="32"/>
  <c r="I1495" i="32"/>
  <c r="H1495" i="32"/>
  <c r="F1495" i="32"/>
  <c r="K1495" i="32" s="1"/>
  <c r="N1494" i="32"/>
  <c r="M1494" i="32"/>
  <c r="L1494" i="32"/>
  <c r="J1494" i="32"/>
  <c r="I1494" i="32"/>
  <c r="H1494" i="32"/>
  <c r="F1494" i="32"/>
  <c r="K1494" i="32" s="1"/>
  <c r="N1493" i="32"/>
  <c r="M1493" i="32"/>
  <c r="L1493" i="32"/>
  <c r="K1493" i="32"/>
  <c r="J1493" i="32"/>
  <c r="H1493" i="32"/>
  <c r="G1493" i="32"/>
  <c r="F1493" i="32"/>
  <c r="N1492" i="32"/>
  <c r="M1492" i="32"/>
  <c r="L1492" i="32"/>
  <c r="K1492" i="32"/>
  <c r="J1492" i="32"/>
  <c r="H1492" i="32"/>
  <c r="G1492" i="32"/>
  <c r="N1491" i="32"/>
  <c r="M1491" i="32"/>
  <c r="L1491" i="32"/>
  <c r="J1491" i="32"/>
  <c r="I1491" i="32"/>
  <c r="H1491" i="32"/>
  <c r="F1491" i="32"/>
  <c r="N1490" i="32"/>
  <c r="M1490" i="32"/>
  <c r="L1490" i="32"/>
  <c r="K1490" i="32"/>
  <c r="I1490" i="32"/>
  <c r="H1490" i="32"/>
  <c r="F1490" i="32"/>
  <c r="E1484" i="32"/>
  <c r="F1484" i="32" s="1"/>
  <c r="G1485" i="32"/>
  <c r="G1484" i="32"/>
  <c r="G1483" i="32"/>
  <c r="G1482" i="32"/>
  <c r="N1487" i="32"/>
  <c r="M1487" i="32"/>
  <c r="L1487" i="32"/>
  <c r="J1487" i="32"/>
  <c r="I1487" i="32"/>
  <c r="H1487" i="32"/>
  <c r="F1487" i="32"/>
  <c r="K1487" i="32" s="1"/>
  <c r="N1486" i="32"/>
  <c r="M1486" i="32"/>
  <c r="J1486" i="32"/>
  <c r="I1486" i="32"/>
  <c r="H1486" i="32"/>
  <c r="F1486" i="32"/>
  <c r="L1486" i="32" s="1"/>
  <c r="N1485" i="32"/>
  <c r="M1485" i="32"/>
  <c r="L1485" i="32"/>
  <c r="K1485" i="32"/>
  <c r="J1485" i="32"/>
  <c r="H1485" i="32"/>
  <c r="F1485" i="32"/>
  <c r="N1484" i="32"/>
  <c r="M1484" i="32"/>
  <c r="L1484" i="32"/>
  <c r="K1484" i="32"/>
  <c r="J1484" i="32"/>
  <c r="H1484" i="32"/>
  <c r="N1483" i="32"/>
  <c r="M1483" i="32"/>
  <c r="L1483" i="32"/>
  <c r="J1483" i="32"/>
  <c r="I1483" i="32"/>
  <c r="H1483" i="32"/>
  <c r="F1483" i="32"/>
  <c r="N1482" i="32"/>
  <c r="M1482" i="32"/>
  <c r="L1482" i="32"/>
  <c r="K1482" i="32"/>
  <c r="I1482" i="32"/>
  <c r="H1482" i="32"/>
  <c r="F1482" i="32"/>
  <c r="E1477" i="32"/>
  <c r="F1477" i="32" s="1"/>
  <c r="E1476" i="32"/>
  <c r="F1476" i="32" s="1"/>
  <c r="G1477" i="32"/>
  <c r="G1476" i="32"/>
  <c r="G1475" i="32"/>
  <c r="G1474" i="32"/>
  <c r="N1479" i="32"/>
  <c r="M1479" i="32"/>
  <c r="J1479" i="32"/>
  <c r="I1479" i="32"/>
  <c r="H1479" i="32"/>
  <c r="F1479" i="32"/>
  <c r="L1479" i="32" s="1"/>
  <c r="N1478" i="32"/>
  <c r="M1478" i="32"/>
  <c r="K1478" i="32"/>
  <c r="J1478" i="32"/>
  <c r="I1478" i="32"/>
  <c r="H1478" i="32"/>
  <c r="F1478" i="32"/>
  <c r="L1478" i="32" s="1"/>
  <c r="N1477" i="32"/>
  <c r="M1477" i="32"/>
  <c r="L1477" i="32"/>
  <c r="K1477" i="32"/>
  <c r="J1477" i="32"/>
  <c r="H1477" i="32"/>
  <c r="N1476" i="32"/>
  <c r="M1476" i="32"/>
  <c r="L1476" i="32"/>
  <c r="K1476" i="32"/>
  <c r="J1476" i="32"/>
  <c r="H1476" i="32"/>
  <c r="N1475" i="32"/>
  <c r="M1475" i="32"/>
  <c r="J1475" i="32"/>
  <c r="I1475" i="32"/>
  <c r="H1475" i="32"/>
  <c r="F1475" i="32"/>
  <c r="N1474" i="32"/>
  <c r="M1474" i="32"/>
  <c r="L1474" i="32"/>
  <c r="K1474" i="32"/>
  <c r="I1474" i="32"/>
  <c r="H1474" i="32"/>
  <c r="F1474" i="32"/>
  <c r="E1468" i="32"/>
  <c r="E1467" i="32"/>
  <c r="F1467" i="32" s="1"/>
  <c r="G1468" i="32"/>
  <c r="G1467" i="32"/>
  <c r="G1465" i="32"/>
  <c r="G1464" i="32"/>
  <c r="N1471" i="32"/>
  <c r="M1471" i="32"/>
  <c r="K1471" i="32"/>
  <c r="J1471" i="32"/>
  <c r="I1471" i="32"/>
  <c r="H1471" i="32"/>
  <c r="F1471" i="32"/>
  <c r="L1471" i="32" s="1"/>
  <c r="N1470" i="32"/>
  <c r="M1470" i="32"/>
  <c r="K1470" i="32"/>
  <c r="J1470" i="32"/>
  <c r="I1470" i="32"/>
  <c r="H1470" i="32"/>
  <c r="F1470" i="32"/>
  <c r="L1470" i="32" s="1"/>
  <c r="N1469" i="32"/>
  <c r="M1469" i="32"/>
  <c r="J1469" i="32"/>
  <c r="I1469" i="32"/>
  <c r="H1469" i="32"/>
  <c r="F1469" i="32"/>
  <c r="K1469" i="32" s="1"/>
  <c r="N1468" i="32"/>
  <c r="M1468" i="32"/>
  <c r="L1468" i="32"/>
  <c r="K1468" i="32"/>
  <c r="J1468" i="32"/>
  <c r="H1468" i="32"/>
  <c r="F1468" i="32"/>
  <c r="N1467" i="32"/>
  <c r="M1467" i="32"/>
  <c r="L1467" i="32"/>
  <c r="K1467" i="32"/>
  <c r="J1467" i="32"/>
  <c r="H1467" i="32"/>
  <c r="N1466" i="32"/>
  <c r="M1466" i="32"/>
  <c r="L1466" i="32"/>
  <c r="K1466" i="32"/>
  <c r="I1466" i="32"/>
  <c r="H1466" i="32"/>
  <c r="F1466" i="32"/>
  <c r="J1466" i="32" s="1"/>
  <c r="N1465" i="32"/>
  <c r="M1465" i="32"/>
  <c r="J1465" i="32"/>
  <c r="I1465" i="32"/>
  <c r="H1465" i="32"/>
  <c r="K1465" i="32"/>
  <c r="F1465" i="32"/>
  <c r="N1464" i="32"/>
  <c r="M1464" i="32"/>
  <c r="L1464" i="32"/>
  <c r="K1464" i="32"/>
  <c r="I1464" i="32"/>
  <c r="H1464" i="32"/>
  <c r="F1464" i="32"/>
  <c r="N1413" i="32"/>
  <c r="M1413" i="32"/>
  <c r="J1413" i="32"/>
  <c r="I1413" i="32"/>
  <c r="H1413" i="32"/>
  <c r="F1413" i="32"/>
  <c r="L1413" i="32" s="1"/>
  <c r="E1410" i="32"/>
  <c r="F1410" i="32" s="1"/>
  <c r="E1409" i="32"/>
  <c r="F1409" i="32" s="1"/>
  <c r="G1410" i="32"/>
  <c r="G1409" i="32"/>
  <c r="G1408" i="32"/>
  <c r="G1407" i="32"/>
  <c r="N1412" i="32"/>
  <c r="M1412" i="32"/>
  <c r="K1412" i="32"/>
  <c r="J1412" i="32"/>
  <c r="I1412" i="32"/>
  <c r="H1412" i="32"/>
  <c r="F1412" i="32"/>
  <c r="L1412" i="32" s="1"/>
  <c r="N1411" i="32"/>
  <c r="M1411" i="32"/>
  <c r="K1411" i="32"/>
  <c r="J1411" i="32"/>
  <c r="I1411" i="32"/>
  <c r="H1411" i="32"/>
  <c r="F1411" i="32"/>
  <c r="L1411" i="32" s="1"/>
  <c r="N1410" i="32"/>
  <c r="M1410" i="32"/>
  <c r="L1410" i="32"/>
  <c r="K1410" i="32"/>
  <c r="J1410" i="32"/>
  <c r="H1410" i="32"/>
  <c r="N1409" i="32"/>
  <c r="M1409" i="32"/>
  <c r="L1409" i="32"/>
  <c r="K1409" i="32"/>
  <c r="J1409" i="32"/>
  <c r="H1409" i="32"/>
  <c r="N1408" i="32"/>
  <c r="M1408" i="32"/>
  <c r="J1408" i="32"/>
  <c r="I1408" i="32"/>
  <c r="H1408" i="32"/>
  <c r="F1408" i="32"/>
  <c r="L1408" i="32" s="1"/>
  <c r="N1407" i="32"/>
  <c r="M1407" i="32"/>
  <c r="L1407" i="32"/>
  <c r="K1407" i="32"/>
  <c r="I1407" i="32"/>
  <c r="H1407" i="32"/>
  <c r="F1407" i="32"/>
  <c r="N1404" i="32"/>
  <c r="M1404" i="32"/>
  <c r="K1404" i="32"/>
  <c r="J1404" i="32"/>
  <c r="I1404" i="32"/>
  <c r="H1404" i="32"/>
  <c r="F1404" i="32"/>
  <c r="L1404" i="32" s="1"/>
  <c r="E1402" i="32"/>
  <c r="F1402" i="32" s="1"/>
  <c r="E1401" i="32"/>
  <c r="G1400" i="32"/>
  <c r="G1399" i="32"/>
  <c r="N1403" i="32"/>
  <c r="M1403" i="32"/>
  <c r="K1403" i="32"/>
  <c r="J1403" i="32"/>
  <c r="I1403" i="32"/>
  <c r="H1403" i="32"/>
  <c r="F1403" i="32"/>
  <c r="L1403" i="32" s="1"/>
  <c r="N1402" i="32"/>
  <c r="M1402" i="32"/>
  <c r="L1402" i="32"/>
  <c r="K1402" i="32"/>
  <c r="J1402" i="32"/>
  <c r="H1402" i="32"/>
  <c r="G1402" i="32"/>
  <c r="N1401" i="32"/>
  <c r="M1401" i="32"/>
  <c r="L1401" i="32"/>
  <c r="K1401" i="32"/>
  <c r="J1401" i="32"/>
  <c r="H1401" i="32"/>
  <c r="G1401" i="32"/>
  <c r="F1401" i="32"/>
  <c r="N1400" i="32"/>
  <c r="M1400" i="32"/>
  <c r="J1400" i="32"/>
  <c r="I1400" i="32"/>
  <c r="H1400" i="32"/>
  <c r="F1400" i="32"/>
  <c r="K1400" i="32" s="1"/>
  <c r="N1399" i="32"/>
  <c r="M1399" i="32"/>
  <c r="L1399" i="32"/>
  <c r="K1399" i="32"/>
  <c r="I1399" i="32"/>
  <c r="H1399" i="32"/>
  <c r="F1399" i="32"/>
  <c r="E1394" i="32"/>
  <c r="F1394" i="32" s="1"/>
  <c r="G1395" i="32"/>
  <c r="G1394" i="32"/>
  <c r="G1393" i="32"/>
  <c r="G1392" i="32"/>
  <c r="N1396" i="32"/>
  <c r="M1396" i="32"/>
  <c r="K1396" i="32"/>
  <c r="J1396" i="32"/>
  <c r="I1396" i="32"/>
  <c r="H1396" i="32"/>
  <c r="F1396" i="32"/>
  <c r="L1396" i="32" s="1"/>
  <c r="N1395" i="32"/>
  <c r="M1395" i="32"/>
  <c r="L1395" i="32"/>
  <c r="K1395" i="32"/>
  <c r="J1395" i="32"/>
  <c r="H1395" i="32"/>
  <c r="F1395" i="32"/>
  <c r="N1394" i="32"/>
  <c r="M1394" i="32"/>
  <c r="L1394" i="32"/>
  <c r="K1394" i="32"/>
  <c r="J1394" i="32"/>
  <c r="H1394" i="32"/>
  <c r="N1393" i="32"/>
  <c r="M1393" i="32"/>
  <c r="L1393" i="32"/>
  <c r="J1393" i="32"/>
  <c r="I1393" i="32"/>
  <c r="H1393" i="32"/>
  <c r="F1393" i="32"/>
  <c r="N1392" i="32"/>
  <c r="M1392" i="32"/>
  <c r="L1392" i="32"/>
  <c r="K1392" i="32"/>
  <c r="I1392" i="32"/>
  <c r="H1392" i="32"/>
  <c r="F1392" i="32"/>
  <c r="E1387" i="32"/>
  <c r="F1387" i="32" s="1"/>
  <c r="E1386" i="32"/>
  <c r="F1386" i="32" s="1"/>
  <c r="G1387" i="32"/>
  <c r="G1386" i="32"/>
  <c r="G1385" i="32"/>
  <c r="G1384" i="32"/>
  <c r="N1389" i="32"/>
  <c r="M1389" i="32"/>
  <c r="K1389" i="32"/>
  <c r="J1389" i="32"/>
  <c r="I1389" i="32"/>
  <c r="H1389" i="32"/>
  <c r="F1389" i="32"/>
  <c r="L1389" i="32" s="1"/>
  <c r="N1388" i="32"/>
  <c r="M1388" i="32"/>
  <c r="L1388" i="32"/>
  <c r="I1388" i="32"/>
  <c r="H1388" i="32"/>
  <c r="F1388" i="32"/>
  <c r="J1388" i="32" s="1"/>
  <c r="N1387" i="32"/>
  <c r="M1387" i="32"/>
  <c r="L1387" i="32"/>
  <c r="K1387" i="32"/>
  <c r="J1387" i="32"/>
  <c r="H1387" i="32"/>
  <c r="N1386" i="32"/>
  <c r="M1386" i="32"/>
  <c r="L1386" i="32"/>
  <c r="K1386" i="32"/>
  <c r="J1386" i="32"/>
  <c r="H1386" i="32"/>
  <c r="N1385" i="32"/>
  <c r="M1385" i="32"/>
  <c r="L1385" i="32"/>
  <c r="J1385" i="32"/>
  <c r="I1385" i="32"/>
  <c r="H1385" i="32"/>
  <c r="F1385" i="32"/>
  <c r="N1384" i="32"/>
  <c r="M1384" i="32"/>
  <c r="L1384" i="32"/>
  <c r="K1384" i="32"/>
  <c r="I1384" i="32"/>
  <c r="H1384" i="32"/>
  <c r="F1384" i="32"/>
  <c r="E1379" i="32"/>
  <c r="F1379" i="32" s="1"/>
  <c r="E1378" i="32"/>
  <c r="F1378" i="32" s="1"/>
  <c r="G1379" i="32"/>
  <c r="G1378" i="32"/>
  <c r="G1377" i="32"/>
  <c r="G1376" i="32"/>
  <c r="N1381" i="32"/>
  <c r="M1381" i="32"/>
  <c r="K1381" i="32"/>
  <c r="J1381" i="32"/>
  <c r="I1381" i="32"/>
  <c r="H1381" i="32"/>
  <c r="F1381" i="32"/>
  <c r="L1381" i="32" s="1"/>
  <c r="N1380" i="32"/>
  <c r="M1380" i="32"/>
  <c r="L1380" i="32"/>
  <c r="I1380" i="32"/>
  <c r="H1380" i="32"/>
  <c r="F1380" i="32"/>
  <c r="K1380" i="32" s="1"/>
  <c r="N1379" i="32"/>
  <c r="M1379" i="32"/>
  <c r="L1379" i="32"/>
  <c r="K1379" i="32"/>
  <c r="J1379" i="32"/>
  <c r="H1379" i="32"/>
  <c r="N1378" i="32"/>
  <c r="M1378" i="32"/>
  <c r="L1378" i="32"/>
  <c r="K1378" i="32"/>
  <c r="J1378" i="32"/>
  <c r="H1378" i="32"/>
  <c r="N1377" i="32"/>
  <c r="M1377" i="32"/>
  <c r="L1377" i="32"/>
  <c r="J1377" i="32"/>
  <c r="I1377" i="32"/>
  <c r="H1377" i="32"/>
  <c r="F1377" i="32"/>
  <c r="N1376" i="32"/>
  <c r="M1376" i="32"/>
  <c r="L1376" i="32"/>
  <c r="K1376" i="32"/>
  <c r="I1376" i="32"/>
  <c r="H1376" i="32"/>
  <c r="F1376" i="32"/>
  <c r="K1393" i="32" l="1"/>
  <c r="I1700" i="32"/>
  <c r="I1899" i="32"/>
  <c r="M1896" i="32"/>
  <c r="J1926" i="32"/>
  <c r="J1923" i="32"/>
  <c r="I1928" i="32"/>
  <c r="I1889" i="32"/>
  <c r="I1890" i="32"/>
  <c r="L1927" i="32"/>
  <c r="J1917" i="32"/>
  <c r="L1921" i="32"/>
  <c r="I1851" i="32"/>
  <c r="I1929" i="32"/>
  <c r="K1922" i="32"/>
  <c r="L1789" i="32"/>
  <c r="M1827" i="32"/>
  <c r="I1871" i="32"/>
  <c r="I1900" i="32"/>
  <c r="K1918" i="32"/>
  <c r="I1919" i="32"/>
  <c r="I1920" i="32"/>
  <c r="M1886" i="32"/>
  <c r="L1908" i="32"/>
  <c r="L1799" i="32"/>
  <c r="L1838" i="32"/>
  <c r="M1907" i="32"/>
  <c r="I1850" i="32"/>
  <c r="L1887" i="32"/>
  <c r="L1897" i="32"/>
  <c r="M1837" i="32"/>
  <c r="M1901" i="32"/>
  <c r="I1910" i="32"/>
  <c r="I1911" i="32"/>
  <c r="I1831" i="32"/>
  <c r="L1848" i="32"/>
  <c r="I1872" i="32"/>
  <c r="J1869" i="32"/>
  <c r="K1870" i="32"/>
  <c r="I1830" i="32"/>
  <c r="I1841" i="32"/>
  <c r="J1847" i="32"/>
  <c r="J1877" i="32"/>
  <c r="L1878" i="32"/>
  <c r="I1880" i="32"/>
  <c r="I1881" i="32"/>
  <c r="I1755" i="32"/>
  <c r="K1853" i="32"/>
  <c r="L1852" i="32"/>
  <c r="J1849" i="32"/>
  <c r="I1840" i="32"/>
  <c r="L1743" i="32"/>
  <c r="N1844" i="32"/>
  <c r="M1842" i="32"/>
  <c r="M1833" i="32"/>
  <c r="L1828" i="32"/>
  <c r="I1764" i="32"/>
  <c r="I1744" i="32"/>
  <c r="J1751" i="32"/>
  <c r="I1821" i="32"/>
  <c r="I1822" i="32"/>
  <c r="J1818" i="32"/>
  <c r="L1819" i="32"/>
  <c r="M1715" i="32"/>
  <c r="I1754" i="32"/>
  <c r="I1763" i="32"/>
  <c r="J1753" i="32"/>
  <c r="J1770" i="32"/>
  <c r="K1771" i="32"/>
  <c r="I1772" i="32"/>
  <c r="I1773" i="32"/>
  <c r="J1788" i="32"/>
  <c r="J1798" i="32"/>
  <c r="J1808" i="32"/>
  <c r="L1809" i="32"/>
  <c r="I1811" i="32"/>
  <c r="I1812" i="32"/>
  <c r="K1804" i="32"/>
  <c r="I1801" i="32"/>
  <c r="I1802" i="32"/>
  <c r="K1781" i="32"/>
  <c r="J1742" i="32"/>
  <c r="I1792" i="32"/>
  <c r="I1791" i="32"/>
  <c r="I1701" i="32"/>
  <c r="L1752" i="32"/>
  <c r="K1762" i="32"/>
  <c r="J1765" i="32"/>
  <c r="J1761" i="32"/>
  <c r="L1785" i="32"/>
  <c r="K1758" i="32"/>
  <c r="I1782" i="32"/>
  <c r="I1783" i="32"/>
  <c r="K1784" i="32"/>
  <c r="L1756" i="32"/>
  <c r="I1745" i="32"/>
  <c r="J1706" i="32"/>
  <c r="L1707" i="32"/>
  <c r="I1708" i="32"/>
  <c r="I1709" i="32"/>
  <c r="I1716" i="32"/>
  <c r="K1714" i="32"/>
  <c r="M1743" i="32"/>
  <c r="I1717" i="32"/>
  <c r="I1665" i="32"/>
  <c r="J1627" i="32"/>
  <c r="K1703" i="32"/>
  <c r="L1699" i="32"/>
  <c r="J1698" i="32"/>
  <c r="K1702" i="32"/>
  <c r="K1668" i="32"/>
  <c r="K1628" i="32"/>
  <c r="K1632" i="32"/>
  <c r="L1667" i="32"/>
  <c r="M1609" i="32"/>
  <c r="I1629" i="32"/>
  <c r="I1630" i="32"/>
  <c r="K1608" i="32"/>
  <c r="L1564" i="32"/>
  <c r="I1575" i="32"/>
  <c r="J1498" i="32"/>
  <c r="J1530" i="32"/>
  <c r="J1624" i="32"/>
  <c r="I1601" i="32"/>
  <c r="K1619" i="32"/>
  <c r="J1618" i="32"/>
  <c r="I1620" i="32"/>
  <c r="I1621" i="32"/>
  <c r="M1615" i="32"/>
  <c r="J1599" i="32"/>
  <c r="K1600" i="32"/>
  <c r="J1608" i="32"/>
  <c r="I1611" i="32"/>
  <c r="I1612" i="32"/>
  <c r="L1574" i="32"/>
  <c r="J1589" i="32"/>
  <c r="M1590" i="32"/>
  <c r="I1548" i="32"/>
  <c r="I1549" i="32"/>
  <c r="I1557" i="32"/>
  <c r="I1558" i="32"/>
  <c r="J1591" i="32"/>
  <c r="J1563" i="32"/>
  <c r="K1565" i="32"/>
  <c r="J1581" i="32"/>
  <c r="L1582" i="32"/>
  <c r="I1583" i="32"/>
  <c r="J1573" i="32"/>
  <c r="I1584" i="32"/>
  <c r="I1501" i="32"/>
  <c r="K1560" i="32"/>
  <c r="I1576" i="32"/>
  <c r="I1592" i="32"/>
  <c r="I1593" i="32"/>
  <c r="J1555" i="32"/>
  <c r="K1564" i="32"/>
  <c r="J1545" i="32"/>
  <c r="K1531" i="32"/>
  <c r="I1566" i="32"/>
  <c r="I1567" i="32"/>
  <c r="L1556" i="32"/>
  <c r="I1525" i="32"/>
  <c r="I1532" i="32"/>
  <c r="I1533" i="32"/>
  <c r="K1546" i="32"/>
  <c r="K1535" i="32"/>
  <c r="I1526" i="32"/>
  <c r="J1538" i="32"/>
  <c r="I1540" i="32"/>
  <c r="I1541" i="32"/>
  <c r="J1505" i="32"/>
  <c r="I1500" i="32"/>
  <c r="J1510" i="32"/>
  <c r="I1507" i="32"/>
  <c r="L1539" i="32"/>
  <c r="J1482" i="32"/>
  <c r="L1531" i="32"/>
  <c r="J1474" i="32"/>
  <c r="K1483" i="32"/>
  <c r="K1506" i="32"/>
  <c r="L1524" i="32"/>
  <c r="I1517" i="32"/>
  <c r="J1523" i="32"/>
  <c r="J1407" i="32"/>
  <c r="J1490" i="32"/>
  <c r="I1508" i="32"/>
  <c r="I1516" i="32"/>
  <c r="L1514" i="32"/>
  <c r="J1513" i="32"/>
  <c r="K1475" i="32"/>
  <c r="I1485" i="32"/>
  <c r="L1499" i="32"/>
  <c r="J1399" i="32"/>
  <c r="I1492" i="32"/>
  <c r="I1493" i="32"/>
  <c r="K1491" i="32"/>
  <c r="L1495" i="32"/>
  <c r="I1484" i="32"/>
  <c r="K1486" i="32"/>
  <c r="I1402" i="32"/>
  <c r="I1401" i="32"/>
  <c r="L1465" i="32"/>
  <c r="K1479" i="32"/>
  <c r="L1475" i="32"/>
  <c r="I1394" i="32"/>
  <c r="K1388" i="32"/>
  <c r="K1408" i="32"/>
  <c r="I1410" i="32"/>
  <c r="I1468" i="32"/>
  <c r="I1476" i="32"/>
  <c r="I1477" i="32"/>
  <c r="L1469" i="32"/>
  <c r="L1400" i="32"/>
  <c r="K1413" i="32"/>
  <c r="I1467" i="32"/>
  <c r="I1395" i="32"/>
  <c r="J1464" i="32"/>
  <c r="I1409" i="32"/>
  <c r="J1384" i="32"/>
  <c r="K1385" i="32"/>
  <c r="J1392" i="32"/>
  <c r="I1387" i="32"/>
  <c r="I1386" i="32"/>
  <c r="J1380" i="32"/>
  <c r="J1376" i="32"/>
  <c r="I1378" i="32"/>
  <c r="I1379" i="32"/>
  <c r="K1377" i="32"/>
  <c r="N1326" i="32"/>
  <c r="L1326" i="32"/>
  <c r="K1326" i="32"/>
  <c r="J1326" i="32"/>
  <c r="I1326" i="32"/>
  <c r="H1326" i="32"/>
  <c r="F1326" i="32"/>
  <c r="M1326" i="32" s="1"/>
  <c r="N1325" i="32"/>
  <c r="L1325" i="32"/>
  <c r="K1325" i="32"/>
  <c r="J1325" i="32"/>
  <c r="I1325" i="32"/>
  <c r="H1325" i="32"/>
  <c r="F1325" i="32"/>
  <c r="M1325" i="32" s="1"/>
  <c r="N1324" i="32"/>
  <c r="L1324" i="32"/>
  <c r="K1324" i="32"/>
  <c r="J1324" i="32"/>
  <c r="I1324" i="32"/>
  <c r="H1324" i="32"/>
  <c r="F1324" i="32"/>
  <c r="M1324" i="32" s="1"/>
  <c r="N1323" i="32"/>
  <c r="L1323" i="32"/>
  <c r="K1323" i="32"/>
  <c r="J1323" i="32"/>
  <c r="I1323" i="32"/>
  <c r="H1323" i="32"/>
  <c r="F1323" i="32"/>
  <c r="M1323" i="32" s="1"/>
  <c r="N1322" i="32"/>
  <c r="M1322" i="32"/>
  <c r="L1322" i="32"/>
  <c r="K1322" i="32"/>
  <c r="J1322" i="32"/>
  <c r="H1322" i="32"/>
  <c r="G1322" i="32"/>
  <c r="E1322" i="32"/>
  <c r="F1322" i="32" s="1"/>
  <c r="N1321" i="32"/>
  <c r="M1321" i="32"/>
  <c r="L1321" i="32"/>
  <c r="K1321" i="32"/>
  <c r="J1321" i="32"/>
  <c r="H1321" i="32"/>
  <c r="G1321" i="32"/>
  <c r="E1321" i="32"/>
  <c r="F1321" i="32" s="1"/>
  <c r="N1320" i="32"/>
  <c r="M1320" i="32"/>
  <c r="L1320" i="32"/>
  <c r="J1320" i="32"/>
  <c r="I1320" i="32"/>
  <c r="H1320" i="32"/>
  <c r="F1320" i="32"/>
  <c r="K1320" i="32" s="1"/>
  <c r="M1319" i="32"/>
  <c r="L1319" i="32"/>
  <c r="K1319" i="32"/>
  <c r="J1319" i="32"/>
  <c r="I1319" i="32"/>
  <c r="H1319" i="32"/>
  <c r="G1319" i="32"/>
  <c r="F1319" i="32"/>
  <c r="N1318" i="32"/>
  <c r="M1318" i="32"/>
  <c r="K1318" i="32"/>
  <c r="J1318" i="32"/>
  <c r="I1318" i="32"/>
  <c r="H1318" i="32"/>
  <c r="G1318" i="32"/>
  <c r="F1318" i="32"/>
  <c r="N1315" i="32"/>
  <c r="M1315" i="32"/>
  <c r="J1315" i="32"/>
  <c r="I1315" i="32"/>
  <c r="H1315" i="32"/>
  <c r="F1315" i="32"/>
  <c r="L1315" i="32" s="1"/>
  <c r="E1312" i="32"/>
  <c r="E1311" i="32"/>
  <c r="F1311" i="32" s="1"/>
  <c r="G1309" i="32"/>
  <c r="G1308" i="32"/>
  <c r="N1314" i="32"/>
  <c r="M1314" i="32"/>
  <c r="K1314" i="32"/>
  <c r="J1314" i="32"/>
  <c r="I1314" i="32"/>
  <c r="H1314" i="32"/>
  <c r="F1314" i="32"/>
  <c r="L1314" i="32" s="1"/>
  <c r="N1313" i="32"/>
  <c r="L1313" i="32"/>
  <c r="J1313" i="32"/>
  <c r="I1313" i="32"/>
  <c r="H1313" i="32"/>
  <c r="F1313" i="32"/>
  <c r="M1313" i="32" s="1"/>
  <c r="N1312" i="32"/>
  <c r="M1312" i="32"/>
  <c r="L1312" i="32"/>
  <c r="K1312" i="32"/>
  <c r="J1312" i="32"/>
  <c r="H1312" i="32"/>
  <c r="G1312" i="32"/>
  <c r="F1312" i="32"/>
  <c r="N1311" i="32"/>
  <c r="M1311" i="32"/>
  <c r="L1311" i="32"/>
  <c r="K1311" i="32"/>
  <c r="J1311" i="32"/>
  <c r="H1311" i="32"/>
  <c r="G1311" i="32"/>
  <c r="N1310" i="32"/>
  <c r="M1310" i="32"/>
  <c r="L1310" i="32"/>
  <c r="I1310" i="32"/>
  <c r="H1310" i="32"/>
  <c r="F1310" i="32"/>
  <c r="K1310" i="32" s="1"/>
  <c r="N1309" i="32"/>
  <c r="L1309" i="32"/>
  <c r="J1309" i="32"/>
  <c r="I1309" i="32"/>
  <c r="H1309" i="32"/>
  <c r="M1309" i="32"/>
  <c r="F1309" i="32"/>
  <c r="N1308" i="32"/>
  <c r="M1308" i="32"/>
  <c r="L1308" i="32"/>
  <c r="K1308" i="32"/>
  <c r="I1308" i="32"/>
  <c r="H1308" i="32"/>
  <c r="F1308" i="32"/>
  <c r="J1308" i="32" s="1"/>
  <c r="G1287" i="32"/>
  <c r="G1286" i="32"/>
  <c r="G1285" i="32"/>
  <c r="G1284" i="32"/>
  <c r="N1289" i="32"/>
  <c r="M1289" i="32"/>
  <c r="J1289" i="32"/>
  <c r="I1289" i="32"/>
  <c r="H1289" i="32"/>
  <c r="F1289" i="32"/>
  <c r="L1289" i="32" s="1"/>
  <c r="N1288" i="32"/>
  <c r="M1288" i="32"/>
  <c r="L1288" i="32"/>
  <c r="J1288" i="32"/>
  <c r="I1288" i="32"/>
  <c r="H1288" i="32"/>
  <c r="F1288" i="32"/>
  <c r="K1288" i="32" s="1"/>
  <c r="N1287" i="32"/>
  <c r="M1287" i="32"/>
  <c r="L1287" i="32"/>
  <c r="K1287" i="32"/>
  <c r="J1287" i="32"/>
  <c r="H1287" i="32"/>
  <c r="F1287" i="32"/>
  <c r="N1286" i="32"/>
  <c r="M1286" i="32"/>
  <c r="L1286" i="32"/>
  <c r="K1286" i="32"/>
  <c r="J1286" i="32"/>
  <c r="H1286" i="32"/>
  <c r="F1286" i="32"/>
  <c r="N1285" i="32"/>
  <c r="M1285" i="32"/>
  <c r="J1285" i="32"/>
  <c r="I1285" i="32"/>
  <c r="H1285" i="32"/>
  <c r="F1285" i="32"/>
  <c r="K1285" i="32" s="1"/>
  <c r="N1284" i="32"/>
  <c r="M1284" i="32"/>
  <c r="L1284" i="32"/>
  <c r="K1284" i="32"/>
  <c r="I1284" i="32"/>
  <c r="H1284" i="32"/>
  <c r="F1284" i="32"/>
  <c r="N1281" i="32"/>
  <c r="M1281" i="32"/>
  <c r="K1281" i="32"/>
  <c r="I1281" i="32"/>
  <c r="H1281" i="32"/>
  <c r="F1281" i="32"/>
  <c r="L1281" i="32" s="1"/>
  <c r="N1280" i="32"/>
  <c r="M1280" i="32"/>
  <c r="J1280" i="32"/>
  <c r="I1280" i="32"/>
  <c r="H1280" i="32"/>
  <c r="F1280" i="32"/>
  <c r="K1280" i="32" s="1"/>
  <c r="E1277" i="32"/>
  <c r="F1277" i="32" s="1"/>
  <c r="G1276" i="32"/>
  <c r="G1275" i="32"/>
  <c r="N1279" i="32"/>
  <c r="M1279" i="32"/>
  <c r="L1279" i="32"/>
  <c r="J1279" i="32"/>
  <c r="I1279" i="32"/>
  <c r="H1279" i="32"/>
  <c r="F1279" i="32"/>
  <c r="K1279" i="32" s="1"/>
  <c r="N1278" i="32"/>
  <c r="M1278" i="32"/>
  <c r="L1278" i="32"/>
  <c r="K1278" i="32"/>
  <c r="J1278" i="32"/>
  <c r="H1278" i="32"/>
  <c r="G1278" i="32"/>
  <c r="F1278" i="32"/>
  <c r="N1277" i="32"/>
  <c r="M1277" i="32"/>
  <c r="L1277" i="32"/>
  <c r="K1277" i="32"/>
  <c r="J1277" i="32"/>
  <c r="H1277" i="32"/>
  <c r="G1277" i="32"/>
  <c r="N1276" i="32"/>
  <c r="M1276" i="32"/>
  <c r="J1276" i="32"/>
  <c r="I1276" i="32"/>
  <c r="H1276" i="32"/>
  <c r="F1276" i="32"/>
  <c r="L1276" i="32" s="1"/>
  <c r="N1275" i="32"/>
  <c r="M1275" i="32"/>
  <c r="L1275" i="32"/>
  <c r="K1275" i="32"/>
  <c r="I1275" i="32"/>
  <c r="H1275" i="32"/>
  <c r="F1275" i="32"/>
  <c r="N1272" i="32"/>
  <c r="L1272" i="32"/>
  <c r="K1272" i="32"/>
  <c r="J1272" i="32"/>
  <c r="I1272" i="32"/>
  <c r="H1272" i="32"/>
  <c r="F1272" i="32"/>
  <c r="M1272" i="32" s="1"/>
  <c r="N1271" i="32"/>
  <c r="L1271" i="32"/>
  <c r="K1271" i="32"/>
  <c r="J1271" i="32"/>
  <c r="I1271" i="32"/>
  <c r="H1271" i="32"/>
  <c r="F1271" i="32"/>
  <c r="M1271" i="32" s="1"/>
  <c r="N1270" i="32"/>
  <c r="L1270" i="32"/>
  <c r="K1270" i="32"/>
  <c r="J1270" i="32"/>
  <c r="I1270" i="32"/>
  <c r="H1270" i="32"/>
  <c r="F1270" i="32"/>
  <c r="M1270" i="32" s="1"/>
  <c r="N1269" i="32"/>
  <c r="L1269" i="32"/>
  <c r="K1269" i="32"/>
  <c r="J1269" i="32"/>
  <c r="I1269" i="32"/>
  <c r="H1269" i="32"/>
  <c r="F1269" i="32"/>
  <c r="M1269" i="32" s="1"/>
  <c r="N1268" i="32"/>
  <c r="M1268" i="32"/>
  <c r="L1268" i="32"/>
  <c r="K1268" i="32"/>
  <c r="J1268" i="32"/>
  <c r="H1268" i="32"/>
  <c r="G1268" i="32"/>
  <c r="E1268" i="32"/>
  <c r="F1268" i="32" s="1"/>
  <c r="N1267" i="32"/>
  <c r="M1267" i="32"/>
  <c r="L1267" i="32"/>
  <c r="K1267" i="32"/>
  <c r="J1267" i="32"/>
  <c r="H1267" i="32"/>
  <c r="G1267" i="32"/>
  <c r="E1267" i="32"/>
  <c r="F1267" i="32" s="1"/>
  <c r="N1266" i="32"/>
  <c r="M1266" i="32"/>
  <c r="L1266" i="32"/>
  <c r="J1266" i="32"/>
  <c r="I1266" i="32"/>
  <c r="H1266" i="32"/>
  <c r="F1266" i="32"/>
  <c r="K1266" i="32" s="1"/>
  <c r="M1265" i="32"/>
  <c r="L1265" i="32"/>
  <c r="K1265" i="32"/>
  <c r="J1265" i="32"/>
  <c r="I1265" i="32"/>
  <c r="H1265" i="32"/>
  <c r="G1265" i="32"/>
  <c r="F1265" i="32"/>
  <c r="N1264" i="32"/>
  <c r="M1264" i="32"/>
  <c r="K1264" i="32"/>
  <c r="J1264" i="32"/>
  <c r="I1264" i="32"/>
  <c r="H1264" i="32"/>
  <c r="G1264" i="32"/>
  <c r="F1264" i="32"/>
  <c r="G1255" i="32"/>
  <c r="G1254" i="32"/>
  <c r="N1261" i="32"/>
  <c r="M1261" i="32"/>
  <c r="J1261" i="32"/>
  <c r="I1261" i="32"/>
  <c r="H1261" i="32"/>
  <c r="F1261" i="32"/>
  <c r="K1261" i="32" s="1"/>
  <c r="E1258" i="32"/>
  <c r="F1258" i="32" s="1"/>
  <c r="E1257" i="32"/>
  <c r="F1257" i="32" s="1"/>
  <c r="G1258" i="32"/>
  <c r="G1257" i="32"/>
  <c r="N1256" i="32"/>
  <c r="M1256" i="32"/>
  <c r="L1256" i="32"/>
  <c r="I1256" i="32"/>
  <c r="H1256" i="32"/>
  <c r="F1256" i="32"/>
  <c r="J1256" i="32" s="1"/>
  <c r="N1260" i="32"/>
  <c r="L1260" i="32"/>
  <c r="K1260" i="32"/>
  <c r="J1260" i="32"/>
  <c r="I1260" i="32"/>
  <c r="H1260" i="32"/>
  <c r="F1260" i="32"/>
  <c r="M1260" i="32" s="1"/>
  <c r="N1259" i="32"/>
  <c r="L1259" i="32"/>
  <c r="J1259" i="32"/>
  <c r="I1259" i="32"/>
  <c r="H1259" i="32"/>
  <c r="F1259" i="32"/>
  <c r="K1259" i="32" s="1"/>
  <c r="N1258" i="32"/>
  <c r="M1258" i="32"/>
  <c r="L1258" i="32"/>
  <c r="K1258" i="32"/>
  <c r="J1258" i="32"/>
  <c r="H1258" i="32"/>
  <c r="N1257" i="32"/>
  <c r="M1257" i="32"/>
  <c r="L1257" i="32"/>
  <c r="K1257" i="32"/>
  <c r="J1257" i="32"/>
  <c r="H1257" i="32"/>
  <c r="N1255" i="32"/>
  <c r="L1255" i="32"/>
  <c r="J1255" i="32"/>
  <c r="I1255" i="32"/>
  <c r="H1255" i="32"/>
  <c r="K1255" i="32"/>
  <c r="F1255" i="32"/>
  <c r="N1254" i="32"/>
  <c r="M1254" i="32"/>
  <c r="K1254" i="32"/>
  <c r="I1254" i="32"/>
  <c r="H1254" i="32"/>
  <c r="F1254" i="32"/>
  <c r="J1254" i="32" s="1"/>
  <c r="E1249" i="32"/>
  <c r="F1249" i="32" s="1"/>
  <c r="G1248" i="32"/>
  <c r="G1247" i="32"/>
  <c r="N1251" i="32"/>
  <c r="M1251" i="32"/>
  <c r="L1251" i="32"/>
  <c r="J1251" i="32"/>
  <c r="I1251" i="32"/>
  <c r="H1251" i="32"/>
  <c r="F1251" i="32"/>
  <c r="K1251" i="32" s="1"/>
  <c r="N1250" i="32"/>
  <c r="M1250" i="32"/>
  <c r="L1250" i="32"/>
  <c r="K1250" i="32"/>
  <c r="J1250" i="32"/>
  <c r="H1250" i="32"/>
  <c r="G1250" i="32"/>
  <c r="F1250" i="32"/>
  <c r="N1249" i="32"/>
  <c r="M1249" i="32"/>
  <c r="L1249" i="32"/>
  <c r="K1249" i="32"/>
  <c r="J1249" i="32"/>
  <c r="H1249" i="32"/>
  <c r="G1249" i="32"/>
  <c r="N1248" i="32"/>
  <c r="M1248" i="32"/>
  <c r="J1248" i="32"/>
  <c r="I1248" i="32"/>
  <c r="H1248" i="32"/>
  <c r="K1248" i="32"/>
  <c r="F1248" i="32"/>
  <c r="N1247" i="32"/>
  <c r="M1247" i="32"/>
  <c r="L1247" i="32"/>
  <c r="K1247" i="32"/>
  <c r="I1247" i="32"/>
  <c r="H1247" i="32"/>
  <c r="F1247" i="32"/>
  <c r="E1242" i="32"/>
  <c r="E1241" i="32"/>
  <c r="F1241" i="32" s="1"/>
  <c r="G1242" i="32"/>
  <c r="G1241" i="32"/>
  <c r="G1240" i="32"/>
  <c r="G1239" i="32"/>
  <c r="N1244" i="32"/>
  <c r="K1244" i="32"/>
  <c r="J1244" i="32"/>
  <c r="I1244" i="32"/>
  <c r="H1244" i="32"/>
  <c r="F1244" i="32"/>
  <c r="L1244" i="32" s="1"/>
  <c r="N1243" i="32"/>
  <c r="M1243" i="32"/>
  <c r="J1243" i="32"/>
  <c r="I1243" i="32"/>
  <c r="H1243" i="32"/>
  <c r="F1243" i="32"/>
  <c r="L1243" i="32" s="1"/>
  <c r="N1242" i="32"/>
  <c r="M1242" i="32"/>
  <c r="L1242" i="32"/>
  <c r="K1242" i="32"/>
  <c r="J1242" i="32"/>
  <c r="H1242" i="32"/>
  <c r="F1242" i="32"/>
  <c r="N1241" i="32"/>
  <c r="M1241" i="32"/>
  <c r="L1241" i="32"/>
  <c r="K1241" i="32"/>
  <c r="J1241" i="32"/>
  <c r="H1241" i="32"/>
  <c r="N1240" i="32"/>
  <c r="M1240" i="32"/>
  <c r="J1240" i="32"/>
  <c r="I1240" i="32"/>
  <c r="H1240" i="32"/>
  <c r="F1240" i="32"/>
  <c r="L1240" i="32" s="1"/>
  <c r="N1239" i="32"/>
  <c r="M1239" i="32"/>
  <c r="L1239" i="32"/>
  <c r="K1239" i="32"/>
  <c r="I1239" i="32"/>
  <c r="H1239" i="32"/>
  <c r="F1239" i="32"/>
  <c r="N1236" i="32"/>
  <c r="M1236" i="32"/>
  <c r="L1236" i="32"/>
  <c r="J1236" i="32"/>
  <c r="I1236" i="32"/>
  <c r="H1236" i="32"/>
  <c r="F1236" i="32"/>
  <c r="K1236" i="32" s="1"/>
  <c r="E1232" i="32"/>
  <c r="F1232" i="32" s="1"/>
  <c r="G1233" i="32"/>
  <c r="G1232" i="32"/>
  <c r="G1231" i="32"/>
  <c r="G1230" i="32"/>
  <c r="N1235" i="32"/>
  <c r="M1235" i="32"/>
  <c r="K1235" i="32"/>
  <c r="J1235" i="32"/>
  <c r="I1235" i="32"/>
  <c r="H1235" i="32"/>
  <c r="F1235" i="32"/>
  <c r="L1235" i="32" s="1"/>
  <c r="N1234" i="32"/>
  <c r="M1234" i="32"/>
  <c r="K1234" i="32"/>
  <c r="I1234" i="32"/>
  <c r="H1234" i="32"/>
  <c r="F1234" i="32"/>
  <c r="J1234" i="32" s="1"/>
  <c r="N1233" i="32"/>
  <c r="M1233" i="32"/>
  <c r="L1233" i="32"/>
  <c r="K1233" i="32"/>
  <c r="J1233" i="32"/>
  <c r="H1233" i="32"/>
  <c r="F1233" i="32"/>
  <c r="N1232" i="32"/>
  <c r="M1232" i="32"/>
  <c r="L1232" i="32"/>
  <c r="K1232" i="32"/>
  <c r="J1232" i="32"/>
  <c r="H1232" i="32"/>
  <c r="N1231" i="32"/>
  <c r="M1231" i="32"/>
  <c r="J1231" i="32"/>
  <c r="I1231" i="32"/>
  <c r="H1231" i="32"/>
  <c r="F1231" i="32"/>
  <c r="K1231" i="32" s="1"/>
  <c r="N1230" i="32"/>
  <c r="M1230" i="32"/>
  <c r="L1230" i="32"/>
  <c r="K1230" i="32"/>
  <c r="I1230" i="32"/>
  <c r="H1230" i="32"/>
  <c r="F1230" i="32"/>
  <c r="N1227" i="32"/>
  <c r="M1227" i="32"/>
  <c r="L1227" i="32"/>
  <c r="J1227" i="32"/>
  <c r="I1227" i="32"/>
  <c r="H1227" i="32"/>
  <c r="F1227" i="32"/>
  <c r="K1227" i="32" s="1"/>
  <c r="E1223" i="32"/>
  <c r="G1222" i="32"/>
  <c r="G1221" i="32"/>
  <c r="N1226" i="32"/>
  <c r="M1226" i="32"/>
  <c r="K1226" i="32"/>
  <c r="J1226" i="32"/>
  <c r="I1226" i="32"/>
  <c r="H1226" i="32"/>
  <c r="F1226" i="32"/>
  <c r="L1226" i="32" s="1"/>
  <c r="N1225" i="32"/>
  <c r="M1225" i="32"/>
  <c r="K1225" i="32"/>
  <c r="J1225" i="32"/>
  <c r="I1225" i="32"/>
  <c r="H1225" i="32"/>
  <c r="F1225" i="32"/>
  <c r="L1225" i="32" s="1"/>
  <c r="N1224" i="32"/>
  <c r="M1224" i="32"/>
  <c r="L1224" i="32"/>
  <c r="K1224" i="32"/>
  <c r="J1224" i="32"/>
  <c r="H1224" i="32"/>
  <c r="G1224" i="32"/>
  <c r="F1224" i="32"/>
  <c r="N1223" i="32"/>
  <c r="M1223" i="32"/>
  <c r="L1223" i="32"/>
  <c r="K1223" i="32"/>
  <c r="J1223" i="32"/>
  <c r="H1223" i="32"/>
  <c r="G1223" i="32"/>
  <c r="F1223" i="32"/>
  <c r="N1222" i="32"/>
  <c r="M1222" i="32"/>
  <c r="L1222" i="32"/>
  <c r="J1222" i="32"/>
  <c r="I1222" i="32"/>
  <c r="H1222" i="32"/>
  <c r="F1222" i="32"/>
  <c r="N1221" i="32"/>
  <c r="M1221" i="32"/>
  <c r="L1221" i="32"/>
  <c r="K1221" i="32"/>
  <c r="I1221" i="32"/>
  <c r="H1221" i="32"/>
  <c r="F1221" i="32"/>
  <c r="E1215" i="32"/>
  <c r="G1216" i="32"/>
  <c r="G1215" i="32"/>
  <c r="G1214" i="32"/>
  <c r="G1213" i="32"/>
  <c r="N1218" i="32"/>
  <c r="M1218" i="32"/>
  <c r="L1218" i="32"/>
  <c r="J1218" i="32"/>
  <c r="I1218" i="32"/>
  <c r="H1218" i="32"/>
  <c r="F1218" i="32"/>
  <c r="K1218" i="32" s="1"/>
  <c r="N1217" i="32"/>
  <c r="M1217" i="32"/>
  <c r="K1217" i="32"/>
  <c r="J1217" i="32"/>
  <c r="I1217" i="32"/>
  <c r="H1217" i="32"/>
  <c r="F1217" i="32"/>
  <c r="L1217" i="32" s="1"/>
  <c r="N1216" i="32"/>
  <c r="M1216" i="32"/>
  <c r="L1216" i="32"/>
  <c r="K1216" i="32"/>
  <c r="J1216" i="32"/>
  <c r="H1216" i="32"/>
  <c r="F1216" i="32"/>
  <c r="N1215" i="32"/>
  <c r="M1215" i="32"/>
  <c r="L1215" i="32"/>
  <c r="K1215" i="32"/>
  <c r="J1215" i="32"/>
  <c r="H1215" i="32"/>
  <c r="F1215" i="32"/>
  <c r="N1214" i="32"/>
  <c r="M1214" i="32"/>
  <c r="J1214" i="32"/>
  <c r="I1214" i="32"/>
  <c r="H1214" i="32"/>
  <c r="F1214" i="32"/>
  <c r="L1214" i="32" s="1"/>
  <c r="N1213" i="32"/>
  <c r="M1213" i="32"/>
  <c r="L1213" i="32"/>
  <c r="K1213" i="32"/>
  <c r="I1213" i="32"/>
  <c r="H1213" i="32"/>
  <c r="F1213" i="32"/>
  <c r="E1200" i="32"/>
  <c r="E1199" i="32"/>
  <c r="F1199" i="32" s="1"/>
  <c r="G1198" i="32"/>
  <c r="G1197" i="32"/>
  <c r="N1202" i="32"/>
  <c r="M1202" i="32"/>
  <c r="J1202" i="32"/>
  <c r="I1202" i="32"/>
  <c r="H1202" i="32"/>
  <c r="F1202" i="32"/>
  <c r="L1202" i="32" s="1"/>
  <c r="N1201" i="32"/>
  <c r="M1201" i="32"/>
  <c r="K1201" i="32"/>
  <c r="J1201" i="32"/>
  <c r="I1201" i="32"/>
  <c r="H1201" i="32"/>
  <c r="F1201" i="32"/>
  <c r="L1201" i="32" s="1"/>
  <c r="N1200" i="32"/>
  <c r="M1200" i="32"/>
  <c r="L1200" i="32"/>
  <c r="K1200" i="32"/>
  <c r="J1200" i="32"/>
  <c r="H1200" i="32"/>
  <c r="G1200" i="32"/>
  <c r="F1200" i="32"/>
  <c r="N1199" i="32"/>
  <c r="M1199" i="32"/>
  <c r="L1199" i="32"/>
  <c r="K1199" i="32"/>
  <c r="J1199" i="32"/>
  <c r="H1199" i="32"/>
  <c r="G1199" i="32"/>
  <c r="N1198" i="32"/>
  <c r="M1198" i="32"/>
  <c r="J1198" i="32"/>
  <c r="I1198" i="32"/>
  <c r="H1198" i="32"/>
  <c r="K1198" i="32"/>
  <c r="F1198" i="32"/>
  <c r="N1197" i="32"/>
  <c r="M1197" i="32"/>
  <c r="L1197" i="32"/>
  <c r="K1197" i="32"/>
  <c r="I1197" i="32"/>
  <c r="H1197" i="32"/>
  <c r="F1197" i="32"/>
  <c r="N1194" i="32"/>
  <c r="M1194" i="32"/>
  <c r="J1194" i="32"/>
  <c r="I1194" i="32"/>
  <c r="H1194" i="32"/>
  <c r="F1194" i="32"/>
  <c r="L1194" i="32" s="1"/>
  <c r="E1191" i="32"/>
  <c r="F1191" i="32" s="1"/>
  <c r="E1190" i="32"/>
  <c r="F1190" i="32" s="1"/>
  <c r="G1191" i="32"/>
  <c r="G1190" i="32"/>
  <c r="G1189" i="32"/>
  <c r="G1188" i="32"/>
  <c r="N1193" i="32"/>
  <c r="M1193" i="32"/>
  <c r="K1193" i="32"/>
  <c r="J1193" i="32"/>
  <c r="I1193" i="32"/>
  <c r="H1193" i="32"/>
  <c r="F1193" i="32"/>
  <c r="L1193" i="32" s="1"/>
  <c r="N1192" i="32"/>
  <c r="M1192" i="32"/>
  <c r="K1192" i="32"/>
  <c r="J1192" i="32"/>
  <c r="I1192" i="32"/>
  <c r="H1192" i="32"/>
  <c r="F1192" i="32"/>
  <c r="L1192" i="32" s="1"/>
  <c r="N1191" i="32"/>
  <c r="M1191" i="32"/>
  <c r="L1191" i="32"/>
  <c r="K1191" i="32"/>
  <c r="J1191" i="32"/>
  <c r="H1191" i="32"/>
  <c r="N1190" i="32"/>
  <c r="M1190" i="32"/>
  <c r="L1190" i="32"/>
  <c r="K1190" i="32"/>
  <c r="J1190" i="32"/>
  <c r="H1190" i="32"/>
  <c r="N1189" i="32"/>
  <c r="M1189" i="32"/>
  <c r="J1189" i="32"/>
  <c r="I1189" i="32"/>
  <c r="H1189" i="32"/>
  <c r="F1189" i="32"/>
  <c r="L1189" i="32" s="1"/>
  <c r="N1188" i="32"/>
  <c r="M1188" i="32"/>
  <c r="L1188" i="32"/>
  <c r="K1188" i="32"/>
  <c r="I1188" i="32"/>
  <c r="H1188" i="32"/>
  <c r="F1188" i="32"/>
  <c r="E1183" i="32"/>
  <c r="F1183" i="32" s="1"/>
  <c r="E1182" i="32"/>
  <c r="F1182" i="32" s="1"/>
  <c r="G1181" i="32"/>
  <c r="G1180" i="32"/>
  <c r="N1185" i="32"/>
  <c r="M1185" i="32"/>
  <c r="K1185" i="32"/>
  <c r="J1185" i="32"/>
  <c r="I1185" i="32"/>
  <c r="H1185" i="32"/>
  <c r="F1185" i="32"/>
  <c r="L1185" i="32" s="1"/>
  <c r="N1184" i="32"/>
  <c r="M1184" i="32"/>
  <c r="K1184" i="32"/>
  <c r="J1184" i="32"/>
  <c r="I1184" i="32"/>
  <c r="H1184" i="32"/>
  <c r="F1184" i="32"/>
  <c r="L1184" i="32" s="1"/>
  <c r="N1183" i="32"/>
  <c r="M1183" i="32"/>
  <c r="L1183" i="32"/>
  <c r="K1183" i="32"/>
  <c r="J1183" i="32"/>
  <c r="H1183" i="32"/>
  <c r="G1183" i="32"/>
  <c r="N1182" i="32"/>
  <c r="M1182" i="32"/>
  <c r="L1182" i="32"/>
  <c r="K1182" i="32"/>
  <c r="J1182" i="32"/>
  <c r="H1182" i="32"/>
  <c r="G1182" i="32"/>
  <c r="N1181" i="32"/>
  <c r="M1181" i="32"/>
  <c r="J1181" i="32"/>
  <c r="I1181" i="32"/>
  <c r="H1181" i="32"/>
  <c r="K1181" i="32"/>
  <c r="F1181" i="32"/>
  <c r="N1180" i="32"/>
  <c r="M1180" i="32"/>
  <c r="L1180" i="32"/>
  <c r="K1180" i="32"/>
  <c r="I1180" i="32"/>
  <c r="H1180" i="32"/>
  <c r="F1180" i="32"/>
  <c r="N1177" i="32"/>
  <c r="M1177" i="32"/>
  <c r="L1177" i="32"/>
  <c r="K1177" i="32"/>
  <c r="I1177" i="32"/>
  <c r="H1177" i="32"/>
  <c r="F1177" i="32"/>
  <c r="J1177" i="32" s="1"/>
  <c r="E1174" i="32"/>
  <c r="E1173" i="32"/>
  <c r="F1173" i="32" s="1"/>
  <c r="G1171" i="32"/>
  <c r="G1170" i="32"/>
  <c r="N1176" i="32"/>
  <c r="M1176" i="32"/>
  <c r="L1176" i="32"/>
  <c r="I1176" i="32"/>
  <c r="H1176" i="32"/>
  <c r="F1176" i="32"/>
  <c r="K1176" i="32" s="1"/>
  <c r="N1175" i="32"/>
  <c r="M1175" i="32"/>
  <c r="K1175" i="32"/>
  <c r="J1175" i="32"/>
  <c r="I1175" i="32"/>
  <c r="H1175" i="32"/>
  <c r="F1175" i="32"/>
  <c r="L1175" i="32" s="1"/>
  <c r="N1174" i="32"/>
  <c r="M1174" i="32"/>
  <c r="L1174" i="32"/>
  <c r="K1174" i="32"/>
  <c r="J1174" i="32"/>
  <c r="H1174" i="32"/>
  <c r="G1174" i="32"/>
  <c r="F1174" i="32"/>
  <c r="N1173" i="32"/>
  <c r="M1173" i="32"/>
  <c r="L1173" i="32"/>
  <c r="K1173" i="32"/>
  <c r="J1173" i="32"/>
  <c r="H1173" i="32"/>
  <c r="G1173" i="32"/>
  <c r="N1172" i="32"/>
  <c r="M1172" i="32"/>
  <c r="L1172" i="32"/>
  <c r="K1172" i="32"/>
  <c r="I1172" i="32"/>
  <c r="H1172" i="32"/>
  <c r="F1172" i="32"/>
  <c r="J1172" i="32" s="1"/>
  <c r="N1171" i="32"/>
  <c r="M1171" i="32"/>
  <c r="L1171" i="32"/>
  <c r="J1171" i="32"/>
  <c r="I1171" i="32"/>
  <c r="H1171" i="32"/>
  <c r="F1171" i="32"/>
  <c r="N1170" i="32"/>
  <c r="M1170" i="32"/>
  <c r="L1170" i="32"/>
  <c r="K1170" i="32"/>
  <c r="I1170" i="32"/>
  <c r="H1170" i="32"/>
  <c r="F1170" i="32"/>
  <c r="N1159" i="32"/>
  <c r="M1159" i="32"/>
  <c r="J1159" i="32"/>
  <c r="I1159" i="32"/>
  <c r="H1159" i="32"/>
  <c r="F1159" i="32"/>
  <c r="L1159" i="32" s="1"/>
  <c r="E1156" i="32"/>
  <c r="F1156" i="32" s="1"/>
  <c r="E1155" i="32"/>
  <c r="F1155" i="32" s="1"/>
  <c r="G1156" i="32"/>
  <c r="G1155" i="32"/>
  <c r="G1154" i="32"/>
  <c r="G1153" i="32"/>
  <c r="N1158" i="32"/>
  <c r="M1158" i="32"/>
  <c r="K1158" i="32"/>
  <c r="J1158" i="32"/>
  <c r="I1158" i="32"/>
  <c r="H1158" i="32"/>
  <c r="F1158" i="32"/>
  <c r="L1158" i="32" s="1"/>
  <c r="N1157" i="32"/>
  <c r="M1157" i="32"/>
  <c r="K1157" i="32"/>
  <c r="J1157" i="32"/>
  <c r="I1157" i="32"/>
  <c r="H1157" i="32"/>
  <c r="F1157" i="32"/>
  <c r="L1157" i="32" s="1"/>
  <c r="N1156" i="32"/>
  <c r="M1156" i="32"/>
  <c r="L1156" i="32"/>
  <c r="K1156" i="32"/>
  <c r="J1156" i="32"/>
  <c r="H1156" i="32"/>
  <c r="N1155" i="32"/>
  <c r="M1155" i="32"/>
  <c r="L1155" i="32"/>
  <c r="K1155" i="32"/>
  <c r="J1155" i="32"/>
  <c r="H1155" i="32"/>
  <c r="N1154" i="32"/>
  <c r="M1154" i="32"/>
  <c r="L1154" i="32"/>
  <c r="J1154" i="32"/>
  <c r="I1154" i="32"/>
  <c r="H1154" i="32"/>
  <c r="F1154" i="32"/>
  <c r="N1153" i="32"/>
  <c r="M1153" i="32"/>
  <c r="L1153" i="32"/>
  <c r="K1153" i="32"/>
  <c r="I1153" i="32"/>
  <c r="H1153" i="32"/>
  <c r="F1153" i="32"/>
  <c r="N1150" i="32"/>
  <c r="M1150" i="32"/>
  <c r="K1150" i="32"/>
  <c r="J1150" i="32"/>
  <c r="I1150" i="32"/>
  <c r="H1150" i="32"/>
  <c r="F1150" i="32"/>
  <c r="L1150" i="32" s="1"/>
  <c r="N1149" i="32"/>
  <c r="M1149" i="32"/>
  <c r="K1149" i="32"/>
  <c r="J1149" i="32"/>
  <c r="I1149" i="32"/>
  <c r="H1149" i="32"/>
  <c r="F1149" i="32"/>
  <c r="L1149" i="32" s="1"/>
  <c r="N1148" i="32"/>
  <c r="M1148" i="32"/>
  <c r="L1148" i="32"/>
  <c r="K1148" i="32"/>
  <c r="J1148" i="32"/>
  <c r="H1148" i="32"/>
  <c r="G1148" i="32"/>
  <c r="E1148" i="32"/>
  <c r="F1148" i="32" s="1"/>
  <c r="N1147" i="32"/>
  <c r="M1147" i="32"/>
  <c r="L1147" i="32"/>
  <c r="K1147" i="32"/>
  <c r="J1147" i="32"/>
  <c r="H1147" i="32"/>
  <c r="G1147" i="32"/>
  <c r="E1147" i="32"/>
  <c r="F1147" i="32" s="1"/>
  <c r="N1146" i="32"/>
  <c r="M1146" i="32"/>
  <c r="L1146" i="32"/>
  <c r="J1146" i="32"/>
  <c r="I1146" i="32"/>
  <c r="H1146" i="32"/>
  <c r="G1146" i="32"/>
  <c r="F1146" i="32"/>
  <c r="N1145" i="32"/>
  <c r="M1145" i="32"/>
  <c r="L1145" i="32"/>
  <c r="K1145" i="32"/>
  <c r="I1145" i="32"/>
  <c r="H1145" i="32"/>
  <c r="G1145" i="32"/>
  <c r="F1145" i="32"/>
  <c r="G1140" i="32"/>
  <c r="G1139" i="32"/>
  <c r="E1140" i="32"/>
  <c r="F1140" i="32" s="1"/>
  <c r="E1139" i="32"/>
  <c r="F1139" i="32" s="1"/>
  <c r="G1138" i="32"/>
  <c r="G1137" i="32"/>
  <c r="N1142" i="32"/>
  <c r="M1142" i="32"/>
  <c r="J1142" i="32"/>
  <c r="I1142" i="32"/>
  <c r="H1142" i="32"/>
  <c r="F1142" i="32"/>
  <c r="K1142" i="32" s="1"/>
  <c r="N1141" i="32"/>
  <c r="M1141" i="32"/>
  <c r="K1141" i="32"/>
  <c r="J1141" i="32"/>
  <c r="I1141" i="32"/>
  <c r="H1141" i="32"/>
  <c r="F1141" i="32"/>
  <c r="L1141" i="32" s="1"/>
  <c r="N1140" i="32"/>
  <c r="M1140" i="32"/>
  <c r="L1140" i="32"/>
  <c r="K1140" i="32"/>
  <c r="J1140" i="32"/>
  <c r="H1140" i="32"/>
  <c r="N1139" i="32"/>
  <c r="M1139" i="32"/>
  <c r="L1139" i="32"/>
  <c r="K1139" i="32"/>
  <c r="J1139" i="32"/>
  <c r="H1139" i="32"/>
  <c r="N1138" i="32"/>
  <c r="M1138" i="32"/>
  <c r="L1138" i="32"/>
  <c r="J1138" i="32"/>
  <c r="I1138" i="32"/>
  <c r="H1138" i="32"/>
  <c r="F1138" i="32"/>
  <c r="N1137" i="32"/>
  <c r="M1137" i="32"/>
  <c r="L1137" i="32"/>
  <c r="K1137" i="32"/>
  <c r="I1137" i="32"/>
  <c r="H1137" i="32"/>
  <c r="F1137" i="32"/>
  <c r="E1132" i="32"/>
  <c r="F1132" i="32" s="1"/>
  <c r="E1131" i="32"/>
  <c r="F1131" i="32" s="1"/>
  <c r="G1129" i="32"/>
  <c r="G1128" i="32"/>
  <c r="N1134" i="32"/>
  <c r="M1134" i="32"/>
  <c r="L1134" i="32"/>
  <c r="J1134" i="32"/>
  <c r="I1134" i="32"/>
  <c r="H1134" i="32"/>
  <c r="F1134" i="32"/>
  <c r="K1134" i="32" s="1"/>
  <c r="N1133" i="32"/>
  <c r="M1133" i="32"/>
  <c r="K1133" i="32"/>
  <c r="J1133" i="32"/>
  <c r="I1133" i="32"/>
  <c r="H1133" i="32"/>
  <c r="F1133" i="32"/>
  <c r="L1133" i="32" s="1"/>
  <c r="N1132" i="32"/>
  <c r="M1132" i="32"/>
  <c r="L1132" i="32"/>
  <c r="K1132" i="32"/>
  <c r="J1132" i="32"/>
  <c r="H1132" i="32"/>
  <c r="G1132" i="32"/>
  <c r="N1131" i="32"/>
  <c r="M1131" i="32"/>
  <c r="L1131" i="32"/>
  <c r="K1131" i="32"/>
  <c r="J1131" i="32"/>
  <c r="H1131" i="32"/>
  <c r="G1131" i="32"/>
  <c r="J1130" i="32"/>
  <c r="N1129" i="32"/>
  <c r="M1129" i="32"/>
  <c r="L1129" i="32"/>
  <c r="J1129" i="32"/>
  <c r="I1129" i="32"/>
  <c r="H1129" i="32"/>
  <c r="F1129" i="32"/>
  <c r="N1128" i="32"/>
  <c r="M1128" i="32"/>
  <c r="L1128" i="32"/>
  <c r="K1128" i="32"/>
  <c r="I1128" i="32"/>
  <c r="H1128" i="32"/>
  <c r="F1128" i="32"/>
  <c r="G1123" i="32"/>
  <c r="G1122" i="32"/>
  <c r="E1122" i="32"/>
  <c r="F1122" i="32" s="1"/>
  <c r="G1121" i="32"/>
  <c r="G1120" i="32"/>
  <c r="N1125" i="32"/>
  <c r="M1125" i="32"/>
  <c r="K1125" i="32"/>
  <c r="J1125" i="32"/>
  <c r="I1125" i="32"/>
  <c r="H1125" i="32"/>
  <c r="F1125" i="32"/>
  <c r="L1125" i="32" s="1"/>
  <c r="N1124" i="32"/>
  <c r="M1124" i="32"/>
  <c r="K1124" i="32"/>
  <c r="I1124" i="32"/>
  <c r="H1124" i="32"/>
  <c r="F1124" i="32"/>
  <c r="L1124" i="32" s="1"/>
  <c r="N1123" i="32"/>
  <c r="M1123" i="32"/>
  <c r="L1123" i="32"/>
  <c r="K1123" i="32"/>
  <c r="J1123" i="32"/>
  <c r="H1123" i="32"/>
  <c r="F1123" i="32"/>
  <c r="I1123" i="32" s="1"/>
  <c r="N1122" i="32"/>
  <c r="M1122" i="32"/>
  <c r="L1122" i="32"/>
  <c r="K1122" i="32"/>
  <c r="J1122" i="32"/>
  <c r="H1122" i="32"/>
  <c r="N1121" i="32"/>
  <c r="M1121" i="32"/>
  <c r="L1121" i="32"/>
  <c r="J1121" i="32"/>
  <c r="I1121" i="32"/>
  <c r="H1121" i="32"/>
  <c r="F1121" i="32"/>
  <c r="N1120" i="32"/>
  <c r="M1120" i="32"/>
  <c r="L1120" i="32"/>
  <c r="K1120" i="32"/>
  <c r="I1120" i="32"/>
  <c r="H1120" i="32"/>
  <c r="F1120" i="32"/>
  <c r="J1120" i="32" s="1"/>
  <c r="G1078" i="32"/>
  <c r="G1077" i="32"/>
  <c r="E1078" i="32"/>
  <c r="F1078" i="32" s="1"/>
  <c r="E1077" i="32"/>
  <c r="F1077" i="32" s="1"/>
  <c r="G1075" i="32"/>
  <c r="G1074" i="32"/>
  <c r="N1081" i="32"/>
  <c r="M1081" i="32"/>
  <c r="L1081" i="32"/>
  <c r="J1081" i="32"/>
  <c r="I1081" i="32"/>
  <c r="H1081" i="32"/>
  <c r="F1081" i="32"/>
  <c r="K1081" i="32" s="1"/>
  <c r="N1080" i="32"/>
  <c r="M1080" i="32"/>
  <c r="K1080" i="32"/>
  <c r="J1080" i="32"/>
  <c r="I1080" i="32"/>
  <c r="H1080" i="32"/>
  <c r="F1080" i="32"/>
  <c r="L1080" i="32" s="1"/>
  <c r="N1079" i="32"/>
  <c r="M1079" i="32"/>
  <c r="K1079" i="32"/>
  <c r="J1079" i="32"/>
  <c r="I1079" i="32"/>
  <c r="H1079" i="32"/>
  <c r="F1079" i="32"/>
  <c r="L1079" i="32" s="1"/>
  <c r="N1078" i="32"/>
  <c r="M1078" i="32"/>
  <c r="L1078" i="32"/>
  <c r="K1078" i="32"/>
  <c r="J1078" i="32"/>
  <c r="H1078" i="32"/>
  <c r="N1077" i="32"/>
  <c r="M1077" i="32"/>
  <c r="L1077" i="32"/>
  <c r="K1077" i="32"/>
  <c r="J1077" i="32"/>
  <c r="H1077" i="32"/>
  <c r="J1076" i="32"/>
  <c r="N1075" i="32"/>
  <c r="M1075" i="32"/>
  <c r="L1075" i="32"/>
  <c r="J1075" i="32"/>
  <c r="I1075" i="32"/>
  <c r="H1075" i="32"/>
  <c r="F1075" i="32"/>
  <c r="N1074" i="32"/>
  <c r="M1074" i="32"/>
  <c r="L1074" i="32"/>
  <c r="K1074" i="32"/>
  <c r="I1074" i="32"/>
  <c r="H1074" i="32"/>
  <c r="F1074" i="32"/>
  <c r="H1071" i="32"/>
  <c r="I1071" i="32"/>
  <c r="J1071" i="32"/>
  <c r="L1071" i="32"/>
  <c r="M1071" i="32"/>
  <c r="N1071" i="32"/>
  <c r="F1071" i="32"/>
  <c r="K1071" i="32" s="1"/>
  <c r="G1065" i="32"/>
  <c r="G1064" i="32"/>
  <c r="J1066" i="32"/>
  <c r="J1056" i="32"/>
  <c r="J1057" i="32"/>
  <c r="J1058" i="32"/>
  <c r="N1070" i="32"/>
  <c r="M1070" i="32"/>
  <c r="K1070" i="32"/>
  <c r="J1070" i="32"/>
  <c r="I1070" i="32"/>
  <c r="H1070" i="32"/>
  <c r="F1070" i="32"/>
  <c r="L1070" i="32" s="1"/>
  <c r="N1069" i="32"/>
  <c r="M1069" i="32"/>
  <c r="J1069" i="32"/>
  <c r="I1069" i="32"/>
  <c r="H1069" i="32"/>
  <c r="F1069" i="32"/>
  <c r="L1069" i="32" s="1"/>
  <c r="N1068" i="32"/>
  <c r="M1068" i="32"/>
  <c r="L1068" i="32"/>
  <c r="K1068" i="32"/>
  <c r="J1068" i="32"/>
  <c r="H1068" i="32"/>
  <c r="G1068" i="32"/>
  <c r="E1068" i="32"/>
  <c r="F1068" i="32" s="1"/>
  <c r="N1067" i="32"/>
  <c r="M1067" i="32"/>
  <c r="L1067" i="32"/>
  <c r="K1067" i="32"/>
  <c r="J1067" i="32"/>
  <c r="H1067" i="32"/>
  <c r="G1067" i="32"/>
  <c r="E1067" i="32"/>
  <c r="F1067" i="32" s="1"/>
  <c r="N1065" i="32"/>
  <c r="M1065" i="32"/>
  <c r="J1065" i="32"/>
  <c r="I1065" i="32"/>
  <c r="H1065" i="32"/>
  <c r="F1065" i="32"/>
  <c r="L1065" i="32" s="1"/>
  <c r="N1064" i="32"/>
  <c r="M1064" i="32"/>
  <c r="L1064" i="32"/>
  <c r="K1064" i="32"/>
  <c r="I1064" i="32"/>
  <c r="H1064" i="32"/>
  <c r="F1064" i="32"/>
  <c r="G1059" i="32"/>
  <c r="G1058" i="32"/>
  <c r="E1059" i="32"/>
  <c r="F1059" i="32" s="1"/>
  <c r="E1058" i="32"/>
  <c r="F1058" i="32" s="1"/>
  <c r="G1056" i="32"/>
  <c r="G1055" i="32"/>
  <c r="N1061" i="32"/>
  <c r="M1061" i="32"/>
  <c r="K1061" i="32"/>
  <c r="J1061" i="32"/>
  <c r="I1061" i="32"/>
  <c r="H1061" i="32"/>
  <c r="F1061" i="32"/>
  <c r="L1061" i="32" s="1"/>
  <c r="N1060" i="32"/>
  <c r="M1060" i="32"/>
  <c r="J1060" i="32"/>
  <c r="I1060" i="32"/>
  <c r="H1060" i="32"/>
  <c r="F1060" i="32"/>
  <c r="K1060" i="32" s="1"/>
  <c r="N1059" i="32"/>
  <c r="M1059" i="32"/>
  <c r="L1059" i="32"/>
  <c r="K1059" i="32"/>
  <c r="J1059" i="32"/>
  <c r="H1059" i="32"/>
  <c r="N1058" i="32"/>
  <c r="M1058" i="32"/>
  <c r="L1058" i="32"/>
  <c r="K1058" i="32"/>
  <c r="H1058" i="32"/>
  <c r="N1056" i="32"/>
  <c r="M1056" i="32"/>
  <c r="I1056" i="32"/>
  <c r="H1056" i="32"/>
  <c r="K1056" i="32"/>
  <c r="F1056" i="32"/>
  <c r="N1055" i="32"/>
  <c r="M1055" i="32"/>
  <c r="L1055" i="32"/>
  <c r="K1055" i="32"/>
  <c r="I1055" i="32"/>
  <c r="H1055" i="32"/>
  <c r="F1055" i="32"/>
  <c r="N1046" i="32"/>
  <c r="L1046" i="32"/>
  <c r="K1046" i="32"/>
  <c r="J1046" i="32"/>
  <c r="I1046" i="32"/>
  <c r="H1046" i="32"/>
  <c r="F1046" i="32"/>
  <c r="M1046" i="32" s="1"/>
  <c r="N1045" i="32"/>
  <c r="L1045" i="32"/>
  <c r="K1045" i="32"/>
  <c r="J1045" i="32"/>
  <c r="I1045" i="32"/>
  <c r="H1045" i="32"/>
  <c r="F1045" i="32"/>
  <c r="M1045" i="32" s="1"/>
  <c r="N1044" i="32"/>
  <c r="L1044" i="32"/>
  <c r="K1044" i="32"/>
  <c r="J1044" i="32"/>
  <c r="I1044" i="32"/>
  <c r="H1044" i="32"/>
  <c r="F1044" i="32"/>
  <c r="M1044" i="32" s="1"/>
  <c r="N1043" i="32"/>
  <c r="L1043" i="32"/>
  <c r="K1043" i="32"/>
  <c r="J1043" i="32"/>
  <c r="I1043" i="32"/>
  <c r="H1043" i="32"/>
  <c r="F1043" i="32"/>
  <c r="M1043" i="32" s="1"/>
  <c r="N1042" i="32"/>
  <c r="M1042" i="32"/>
  <c r="L1042" i="32"/>
  <c r="K1042" i="32"/>
  <c r="J1042" i="32"/>
  <c r="H1042" i="32"/>
  <c r="G1042" i="32"/>
  <c r="E1042" i="32"/>
  <c r="F1042" i="32" s="1"/>
  <c r="N1041" i="32"/>
  <c r="M1041" i="32"/>
  <c r="L1041" i="32"/>
  <c r="K1041" i="32"/>
  <c r="J1041" i="32"/>
  <c r="H1041" i="32"/>
  <c r="G1041" i="32"/>
  <c r="E1041" i="32"/>
  <c r="F1041" i="32" s="1"/>
  <c r="N1040" i="32"/>
  <c r="M1040" i="32"/>
  <c r="L1040" i="32"/>
  <c r="J1040" i="32"/>
  <c r="I1040" i="32"/>
  <c r="H1040" i="32"/>
  <c r="F1040" i="32"/>
  <c r="K1040" i="32" s="1"/>
  <c r="M1039" i="32"/>
  <c r="L1039" i="32"/>
  <c r="K1039" i="32"/>
  <c r="J1039" i="32"/>
  <c r="I1039" i="32"/>
  <c r="H1039" i="32"/>
  <c r="G1039" i="32"/>
  <c r="F1039" i="32"/>
  <c r="N1038" i="32"/>
  <c r="M1038" i="32"/>
  <c r="K1038" i="32"/>
  <c r="J1038" i="32"/>
  <c r="I1038" i="32"/>
  <c r="H1038" i="32"/>
  <c r="G1038" i="32"/>
  <c r="F1038" i="32"/>
  <c r="N1035" i="32"/>
  <c r="M1035" i="32"/>
  <c r="L1035" i="32"/>
  <c r="J1035" i="32"/>
  <c r="I1035" i="32"/>
  <c r="H1035" i="32"/>
  <c r="F1035" i="32"/>
  <c r="K1035" i="32" s="1"/>
  <c r="N1034" i="32"/>
  <c r="M1034" i="32"/>
  <c r="K1034" i="32"/>
  <c r="J1034" i="32"/>
  <c r="I1034" i="32"/>
  <c r="H1034" i="32"/>
  <c r="F1034" i="32"/>
  <c r="L1034" i="32" s="1"/>
  <c r="N1033" i="32"/>
  <c r="M1033" i="32"/>
  <c r="L1033" i="32"/>
  <c r="J1033" i="32"/>
  <c r="I1033" i="32"/>
  <c r="H1033" i="32"/>
  <c r="F1033" i="32"/>
  <c r="K1033" i="32" s="1"/>
  <c r="N1032" i="32"/>
  <c r="M1032" i="32"/>
  <c r="L1032" i="32"/>
  <c r="K1032" i="32"/>
  <c r="J1032" i="32"/>
  <c r="H1032" i="32"/>
  <c r="G1032" i="32"/>
  <c r="E1032" i="32"/>
  <c r="F1032" i="32" s="1"/>
  <c r="N1031" i="32"/>
  <c r="M1031" i="32"/>
  <c r="L1031" i="32"/>
  <c r="K1031" i="32"/>
  <c r="J1031" i="32"/>
  <c r="H1031" i="32"/>
  <c r="G1031" i="32"/>
  <c r="E1031" i="32"/>
  <c r="F1031" i="32" s="1"/>
  <c r="N1030" i="32"/>
  <c r="M1030" i="32"/>
  <c r="L1030" i="32"/>
  <c r="K1030" i="32"/>
  <c r="I1030" i="32"/>
  <c r="H1030" i="32"/>
  <c r="F1030" i="32"/>
  <c r="J1030" i="32" s="1"/>
  <c r="N1029" i="32"/>
  <c r="M1029" i="32"/>
  <c r="L1029" i="32"/>
  <c r="J1029" i="32"/>
  <c r="I1029" i="32"/>
  <c r="H1029" i="32"/>
  <c r="G1029" i="32"/>
  <c r="F1029" i="32"/>
  <c r="N1028" i="32"/>
  <c r="M1028" i="32"/>
  <c r="L1028" i="32"/>
  <c r="K1028" i="32"/>
  <c r="I1028" i="32"/>
  <c r="H1028" i="32"/>
  <c r="G1028" i="32"/>
  <c r="F1028" i="32"/>
  <c r="L1198" i="32" l="1"/>
  <c r="J1221" i="32"/>
  <c r="L1181" i="32"/>
  <c r="J1230" i="32"/>
  <c r="J1137" i="32"/>
  <c r="I1200" i="32"/>
  <c r="L1318" i="32"/>
  <c r="I1287" i="32"/>
  <c r="J1281" i="32"/>
  <c r="I1267" i="32"/>
  <c r="I1268" i="32"/>
  <c r="J1275" i="32"/>
  <c r="N1319" i="32"/>
  <c r="I1277" i="32"/>
  <c r="I1232" i="32"/>
  <c r="J1213" i="32"/>
  <c r="J1239" i="32"/>
  <c r="L1264" i="32"/>
  <c r="I1278" i="32"/>
  <c r="I1286" i="32"/>
  <c r="K1315" i="32"/>
  <c r="I1321" i="32"/>
  <c r="I1322" i="32"/>
  <c r="K1309" i="32"/>
  <c r="K1154" i="32"/>
  <c r="L1248" i="32"/>
  <c r="I1258" i="32"/>
  <c r="M1255" i="32"/>
  <c r="I1233" i="32"/>
  <c r="K1256" i="32"/>
  <c r="N1265" i="32"/>
  <c r="I1199" i="32"/>
  <c r="J1310" i="32"/>
  <c r="I1311" i="32"/>
  <c r="I1312" i="32"/>
  <c r="K1313" i="32"/>
  <c r="J1188" i="32"/>
  <c r="I1249" i="32"/>
  <c r="I1250" i="32"/>
  <c r="L1285" i="32"/>
  <c r="K1289" i="32"/>
  <c r="L1280" i="32"/>
  <c r="I1257" i="32"/>
  <c r="J1284" i="32"/>
  <c r="K1075" i="32"/>
  <c r="I1173" i="32"/>
  <c r="I1215" i="32"/>
  <c r="J1247" i="32"/>
  <c r="L1254" i="32"/>
  <c r="K1276" i="32"/>
  <c r="L1261" i="32"/>
  <c r="M1259" i="32"/>
  <c r="I1191" i="32"/>
  <c r="I1223" i="32"/>
  <c r="I1224" i="32"/>
  <c r="I1242" i="32"/>
  <c r="J1153" i="32"/>
  <c r="K1171" i="32"/>
  <c r="J1176" i="32"/>
  <c r="J1145" i="32"/>
  <c r="I1147" i="32"/>
  <c r="I1148" i="32"/>
  <c r="I1183" i="32"/>
  <c r="K1214" i="32"/>
  <c r="K1222" i="32"/>
  <c r="L1234" i="32"/>
  <c r="K1243" i="32"/>
  <c r="K1129" i="32"/>
  <c r="K1138" i="32"/>
  <c r="I1156" i="32"/>
  <c r="I1241" i="32"/>
  <c r="L1231" i="32"/>
  <c r="I1216" i="32"/>
  <c r="K1240" i="32"/>
  <c r="M1244" i="32"/>
  <c r="K1202" i="32"/>
  <c r="K1194" i="32"/>
  <c r="I1190" i="32"/>
  <c r="I1077" i="32"/>
  <c r="I1182" i="32"/>
  <c r="K1189" i="32"/>
  <c r="J1197" i="32"/>
  <c r="I1122" i="32"/>
  <c r="I1174" i="32"/>
  <c r="J1180" i="32"/>
  <c r="K1159" i="32"/>
  <c r="I1132" i="32"/>
  <c r="K1146" i="32"/>
  <c r="I1155" i="32"/>
  <c r="L1142" i="32"/>
  <c r="J1170" i="32"/>
  <c r="K1121" i="32"/>
  <c r="I1131" i="32"/>
  <c r="I1139" i="32"/>
  <c r="I1140" i="32"/>
  <c r="L1056" i="32"/>
  <c r="I1059" i="32"/>
  <c r="L1038" i="32"/>
  <c r="J1124" i="32"/>
  <c r="J1128" i="32"/>
  <c r="J1064" i="32"/>
  <c r="I1067" i="32"/>
  <c r="I1068" i="32"/>
  <c r="K1069" i="32"/>
  <c r="J1074" i="32"/>
  <c r="K1065" i="32"/>
  <c r="I1041" i="32"/>
  <c r="I1042" i="32"/>
  <c r="J1055" i="32"/>
  <c r="I1078" i="32"/>
  <c r="I1058" i="32"/>
  <c r="L1060" i="32"/>
  <c r="N1039" i="32"/>
  <c r="J1028" i="32"/>
  <c r="K1029" i="32"/>
  <c r="I1031" i="32"/>
  <c r="I1032" i="32"/>
  <c r="H1007" i="32"/>
  <c r="I1007" i="32"/>
  <c r="J1007" i="32"/>
  <c r="K1007" i="32"/>
  <c r="L1007" i="32"/>
  <c r="N1007" i="32"/>
  <c r="F1007" i="32"/>
  <c r="M1007" i="32" s="1"/>
  <c r="E1003" i="32"/>
  <c r="F1003" i="32" s="1"/>
  <c r="E1002" i="32"/>
  <c r="F1002" i="32" s="1"/>
  <c r="G1003" i="32"/>
  <c r="G1002" i="32"/>
  <c r="G1000" i="32"/>
  <c r="G999" i="32"/>
  <c r="N1006" i="32"/>
  <c r="L1006" i="32"/>
  <c r="J1006" i="32"/>
  <c r="I1006" i="32"/>
  <c r="H1006" i="32"/>
  <c r="F1006" i="32"/>
  <c r="K1006" i="32" s="1"/>
  <c r="N1005" i="32"/>
  <c r="K1005" i="32"/>
  <c r="J1005" i="32"/>
  <c r="I1005" i="32"/>
  <c r="H1005" i="32"/>
  <c r="F1005" i="32"/>
  <c r="L1005" i="32" s="1"/>
  <c r="N1004" i="32"/>
  <c r="L1004" i="32"/>
  <c r="J1004" i="32"/>
  <c r="I1004" i="32"/>
  <c r="H1004" i="32"/>
  <c r="F1004" i="32"/>
  <c r="K1004" i="32" s="1"/>
  <c r="N1003" i="32"/>
  <c r="M1003" i="32"/>
  <c r="L1003" i="32"/>
  <c r="K1003" i="32"/>
  <c r="J1003" i="32"/>
  <c r="H1003" i="32"/>
  <c r="N1002" i="32"/>
  <c r="M1002" i="32"/>
  <c r="L1002" i="32"/>
  <c r="K1002" i="32"/>
  <c r="J1002" i="32"/>
  <c r="H1002" i="32"/>
  <c r="N1001" i="32"/>
  <c r="M1001" i="32"/>
  <c r="L1001" i="32"/>
  <c r="I1001" i="32"/>
  <c r="H1001" i="32"/>
  <c r="F1001" i="32"/>
  <c r="J1001" i="32" s="1"/>
  <c r="M1000" i="32"/>
  <c r="L1000" i="32"/>
  <c r="J1000" i="32"/>
  <c r="I1000" i="32"/>
  <c r="H1000" i="32"/>
  <c r="K1000" i="32"/>
  <c r="F1000" i="32"/>
  <c r="N999" i="32"/>
  <c r="M999" i="32"/>
  <c r="K999" i="32"/>
  <c r="I999" i="32"/>
  <c r="H999" i="32"/>
  <c r="F999" i="32"/>
  <c r="J999" i="32" s="1"/>
  <c r="I1003" i="32" l="1"/>
  <c r="N1000" i="32"/>
  <c r="K1001" i="32"/>
  <c r="I1002" i="32"/>
  <c r="M1006" i="32"/>
  <c r="L999" i="32"/>
  <c r="M1005" i="32"/>
  <c r="M1004" i="32"/>
  <c r="E993" i="32"/>
  <c r="F993" i="32" s="1"/>
  <c r="E992" i="32"/>
  <c r="F992" i="32" s="1"/>
  <c r="G990" i="32"/>
  <c r="G989" i="32"/>
  <c r="N996" i="32"/>
  <c r="M996" i="32"/>
  <c r="L996" i="32"/>
  <c r="J996" i="32"/>
  <c r="I996" i="32"/>
  <c r="H996" i="32"/>
  <c r="F996" i="32"/>
  <c r="K996" i="32" s="1"/>
  <c r="N995" i="32"/>
  <c r="M995" i="32"/>
  <c r="K995" i="32"/>
  <c r="J995" i="32"/>
  <c r="I995" i="32"/>
  <c r="H995" i="32"/>
  <c r="F995" i="32"/>
  <c r="L995" i="32" s="1"/>
  <c r="N994" i="32"/>
  <c r="M994" i="32"/>
  <c r="J994" i="32"/>
  <c r="I994" i="32"/>
  <c r="H994" i="32"/>
  <c r="F994" i="32"/>
  <c r="L994" i="32" s="1"/>
  <c r="N993" i="32"/>
  <c r="M993" i="32"/>
  <c r="L993" i="32"/>
  <c r="K993" i="32"/>
  <c r="J993" i="32"/>
  <c r="H993" i="32"/>
  <c r="G993" i="32"/>
  <c r="N992" i="32"/>
  <c r="M992" i="32"/>
  <c r="L992" i="32"/>
  <c r="K992" i="32"/>
  <c r="J992" i="32"/>
  <c r="H992" i="32"/>
  <c r="G992" i="32"/>
  <c r="N991" i="32"/>
  <c r="M991" i="32"/>
  <c r="L991" i="32"/>
  <c r="K991" i="32"/>
  <c r="I991" i="32"/>
  <c r="H991" i="32"/>
  <c r="F991" i="32"/>
  <c r="J991" i="32" s="1"/>
  <c r="N990" i="32"/>
  <c r="M990" i="32"/>
  <c r="L990" i="32"/>
  <c r="J990" i="32"/>
  <c r="I990" i="32"/>
  <c r="H990" i="32"/>
  <c r="F990" i="32"/>
  <c r="N989" i="32"/>
  <c r="M989" i="32"/>
  <c r="L989" i="32"/>
  <c r="K989" i="32"/>
  <c r="I989" i="32"/>
  <c r="H989" i="32"/>
  <c r="F989" i="32"/>
  <c r="E972" i="32"/>
  <c r="F972" i="32" s="1"/>
  <c r="E971" i="32"/>
  <c r="F971" i="32" s="1"/>
  <c r="G969" i="32"/>
  <c r="G968" i="32"/>
  <c r="N974" i="32"/>
  <c r="M974" i="32"/>
  <c r="L974" i="32"/>
  <c r="J974" i="32"/>
  <c r="I974" i="32"/>
  <c r="H974" i="32"/>
  <c r="F974" i="32"/>
  <c r="K974" i="32" s="1"/>
  <c r="N973" i="32"/>
  <c r="M973" i="32"/>
  <c r="K973" i="32"/>
  <c r="J973" i="32"/>
  <c r="I973" i="32"/>
  <c r="H973" i="32"/>
  <c r="F973" i="32"/>
  <c r="L973" i="32" s="1"/>
  <c r="N972" i="32"/>
  <c r="M972" i="32"/>
  <c r="L972" i="32"/>
  <c r="K972" i="32"/>
  <c r="J972" i="32"/>
  <c r="H972" i="32"/>
  <c r="G972" i="32"/>
  <c r="N971" i="32"/>
  <c r="M971" i="32"/>
  <c r="L971" i="32"/>
  <c r="K971" i="32"/>
  <c r="J971" i="32"/>
  <c r="H971" i="32"/>
  <c r="G971" i="32"/>
  <c r="N970" i="32"/>
  <c r="M970" i="32"/>
  <c r="L970" i="32"/>
  <c r="K970" i="32"/>
  <c r="I970" i="32"/>
  <c r="H970" i="32"/>
  <c r="F970" i="32"/>
  <c r="J970" i="32" s="1"/>
  <c r="N969" i="32"/>
  <c r="M969" i="32"/>
  <c r="K969" i="32"/>
  <c r="J969" i="32"/>
  <c r="I969" i="32"/>
  <c r="H969" i="32"/>
  <c r="F969" i="32"/>
  <c r="N968" i="32"/>
  <c r="M968" i="32"/>
  <c r="L968" i="32"/>
  <c r="K968" i="32"/>
  <c r="I968" i="32"/>
  <c r="H968" i="32"/>
  <c r="F968" i="32"/>
  <c r="G963" i="32"/>
  <c r="G962" i="32"/>
  <c r="E963" i="32"/>
  <c r="E962" i="32"/>
  <c r="F962" i="32" s="1"/>
  <c r="G960" i="32"/>
  <c r="G959" i="32"/>
  <c r="N965" i="32"/>
  <c r="M965" i="32"/>
  <c r="L965" i="32"/>
  <c r="J965" i="32"/>
  <c r="I965" i="32"/>
  <c r="H965" i="32"/>
  <c r="F965" i="32"/>
  <c r="K965" i="32" s="1"/>
  <c r="N964" i="32"/>
  <c r="M964" i="32"/>
  <c r="K964" i="32"/>
  <c r="J964" i="32"/>
  <c r="I964" i="32"/>
  <c r="H964" i="32"/>
  <c r="F964" i="32"/>
  <c r="L964" i="32" s="1"/>
  <c r="N963" i="32"/>
  <c r="M963" i="32"/>
  <c r="L963" i="32"/>
  <c r="K963" i="32"/>
  <c r="J963" i="32"/>
  <c r="H963" i="32"/>
  <c r="F963" i="32"/>
  <c r="N962" i="32"/>
  <c r="M962" i="32"/>
  <c r="L962" i="32"/>
  <c r="K962" i="32"/>
  <c r="J962" i="32"/>
  <c r="H962" i="32"/>
  <c r="N961" i="32"/>
  <c r="M961" i="32"/>
  <c r="L961" i="32"/>
  <c r="K961" i="32"/>
  <c r="I961" i="32"/>
  <c r="H961" i="32"/>
  <c r="F961" i="32"/>
  <c r="J961" i="32" s="1"/>
  <c r="N960" i="32"/>
  <c r="M960" i="32"/>
  <c r="J960" i="32"/>
  <c r="I960" i="32"/>
  <c r="H960" i="32"/>
  <c r="F960" i="32"/>
  <c r="N959" i="32"/>
  <c r="M959" i="32"/>
  <c r="L959" i="32"/>
  <c r="K959" i="32"/>
  <c r="I959" i="32"/>
  <c r="H959" i="32"/>
  <c r="F959" i="32"/>
  <c r="E953" i="32"/>
  <c r="F953" i="32" s="1"/>
  <c r="E952" i="32"/>
  <c r="F952" i="32" s="1"/>
  <c r="G953" i="32"/>
  <c r="G952" i="32"/>
  <c r="G950" i="32"/>
  <c r="G949" i="32"/>
  <c r="N956" i="32"/>
  <c r="M956" i="32"/>
  <c r="J956" i="32"/>
  <c r="I956" i="32"/>
  <c r="H956" i="32"/>
  <c r="F956" i="32"/>
  <c r="L956" i="32" s="1"/>
  <c r="N955" i="32"/>
  <c r="K955" i="32"/>
  <c r="J955" i="32"/>
  <c r="I955" i="32"/>
  <c r="H955" i="32"/>
  <c r="F955" i="32"/>
  <c r="M955" i="32" s="1"/>
  <c r="N954" i="32"/>
  <c r="K954" i="32"/>
  <c r="J954" i="32"/>
  <c r="I954" i="32"/>
  <c r="H954" i="32"/>
  <c r="F954" i="32"/>
  <c r="M954" i="32" s="1"/>
  <c r="N953" i="32"/>
  <c r="M953" i="32"/>
  <c r="L953" i="32"/>
  <c r="K953" i="32"/>
  <c r="J953" i="32"/>
  <c r="H953" i="32"/>
  <c r="N952" i="32"/>
  <c r="M952" i="32"/>
  <c r="L952" i="32"/>
  <c r="K952" i="32"/>
  <c r="J952" i="32"/>
  <c r="H952" i="32"/>
  <c r="N951" i="32"/>
  <c r="M951" i="32"/>
  <c r="L951" i="32"/>
  <c r="I951" i="32"/>
  <c r="H951" i="32"/>
  <c r="F951" i="32"/>
  <c r="K951" i="32" s="1"/>
  <c r="N950" i="32"/>
  <c r="L950" i="32"/>
  <c r="J950" i="32"/>
  <c r="I950" i="32"/>
  <c r="H950" i="32"/>
  <c r="M950" i="32"/>
  <c r="F950" i="32"/>
  <c r="N949" i="32"/>
  <c r="M949" i="32"/>
  <c r="L949" i="32"/>
  <c r="K949" i="32"/>
  <c r="I949" i="32"/>
  <c r="H949" i="32"/>
  <c r="F949" i="32"/>
  <c r="N946" i="32"/>
  <c r="M946" i="32"/>
  <c r="L946" i="32"/>
  <c r="K946" i="32"/>
  <c r="I946" i="32"/>
  <c r="H946" i="32"/>
  <c r="F946" i="32"/>
  <c r="J946" i="32" s="1"/>
  <c r="N945" i="32"/>
  <c r="M945" i="32"/>
  <c r="K945" i="32"/>
  <c r="J945" i="32"/>
  <c r="I945" i="32"/>
  <c r="H945" i="32"/>
  <c r="F945" i="32"/>
  <c r="L945" i="32" s="1"/>
  <c r="N944" i="32"/>
  <c r="M944" i="32"/>
  <c r="L944" i="32"/>
  <c r="K944" i="32"/>
  <c r="J944" i="32"/>
  <c r="H944" i="32"/>
  <c r="G944" i="32"/>
  <c r="E944" i="32"/>
  <c r="F944" i="32" s="1"/>
  <c r="N943" i="32"/>
  <c r="M943" i="32"/>
  <c r="L943" i="32"/>
  <c r="K943" i="32"/>
  <c r="J943" i="32"/>
  <c r="H943" i="32"/>
  <c r="G943" i="32"/>
  <c r="E943" i="32"/>
  <c r="F943" i="32" s="1"/>
  <c r="N942" i="32"/>
  <c r="M942" i="32"/>
  <c r="L942" i="32"/>
  <c r="J942" i="32"/>
  <c r="I942" i="32"/>
  <c r="H942" i="32"/>
  <c r="G942" i="32"/>
  <c r="F942" i="32"/>
  <c r="N941" i="32"/>
  <c r="M941" i="32"/>
  <c r="L941" i="32"/>
  <c r="K941" i="32"/>
  <c r="I941" i="32"/>
  <c r="H941" i="32"/>
  <c r="G941" i="32"/>
  <c r="F941" i="32"/>
  <c r="N937" i="32"/>
  <c r="M937" i="32"/>
  <c r="K937" i="32"/>
  <c r="J937" i="32"/>
  <c r="I937" i="32"/>
  <c r="H937" i="32"/>
  <c r="F937" i="32"/>
  <c r="L937" i="32" s="1"/>
  <c r="E936" i="32"/>
  <c r="F936" i="32" s="1"/>
  <c r="E935" i="32"/>
  <c r="F935" i="32" s="1"/>
  <c r="G933" i="32"/>
  <c r="G934" i="32"/>
  <c r="N938" i="32"/>
  <c r="M938" i="32"/>
  <c r="K938" i="32"/>
  <c r="I938" i="32"/>
  <c r="H938" i="32"/>
  <c r="F938" i="32"/>
  <c r="L938" i="32" s="1"/>
  <c r="N936" i="32"/>
  <c r="M936" i="32"/>
  <c r="L936" i="32"/>
  <c r="K936" i="32"/>
  <c r="J936" i="32"/>
  <c r="H936" i="32"/>
  <c r="G936" i="32"/>
  <c r="N935" i="32"/>
  <c r="M935" i="32"/>
  <c r="L935" i="32"/>
  <c r="K935" i="32"/>
  <c r="J935" i="32"/>
  <c r="H935" i="32"/>
  <c r="G935" i="32"/>
  <c r="N934" i="32"/>
  <c r="M934" i="32"/>
  <c r="J934" i="32"/>
  <c r="I934" i="32"/>
  <c r="H934" i="32"/>
  <c r="F934" i="32"/>
  <c r="N933" i="32"/>
  <c r="M933" i="32"/>
  <c r="L933" i="32"/>
  <c r="K933" i="32"/>
  <c r="I933" i="32"/>
  <c r="H933" i="32"/>
  <c r="F933" i="32"/>
  <c r="J968" i="32" l="1"/>
  <c r="K990" i="32"/>
  <c r="J989" i="32"/>
  <c r="J933" i="32"/>
  <c r="L960" i="32"/>
  <c r="L969" i="32"/>
  <c r="J949" i="32"/>
  <c r="I953" i="32"/>
  <c r="I971" i="32"/>
  <c r="I972" i="32"/>
  <c r="K950" i="32"/>
  <c r="I992" i="32"/>
  <c r="I993" i="32"/>
  <c r="K994" i="32"/>
  <c r="K934" i="32"/>
  <c r="J941" i="32"/>
  <c r="I943" i="32"/>
  <c r="I944" i="32"/>
  <c r="J959" i="32"/>
  <c r="K960" i="32"/>
  <c r="I936" i="32"/>
  <c r="J951" i="32"/>
  <c r="J938" i="32"/>
  <c r="I962" i="32"/>
  <c r="I963" i="32"/>
  <c r="K942" i="32"/>
  <c r="I952" i="32"/>
  <c r="K956" i="32"/>
  <c r="L955" i="32"/>
  <c r="L954" i="32"/>
  <c r="I935" i="32"/>
  <c r="L934" i="32"/>
  <c r="G924" i="32"/>
  <c r="G927" i="32"/>
  <c r="G926" i="32"/>
  <c r="E927" i="32"/>
  <c r="F927" i="32" s="1"/>
  <c r="E926" i="32"/>
  <c r="F926" i="32" s="1"/>
  <c r="N929" i="32"/>
  <c r="M929" i="32"/>
  <c r="J929" i="32"/>
  <c r="I929" i="32"/>
  <c r="H929" i="32"/>
  <c r="F929" i="32"/>
  <c r="L929" i="32" s="1"/>
  <c r="N928" i="32"/>
  <c r="M928" i="32"/>
  <c r="K928" i="32"/>
  <c r="J928" i="32"/>
  <c r="I928" i="32"/>
  <c r="H928" i="32"/>
  <c r="F928" i="32"/>
  <c r="L928" i="32" s="1"/>
  <c r="N927" i="32"/>
  <c r="M927" i="32"/>
  <c r="L927" i="32"/>
  <c r="K927" i="32"/>
  <c r="J927" i="32"/>
  <c r="H927" i="32"/>
  <c r="N926" i="32"/>
  <c r="M926" i="32"/>
  <c r="L926" i="32"/>
  <c r="K926" i="32"/>
  <c r="J926" i="32"/>
  <c r="H926" i="32"/>
  <c r="N925" i="32"/>
  <c r="M925" i="32"/>
  <c r="K925" i="32"/>
  <c r="J925" i="32"/>
  <c r="I925" i="32"/>
  <c r="H925" i="32"/>
  <c r="G925" i="32"/>
  <c r="F925" i="32"/>
  <c r="N924" i="32"/>
  <c r="M924" i="32"/>
  <c r="L924" i="32"/>
  <c r="K924" i="32"/>
  <c r="I924" i="32"/>
  <c r="H924" i="32"/>
  <c r="F924" i="32"/>
  <c r="E919" i="32"/>
  <c r="F919" i="32" s="1"/>
  <c r="E918" i="32"/>
  <c r="F918" i="32" s="1"/>
  <c r="G919" i="32"/>
  <c r="G918" i="32"/>
  <c r="N921" i="32"/>
  <c r="M921" i="32"/>
  <c r="J921" i="32"/>
  <c r="I921" i="32"/>
  <c r="H921" i="32"/>
  <c r="F921" i="32"/>
  <c r="L921" i="32" s="1"/>
  <c r="N920" i="32"/>
  <c r="M920" i="32"/>
  <c r="K920" i="32"/>
  <c r="J920" i="32"/>
  <c r="I920" i="32"/>
  <c r="H920" i="32"/>
  <c r="F920" i="32"/>
  <c r="L920" i="32" s="1"/>
  <c r="N919" i="32"/>
  <c r="M919" i="32"/>
  <c r="L919" i="32"/>
  <c r="K919" i="32"/>
  <c r="J919" i="32"/>
  <c r="H919" i="32"/>
  <c r="N918" i="32"/>
  <c r="M918" i="32"/>
  <c r="L918" i="32"/>
  <c r="K918" i="32"/>
  <c r="J918" i="32"/>
  <c r="H918" i="32"/>
  <c r="N917" i="32"/>
  <c r="M917" i="32"/>
  <c r="K917" i="32"/>
  <c r="J917" i="32"/>
  <c r="I917" i="32"/>
  <c r="H917" i="32"/>
  <c r="G917" i="32"/>
  <c r="F917" i="32"/>
  <c r="N916" i="32"/>
  <c r="M916" i="32"/>
  <c r="L916" i="32"/>
  <c r="K916" i="32"/>
  <c r="I916" i="32"/>
  <c r="H916" i="32"/>
  <c r="G916" i="32"/>
  <c r="F916" i="32"/>
  <c r="N913" i="32"/>
  <c r="M913" i="32"/>
  <c r="K913" i="32"/>
  <c r="J913" i="32"/>
  <c r="I913" i="32"/>
  <c r="H913" i="32"/>
  <c r="F913" i="32"/>
  <c r="L913" i="32" s="1"/>
  <c r="N912" i="32"/>
  <c r="M912" i="32"/>
  <c r="K912" i="32"/>
  <c r="J912" i="32"/>
  <c r="I912" i="32"/>
  <c r="H912" i="32"/>
  <c r="F912" i="32"/>
  <c r="L912" i="32" s="1"/>
  <c r="N911" i="32"/>
  <c r="L911" i="32"/>
  <c r="K911" i="32"/>
  <c r="J911" i="32"/>
  <c r="I911" i="32"/>
  <c r="H911" i="32"/>
  <c r="F911" i="32"/>
  <c r="M911" i="32" s="1"/>
  <c r="N910" i="32"/>
  <c r="L910" i="32"/>
  <c r="K910" i="32"/>
  <c r="J910" i="32"/>
  <c r="I910" i="32"/>
  <c r="H910" i="32"/>
  <c r="F910" i="32"/>
  <c r="M910" i="32" s="1"/>
  <c r="N909" i="32"/>
  <c r="M909" i="32"/>
  <c r="L909" i="32"/>
  <c r="K909" i="32"/>
  <c r="J909" i="32"/>
  <c r="H909" i="32"/>
  <c r="G909" i="32"/>
  <c r="E909" i="32"/>
  <c r="F909" i="32" s="1"/>
  <c r="N908" i="32"/>
  <c r="M908" i="32"/>
  <c r="L908" i="32"/>
  <c r="K908" i="32"/>
  <c r="J908" i="32"/>
  <c r="H908" i="32"/>
  <c r="G908" i="32"/>
  <c r="E908" i="32"/>
  <c r="F908" i="32" s="1"/>
  <c r="N907" i="32"/>
  <c r="M907" i="32"/>
  <c r="L907" i="32"/>
  <c r="J907" i="32"/>
  <c r="I907" i="32"/>
  <c r="H907" i="32"/>
  <c r="F907" i="32"/>
  <c r="K907" i="32" s="1"/>
  <c r="N906" i="32"/>
  <c r="L906" i="32"/>
  <c r="K906" i="32"/>
  <c r="J906" i="32"/>
  <c r="I906" i="32"/>
  <c r="H906" i="32"/>
  <c r="G906" i="32"/>
  <c r="F906" i="32"/>
  <c r="N905" i="32"/>
  <c r="M905" i="32"/>
  <c r="K905" i="32"/>
  <c r="J905" i="32"/>
  <c r="I905" i="32"/>
  <c r="H905" i="32"/>
  <c r="G905" i="32"/>
  <c r="F905" i="32"/>
  <c r="E900" i="32"/>
  <c r="F900" i="32" s="1"/>
  <c r="E899" i="32"/>
  <c r="F899" i="32" s="1"/>
  <c r="N902" i="32"/>
  <c r="M902" i="32"/>
  <c r="K902" i="32"/>
  <c r="J902" i="32"/>
  <c r="I902" i="32"/>
  <c r="H902" i="32"/>
  <c r="F902" i="32"/>
  <c r="L902" i="32" s="1"/>
  <c r="N901" i="32"/>
  <c r="M901" i="32"/>
  <c r="K901" i="32"/>
  <c r="J901" i="32"/>
  <c r="I901" i="32"/>
  <c r="H901" i="32"/>
  <c r="F901" i="32"/>
  <c r="L901" i="32" s="1"/>
  <c r="N900" i="32"/>
  <c r="M900" i="32"/>
  <c r="L900" i="32"/>
  <c r="K900" i="32"/>
  <c r="J900" i="32"/>
  <c r="H900" i="32"/>
  <c r="G900" i="32"/>
  <c r="N899" i="32"/>
  <c r="M899" i="32"/>
  <c r="L899" i="32"/>
  <c r="K899" i="32"/>
  <c r="J899" i="32"/>
  <c r="H899" i="32"/>
  <c r="G899" i="32"/>
  <c r="N898" i="32"/>
  <c r="M898" i="32"/>
  <c r="K898" i="32"/>
  <c r="J898" i="32"/>
  <c r="I898" i="32"/>
  <c r="H898" i="32"/>
  <c r="G898" i="32"/>
  <c r="F898" i="32"/>
  <c r="N897" i="32"/>
  <c r="M897" i="32"/>
  <c r="L897" i="32"/>
  <c r="K897" i="32"/>
  <c r="I897" i="32"/>
  <c r="H897" i="32"/>
  <c r="G897" i="32"/>
  <c r="F897" i="32"/>
  <c r="N894" i="32"/>
  <c r="M894" i="32"/>
  <c r="K894" i="32"/>
  <c r="J894" i="32"/>
  <c r="I894" i="32"/>
  <c r="H894" i="32"/>
  <c r="F894" i="32"/>
  <c r="L894" i="32" s="1"/>
  <c r="N893" i="32"/>
  <c r="M893" i="32"/>
  <c r="K893" i="32"/>
  <c r="J893" i="32"/>
  <c r="I893" i="32"/>
  <c r="H893" i="32"/>
  <c r="F893" i="32"/>
  <c r="L893" i="32" s="1"/>
  <c r="N892" i="32"/>
  <c r="M892" i="32"/>
  <c r="L892" i="32"/>
  <c r="K892" i="32"/>
  <c r="J892" i="32"/>
  <c r="H892" i="32"/>
  <c r="G892" i="32"/>
  <c r="E892" i="32"/>
  <c r="F892" i="32" s="1"/>
  <c r="N891" i="32"/>
  <c r="M891" i="32"/>
  <c r="L891" i="32"/>
  <c r="K891" i="32"/>
  <c r="J891" i="32"/>
  <c r="H891" i="32"/>
  <c r="G891" i="32"/>
  <c r="E891" i="32"/>
  <c r="F891" i="32" s="1"/>
  <c r="N890" i="32"/>
  <c r="M890" i="32"/>
  <c r="K890" i="32"/>
  <c r="J890" i="32"/>
  <c r="I890" i="32"/>
  <c r="H890" i="32"/>
  <c r="G890" i="32"/>
  <c r="F890" i="32"/>
  <c r="N889" i="32"/>
  <c r="M889" i="32"/>
  <c r="L889" i="32"/>
  <c r="K889" i="32"/>
  <c r="I889" i="32"/>
  <c r="H889" i="32"/>
  <c r="G889" i="32"/>
  <c r="F889" i="32"/>
  <c r="N886" i="32"/>
  <c r="K886" i="32"/>
  <c r="J886" i="32"/>
  <c r="I886" i="32"/>
  <c r="H886" i="32"/>
  <c r="F886" i="32"/>
  <c r="M886" i="32" s="1"/>
  <c r="N885" i="32"/>
  <c r="M885" i="32"/>
  <c r="K885" i="32"/>
  <c r="J885" i="32"/>
  <c r="I885" i="32"/>
  <c r="H885" i="32"/>
  <c r="F885" i="32"/>
  <c r="L885" i="32" s="1"/>
  <c r="N884" i="32"/>
  <c r="M884" i="32"/>
  <c r="L884" i="32"/>
  <c r="K884" i="32"/>
  <c r="J884" i="32"/>
  <c r="H884" i="32"/>
  <c r="G884" i="32"/>
  <c r="E884" i="32"/>
  <c r="F884" i="32" s="1"/>
  <c r="N883" i="32"/>
  <c r="M883" i="32"/>
  <c r="L883" i="32"/>
  <c r="K883" i="32"/>
  <c r="J883" i="32"/>
  <c r="H883" i="32"/>
  <c r="G883" i="32"/>
  <c r="E883" i="32"/>
  <c r="F883" i="32" s="1"/>
  <c r="N882" i="32"/>
  <c r="M882" i="32"/>
  <c r="K882" i="32"/>
  <c r="J882" i="32"/>
  <c r="I882" i="32"/>
  <c r="H882" i="32"/>
  <c r="G882" i="32"/>
  <c r="F882" i="32"/>
  <c r="N881" i="32"/>
  <c r="M881" i="32"/>
  <c r="L881" i="32"/>
  <c r="K881" i="32"/>
  <c r="I881" i="32"/>
  <c r="H881" i="32"/>
  <c r="G881" i="32"/>
  <c r="F881" i="32"/>
  <c r="N878" i="32"/>
  <c r="M878" i="32"/>
  <c r="K878" i="32"/>
  <c r="J878" i="32"/>
  <c r="I878" i="32"/>
  <c r="H878" i="32"/>
  <c r="F878" i="32"/>
  <c r="L878" i="32" s="1"/>
  <c r="N877" i="32"/>
  <c r="M877" i="32"/>
  <c r="K877" i="32"/>
  <c r="J877" i="32"/>
  <c r="I877" i="32"/>
  <c r="H877" i="32"/>
  <c r="F877" i="32"/>
  <c r="L877" i="32" s="1"/>
  <c r="N876" i="32"/>
  <c r="L876" i="32"/>
  <c r="K876" i="32"/>
  <c r="J876" i="32"/>
  <c r="I876" i="32"/>
  <c r="H876" i="32"/>
  <c r="F876" i="32"/>
  <c r="M876" i="32" s="1"/>
  <c r="N875" i="32"/>
  <c r="L875" i="32"/>
  <c r="K875" i="32"/>
  <c r="J875" i="32"/>
  <c r="I875" i="32"/>
  <c r="H875" i="32"/>
  <c r="F875" i="32"/>
  <c r="M875" i="32" s="1"/>
  <c r="N874" i="32"/>
  <c r="M874" i="32"/>
  <c r="L874" i="32"/>
  <c r="K874" i="32"/>
  <c r="J874" i="32"/>
  <c r="H874" i="32"/>
  <c r="G874" i="32"/>
  <c r="E874" i="32"/>
  <c r="F874" i="32" s="1"/>
  <c r="N873" i="32"/>
  <c r="M873" i="32"/>
  <c r="L873" i="32"/>
  <c r="K873" i="32"/>
  <c r="J873" i="32"/>
  <c r="H873" i="32"/>
  <c r="G873" i="32"/>
  <c r="E873" i="32"/>
  <c r="F873" i="32" s="1"/>
  <c r="N872" i="32"/>
  <c r="M872" i="32"/>
  <c r="L872" i="32"/>
  <c r="J872" i="32"/>
  <c r="I872" i="32"/>
  <c r="H872" i="32"/>
  <c r="F872" i="32"/>
  <c r="K872" i="32" s="1"/>
  <c r="N871" i="32"/>
  <c r="L871" i="32"/>
  <c r="K871" i="32"/>
  <c r="J871" i="32"/>
  <c r="I871" i="32"/>
  <c r="H871" i="32"/>
  <c r="G871" i="32"/>
  <c r="F871" i="32"/>
  <c r="N870" i="32"/>
  <c r="M870" i="32"/>
  <c r="K870" i="32"/>
  <c r="J870" i="32"/>
  <c r="I870" i="32"/>
  <c r="H870" i="32"/>
  <c r="G870" i="32"/>
  <c r="F870" i="32"/>
  <c r="N867" i="32"/>
  <c r="L867" i="32"/>
  <c r="K867" i="32"/>
  <c r="J867" i="32"/>
  <c r="I867" i="32"/>
  <c r="H867" i="32"/>
  <c r="F867" i="32"/>
  <c r="M867" i="32" s="1"/>
  <c r="N866" i="32"/>
  <c r="M866" i="32"/>
  <c r="K866" i="32"/>
  <c r="J866" i="32"/>
  <c r="I866" i="32"/>
  <c r="H866" i="32"/>
  <c r="F866" i="32"/>
  <c r="L866" i="32" s="1"/>
  <c r="N865" i="32"/>
  <c r="M865" i="32"/>
  <c r="L865" i="32"/>
  <c r="K865" i="32"/>
  <c r="J865" i="32"/>
  <c r="H865" i="32"/>
  <c r="G865" i="32"/>
  <c r="E865" i="32"/>
  <c r="F865" i="32" s="1"/>
  <c r="N864" i="32"/>
  <c r="M864" i="32"/>
  <c r="L864" i="32"/>
  <c r="K864" i="32"/>
  <c r="J864" i="32"/>
  <c r="H864" i="32"/>
  <c r="G864" i="32"/>
  <c r="E864" i="32"/>
  <c r="F864" i="32" s="1"/>
  <c r="N863" i="32"/>
  <c r="M863" i="32"/>
  <c r="K863" i="32"/>
  <c r="J863" i="32"/>
  <c r="I863" i="32"/>
  <c r="H863" i="32"/>
  <c r="G863" i="32"/>
  <c r="F863" i="32"/>
  <c r="N862" i="32"/>
  <c r="M862" i="32"/>
  <c r="L862" i="32"/>
  <c r="K862" i="32"/>
  <c r="I862" i="32"/>
  <c r="H862" i="32"/>
  <c r="G862" i="32"/>
  <c r="F862" i="32"/>
  <c r="N859" i="32"/>
  <c r="M859" i="32"/>
  <c r="K859" i="32"/>
  <c r="J859" i="32"/>
  <c r="I859" i="32"/>
  <c r="H859" i="32"/>
  <c r="F859" i="32"/>
  <c r="L859" i="32" s="1"/>
  <c r="N858" i="32"/>
  <c r="M858" i="32"/>
  <c r="K858" i="32"/>
  <c r="J858" i="32"/>
  <c r="I858" i="32"/>
  <c r="H858" i="32"/>
  <c r="F858" i="32"/>
  <c r="L858" i="32" s="1"/>
  <c r="N857" i="32"/>
  <c r="M857" i="32"/>
  <c r="L857" i="32"/>
  <c r="K857" i="32"/>
  <c r="J857" i="32"/>
  <c r="H857" i="32"/>
  <c r="G857" i="32"/>
  <c r="E857" i="32"/>
  <c r="F857" i="32" s="1"/>
  <c r="N856" i="32"/>
  <c r="M856" i="32"/>
  <c r="L856" i="32"/>
  <c r="K856" i="32"/>
  <c r="J856" i="32"/>
  <c r="H856" i="32"/>
  <c r="G856" i="32"/>
  <c r="E856" i="32"/>
  <c r="F856" i="32" s="1"/>
  <c r="N855" i="32"/>
  <c r="M855" i="32"/>
  <c r="K855" i="32"/>
  <c r="J855" i="32"/>
  <c r="I855" i="32"/>
  <c r="H855" i="32"/>
  <c r="G855" i="32"/>
  <c r="F855" i="32"/>
  <c r="N854" i="32"/>
  <c r="M854" i="32"/>
  <c r="L854" i="32"/>
  <c r="K854" i="32"/>
  <c r="I854" i="32"/>
  <c r="H854" i="32"/>
  <c r="G854" i="32"/>
  <c r="F854" i="32"/>
  <c r="G846" i="32"/>
  <c r="N851" i="32"/>
  <c r="L851" i="32"/>
  <c r="K851" i="32"/>
  <c r="J851" i="32"/>
  <c r="I851" i="32"/>
  <c r="H851" i="32"/>
  <c r="F851" i="32"/>
  <c r="M851" i="32" s="1"/>
  <c r="N850" i="32"/>
  <c r="M850" i="32"/>
  <c r="K850" i="32"/>
  <c r="J850" i="32"/>
  <c r="I850" i="32"/>
  <c r="H850" i="32"/>
  <c r="F850" i="32"/>
  <c r="L850" i="32" s="1"/>
  <c r="N849" i="32"/>
  <c r="M849" i="32"/>
  <c r="L849" i="32"/>
  <c r="K849" i="32"/>
  <c r="J849" i="32"/>
  <c r="H849" i="32"/>
  <c r="G849" i="32"/>
  <c r="E849" i="32"/>
  <c r="F849" i="32" s="1"/>
  <c r="N848" i="32"/>
  <c r="M848" i="32"/>
  <c r="L848" i="32"/>
  <c r="K848" i="32"/>
  <c r="J848" i="32"/>
  <c r="H848" i="32"/>
  <c r="G848" i="32"/>
  <c r="E848" i="32"/>
  <c r="F848" i="32" s="1"/>
  <c r="N847" i="32"/>
  <c r="M847" i="32"/>
  <c r="K847" i="32"/>
  <c r="J847" i="32"/>
  <c r="I847" i="32"/>
  <c r="H847" i="32"/>
  <c r="G847" i="32"/>
  <c r="F847" i="32"/>
  <c r="N846" i="32"/>
  <c r="M846" i="32"/>
  <c r="L846" i="32"/>
  <c r="K846" i="32"/>
  <c r="I846" i="32"/>
  <c r="H846" i="32"/>
  <c r="F846" i="32"/>
  <c r="N843" i="32"/>
  <c r="M843" i="32"/>
  <c r="K843" i="32"/>
  <c r="J843" i="32"/>
  <c r="I843" i="32"/>
  <c r="H843" i="32"/>
  <c r="F843" i="32"/>
  <c r="L843" i="32" s="1"/>
  <c r="N842" i="32"/>
  <c r="M842" i="32"/>
  <c r="K842" i="32"/>
  <c r="J842" i="32"/>
  <c r="I842" i="32"/>
  <c r="H842" i="32"/>
  <c r="F842" i="32"/>
  <c r="L842" i="32" s="1"/>
  <c r="N841" i="32"/>
  <c r="L841" i="32"/>
  <c r="K841" i="32"/>
  <c r="J841" i="32"/>
  <c r="I841" i="32"/>
  <c r="H841" i="32"/>
  <c r="F841" i="32"/>
  <c r="M841" i="32" s="1"/>
  <c r="N840" i="32"/>
  <c r="L840" i="32"/>
  <c r="K840" i="32"/>
  <c r="J840" i="32"/>
  <c r="I840" i="32"/>
  <c r="H840" i="32"/>
  <c r="F840" i="32"/>
  <c r="M840" i="32" s="1"/>
  <c r="N839" i="32"/>
  <c r="M839" i="32"/>
  <c r="L839" i="32"/>
  <c r="K839" i="32"/>
  <c r="J839" i="32"/>
  <c r="H839" i="32"/>
  <c r="G839" i="32"/>
  <c r="E839" i="32"/>
  <c r="F839" i="32" s="1"/>
  <c r="N838" i="32"/>
  <c r="M838" i="32"/>
  <c r="L838" i="32"/>
  <c r="K838" i="32"/>
  <c r="J838" i="32"/>
  <c r="H838" i="32"/>
  <c r="G838" i="32"/>
  <c r="E838" i="32"/>
  <c r="F838" i="32" s="1"/>
  <c r="N837" i="32"/>
  <c r="M837" i="32"/>
  <c r="L837" i="32"/>
  <c r="J837" i="32"/>
  <c r="I837" i="32"/>
  <c r="H837" i="32"/>
  <c r="F837" i="32"/>
  <c r="K837" i="32" s="1"/>
  <c r="N836" i="32"/>
  <c r="L836" i="32"/>
  <c r="K836" i="32"/>
  <c r="J836" i="32"/>
  <c r="I836" i="32"/>
  <c r="H836" i="32"/>
  <c r="G836" i="32"/>
  <c r="F836" i="32"/>
  <c r="N835" i="32"/>
  <c r="M835" i="32"/>
  <c r="K835" i="32"/>
  <c r="J835" i="32"/>
  <c r="I835" i="32"/>
  <c r="H835" i="32"/>
  <c r="G835" i="32"/>
  <c r="F835" i="32"/>
  <c r="E830" i="32"/>
  <c r="F830" i="32" s="1"/>
  <c r="E829" i="32"/>
  <c r="F829" i="32" s="1"/>
  <c r="G828" i="32"/>
  <c r="G827" i="32"/>
  <c r="N810" i="32"/>
  <c r="L810" i="32"/>
  <c r="J810" i="32"/>
  <c r="I810" i="32"/>
  <c r="H810" i="32"/>
  <c r="M810" i="32"/>
  <c r="F810" i="32"/>
  <c r="K810" i="32" s="1"/>
  <c r="N832" i="32"/>
  <c r="K832" i="32"/>
  <c r="J832" i="32"/>
  <c r="I832" i="32"/>
  <c r="H832" i="32"/>
  <c r="F832" i="32"/>
  <c r="M832" i="32" s="1"/>
  <c r="N831" i="32"/>
  <c r="M831" i="32"/>
  <c r="K831" i="32"/>
  <c r="J831" i="32"/>
  <c r="I831" i="32"/>
  <c r="H831" i="32"/>
  <c r="F831" i="32"/>
  <c r="L831" i="32" s="1"/>
  <c r="N830" i="32"/>
  <c r="M830" i="32"/>
  <c r="L830" i="32"/>
  <c r="K830" i="32"/>
  <c r="J830" i="32"/>
  <c r="H830" i="32"/>
  <c r="G830" i="32"/>
  <c r="N829" i="32"/>
  <c r="M829" i="32"/>
  <c r="L829" i="32"/>
  <c r="K829" i="32"/>
  <c r="J829" i="32"/>
  <c r="H829" i="32"/>
  <c r="G829" i="32"/>
  <c r="N828" i="32"/>
  <c r="M828" i="32"/>
  <c r="K828" i="32"/>
  <c r="J828" i="32"/>
  <c r="I828" i="32"/>
  <c r="H828" i="32"/>
  <c r="F828" i="32"/>
  <c r="N827" i="32"/>
  <c r="M827" i="32"/>
  <c r="L827" i="32"/>
  <c r="K827" i="32"/>
  <c r="I827" i="32"/>
  <c r="H827" i="32"/>
  <c r="F827" i="32"/>
  <c r="J827" i="32" s="1"/>
  <c r="N824" i="32"/>
  <c r="L824" i="32"/>
  <c r="K824" i="32"/>
  <c r="J824" i="32"/>
  <c r="I824" i="32"/>
  <c r="H824" i="32"/>
  <c r="F824" i="32"/>
  <c r="M824" i="32" s="1"/>
  <c r="N823" i="32"/>
  <c r="M823" i="32"/>
  <c r="K823" i="32"/>
  <c r="J823" i="32"/>
  <c r="I823" i="32"/>
  <c r="H823" i="32"/>
  <c r="F823" i="32"/>
  <c r="L823" i="32" s="1"/>
  <c r="N822" i="32"/>
  <c r="M822" i="32"/>
  <c r="L822" i="32"/>
  <c r="K822" i="32"/>
  <c r="J822" i="32"/>
  <c r="H822" i="32"/>
  <c r="G822" i="32"/>
  <c r="E822" i="32"/>
  <c r="F822" i="32" s="1"/>
  <c r="N821" i="32"/>
  <c r="M821" i="32"/>
  <c r="L821" i="32"/>
  <c r="K821" i="32"/>
  <c r="J821" i="32"/>
  <c r="H821" i="32"/>
  <c r="G821" i="32"/>
  <c r="E821" i="32"/>
  <c r="F821" i="32" s="1"/>
  <c r="N820" i="32"/>
  <c r="M820" i="32"/>
  <c r="K820" i="32"/>
  <c r="J820" i="32"/>
  <c r="I820" i="32"/>
  <c r="H820" i="32"/>
  <c r="G820" i="32"/>
  <c r="F820" i="32"/>
  <c r="N819" i="32"/>
  <c r="M819" i="32"/>
  <c r="L819" i="32"/>
  <c r="K819" i="32"/>
  <c r="I819" i="32"/>
  <c r="H819" i="32"/>
  <c r="G819" i="32"/>
  <c r="F819" i="32"/>
  <c r="N816" i="32"/>
  <c r="M816" i="32"/>
  <c r="K816" i="32"/>
  <c r="J816" i="32"/>
  <c r="I816" i="32"/>
  <c r="H816" i="32"/>
  <c r="F816" i="32"/>
  <c r="L816" i="32" s="1"/>
  <c r="N815" i="32"/>
  <c r="M815" i="32"/>
  <c r="K815" i="32"/>
  <c r="J815" i="32"/>
  <c r="I815" i="32"/>
  <c r="H815" i="32"/>
  <c r="F815" i="32"/>
  <c r="L815" i="32" s="1"/>
  <c r="N814" i="32"/>
  <c r="L814" i="32"/>
  <c r="K814" i="32"/>
  <c r="J814" i="32"/>
  <c r="I814" i="32"/>
  <c r="H814" i="32"/>
  <c r="F814" i="32"/>
  <c r="M814" i="32" s="1"/>
  <c r="N813" i="32"/>
  <c r="L813" i="32"/>
  <c r="K813" i="32"/>
  <c r="J813" i="32"/>
  <c r="I813" i="32"/>
  <c r="H813" i="32"/>
  <c r="F813" i="32"/>
  <c r="M813" i="32" s="1"/>
  <c r="N812" i="32"/>
  <c r="M812" i="32"/>
  <c r="L812" i="32"/>
  <c r="K812" i="32"/>
  <c r="J812" i="32"/>
  <c r="H812" i="32"/>
  <c r="G812" i="32"/>
  <c r="E812" i="32"/>
  <c r="F812" i="32" s="1"/>
  <c r="N811" i="32"/>
  <c r="M811" i="32"/>
  <c r="L811" i="32"/>
  <c r="K811" i="32"/>
  <c r="J811" i="32"/>
  <c r="H811" i="32"/>
  <c r="G811" i="32"/>
  <c r="E811" i="32"/>
  <c r="F811" i="32" s="1"/>
  <c r="N809" i="32"/>
  <c r="L809" i="32"/>
  <c r="K809" i="32"/>
  <c r="J809" i="32"/>
  <c r="I809" i="32"/>
  <c r="H809" i="32"/>
  <c r="G809" i="32"/>
  <c r="F809" i="32"/>
  <c r="N808" i="32"/>
  <c r="M808" i="32"/>
  <c r="K808" i="32"/>
  <c r="J808" i="32"/>
  <c r="I808" i="32"/>
  <c r="H808" i="32"/>
  <c r="G808" i="32"/>
  <c r="F808" i="32"/>
  <c r="E803" i="32"/>
  <c r="E802" i="32"/>
  <c r="F802" i="32" s="1"/>
  <c r="G801" i="32"/>
  <c r="G800" i="32"/>
  <c r="N805" i="32"/>
  <c r="L805" i="32"/>
  <c r="J805" i="32"/>
  <c r="I805" i="32"/>
  <c r="H805" i="32"/>
  <c r="F805" i="32"/>
  <c r="K805" i="32" s="1"/>
  <c r="N804" i="32"/>
  <c r="M804" i="32"/>
  <c r="K804" i="32"/>
  <c r="J804" i="32"/>
  <c r="I804" i="32"/>
  <c r="H804" i="32"/>
  <c r="F804" i="32"/>
  <c r="L804" i="32" s="1"/>
  <c r="N803" i="32"/>
  <c r="M803" i="32"/>
  <c r="L803" i="32"/>
  <c r="K803" i="32"/>
  <c r="J803" i="32"/>
  <c r="H803" i="32"/>
  <c r="G803" i="32"/>
  <c r="F803" i="32"/>
  <c r="N802" i="32"/>
  <c r="M802" i="32"/>
  <c r="L802" i="32"/>
  <c r="K802" i="32"/>
  <c r="J802" i="32"/>
  <c r="H802" i="32"/>
  <c r="G802" i="32"/>
  <c r="N801" i="32"/>
  <c r="M801" i="32"/>
  <c r="K801" i="32"/>
  <c r="J801" i="32"/>
  <c r="I801" i="32"/>
  <c r="H801" i="32"/>
  <c r="F801" i="32"/>
  <c r="N800" i="32"/>
  <c r="M800" i="32"/>
  <c r="L800" i="32"/>
  <c r="K800" i="32"/>
  <c r="I800" i="32"/>
  <c r="H800" i="32"/>
  <c r="F800" i="32"/>
  <c r="N797" i="32"/>
  <c r="M797" i="32"/>
  <c r="L797" i="32"/>
  <c r="J797" i="32"/>
  <c r="I797" i="32"/>
  <c r="H797" i="32"/>
  <c r="F797" i="32"/>
  <c r="K797" i="32" s="1"/>
  <c r="N796" i="32"/>
  <c r="M796" i="32"/>
  <c r="K796" i="32"/>
  <c r="J796" i="32"/>
  <c r="I796" i="32"/>
  <c r="H796" i="32"/>
  <c r="F796" i="32"/>
  <c r="L796" i="32" s="1"/>
  <c r="N795" i="32"/>
  <c r="M795" i="32"/>
  <c r="L795" i="32"/>
  <c r="K795" i="32"/>
  <c r="J795" i="32"/>
  <c r="H795" i="32"/>
  <c r="G795" i="32"/>
  <c r="E795" i="32"/>
  <c r="F795" i="32" s="1"/>
  <c r="N794" i="32"/>
  <c r="M794" i="32"/>
  <c r="L794" i="32"/>
  <c r="K794" i="32"/>
  <c r="J794" i="32"/>
  <c r="H794" i="32"/>
  <c r="G794" i="32"/>
  <c r="E794" i="32"/>
  <c r="F794" i="32" s="1"/>
  <c r="N793" i="32"/>
  <c r="M793" i="32"/>
  <c r="K793" i="32"/>
  <c r="J793" i="32"/>
  <c r="I793" i="32"/>
  <c r="H793" i="32"/>
  <c r="G793" i="32"/>
  <c r="F793" i="32"/>
  <c r="N792" i="32"/>
  <c r="M792" i="32"/>
  <c r="L792" i="32"/>
  <c r="K792" i="32"/>
  <c r="I792" i="32"/>
  <c r="H792" i="32"/>
  <c r="G792" i="32"/>
  <c r="F792" i="32"/>
  <c r="N789" i="32"/>
  <c r="M789" i="32"/>
  <c r="L789" i="32"/>
  <c r="J789" i="32"/>
  <c r="I789" i="32"/>
  <c r="H789" i="32"/>
  <c r="F789" i="32"/>
  <c r="K789" i="32" s="1"/>
  <c r="N788" i="32"/>
  <c r="M788" i="32"/>
  <c r="K788" i="32"/>
  <c r="J788" i="32"/>
  <c r="I788" i="32"/>
  <c r="H788" i="32"/>
  <c r="F788" i="32"/>
  <c r="L788" i="32" s="1"/>
  <c r="N787" i="32"/>
  <c r="M787" i="32"/>
  <c r="L787" i="32"/>
  <c r="K787" i="32"/>
  <c r="J787" i="32"/>
  <c r="H787" i="32"/>
  <c r="G787" i="32"/>
  <c r="E787" i="32"/>
  <c r="F787" i="32" s="1"/>
  <c r="N786" i="32"/>
  <c r="M786" i="32"/>
  <c r="L786" i="32"/>
  <c r="K786" i="32"/>
  <c r="J786" i="32"/>
  <c r="H786" i="32"/>
  <c r="G786" i="32"/>
  <c r="E786" i="32"/>
  <c r="F786" i="32" s="1"/>
  <c r="N785" i="32"/>
  <c r="M785" i="32"/>
  <c r="K785" i="32"/>
  <c r="J785" i="32"/>
  <c r="I785" i="32"/>
  <c r="H785" i="32"/>
  <c r="G785" i="32"/>
  <c r="F785" i="32"/>
  <c r="N784" i="32"/>
  <c r="M784" i="32"/>
  <c r="L784" i="32"/>
  <c r="K784" i="32"/>
  <c r="I784" i="32"/>
  <c r="H784" i="32"/>
  <c r="G784" i="32"/>
  <c r="F784" i="32"/>
  <c r="E778" i="32"/>
  <c r="F778" i="32" s="1"/>
  <c r="E777" i="32"/>
  <c r="F777" i="32" s="1"/>
  <c r="E769" i="32"/>
  <c r="F769" i="32" s="1"/>
  <c r="E768" i="32"/>
  <c r="F768" i="32" s="1"/>
  <c r="G775" i="32"/>
  <c r="G774" i="32"/>
  <c r="N781" i="32"/>
  <c r="M781" i="32"/>
  <c r="J781" i="32"/>
  <c r="I781" i="32"/>
  <c r="H781" i="32"/>
  <c r="F781" i="32"/>
  <c r="K781" i="32" s="1"/>
  <c r="N780" i="32"/>
  <c r="M780" i="32"/>
  <c r="K780" i="32"/>
  <c r="J780" i="32"/>
  <c r="I780" i="32"/>
  <c r="H780" i="32"/>
  <c r="F780" i="32"/>
  <c r="L780" i="32" s="1"/>
  <c r="N779" i="32"/>
  <c r="M779" i="32"/>
  <c r="K779" i="32"/>
  <c r="J779" i="32"/>
  <c r="I779" i="32"/>
  <c r="H779" i="32"/>
  <c r="F779" i="32"/>
  <c r="L779" i="32" s="1"/>
  <c r="N778" i="32"/>
  <c r="M778" i="32"/>
  <c r="L778" i="32"/>
  <c r="K778" i="32"/>
  <c r="J778" i="32"/>
  <c r="H778" i="32"/>
  <c r="G778" i="32"/>
  <c r="N777" i="32"/>
  <c r="M777" i="32"/>
  <c r="L777" i="32"/>
  <c r="K777" i="32"/>
  <c r="J777" i="32"/>
  <c r="H777" i="32"/>
  <c r="G777" i="32"/>
  <c r="N776" i="32"/>
  <c r="M776" i="32"/>
  <c r="L776" i="32"/>
  <c r="J776" i="32"/>
  <c r="I776" i="32"/>
  <c r="H776" i="32"/>
  <c r="F776" i="32"/>
  <c r="K776" i="32" s="1"/>
  <c r="N775" i="32"/>
  <c r="M775" i="32"/>
  <c r="K775" i="32"/>
  <c r="J775" i="32"/>
  <c r="I775" i="32"/>
  <c r="H775" i="32"/>
  <c r="F775" i="32"/>
  <c r="N774" i="32"/>
  <c r="M774" i="32"/>
  <c r="J774" i="32"/>
  <c r="I774" i="32"/>
  <c r="H774" i="32"/>
  <c r="F774" i="32"/>
  <c r="K774" i="32" s="1"/>
  <c r="G769" i="32"/>
  <c r="G768" i="32"/>
  <c r="G767" i="32"/>
  <c r="G766" i="32"/>
  <c r="N771" i="32"/>
  <c r="M771" i="32"/>
  <c r="J771" i="32"/>
  <c r="I771" i="32"/>
  <c r="H771" i="32"/>
  <c r="F771" i="32"/>
  <c r="L771" i="32" s="1"/>
  <c r="N770" i="32"/>
  <c r="M770" i="32"/>
  <c r="K770" i="32"/>
  <c r="J770" i="32"/>
  <c r="I770" i="32"/>
  <c r="H770" i="32"/>
  <c r="F770" i="32"/>
  <c r="L770" i="32" s="1"/>
  <c r="N769" i="32"/>
  <c r="M769" i="32"/>
  <c r="L769" i="32"/>
  <c r="K769" i="32"/>
  <c r="J769" i="32"/>
  <c r="H769" i="32"/>
  <c r="N768" i="32"/>
  <c r="M768" i="32"/>
  <c r="L768" i="32"/>
  <c r="K768" i="32"/>
  <c r="J768" i="32"/>
  <c r="H768" i="32"/>
  <c r="N767" i="32"/>
  <c r="M767" i="32"/>
  <c r="J767" i="32"/>
  <c r="I767" i="32"/>
  <c r="H767" i="32"/>
  <c r="F767" i="32"/>
  <c r="K767" i="32" s="1"/>
  <c r="N766" i="32"/>
  <c r="M766" i="32"/>
  <c r="L766" i="32"/>
  <c r="K766" i="32"/>
  <c r="I766" i="32"/>
  <c r="H766" i="32"/>
  <c r="F766" i="32"/>
  <c r="L801" i="32" l="1"/>
  <c r="L835" i="32"/>
  <c r="L828" i="32"/>
  <c r="M871" i="32"/>
  <c r="L905" i="32"/>
  <c r="I830" i="32"/>
  <c r="J846" i="32"/>
  <c r="M836" i="32"/>
  <c r="J862" i="32"/>
  <c r="I768" i="32"/>
  <c r="I802" i="32"/>
  <c r="J924" i="32"/>
  <c r="I829" i="32"/>
  <c r="J766" i="32"/>
  <c r="I838" i="32"/>
  <c r="I839" i="32"/>
  <c r="L863" i="32"/>
  <c r="I864" i="32"/>
  <c r="I865" i="32"/>
  <c r="I927" i="32"/>
  <c r="I811" i="32"/>
  <c r="I812" i="32"/>
  <c r="J819" i="32"/>
  <c r="L820" i="32"/>
  <c r="I821" i="32"/>
  <c r="I822" i="32"/>
  <c r="I873" i="32"/>
  <c r="I874" i="32"/>
  <c r="J881" i="32"/>
  <c r="L882" i="32"/>
  <c r="I883" i="32"/>
  <c r="I884" i="32"/>
  <c r="L925" i="32"/>
  <c r="J854" i="32"/>
  <c r="L855" i="32"/>
  <c r="I856" i="32"/>
  <c r="I857" i="32"/>
  <c r="L870" i="32"/>
  <c r="K921" i="32"/>
  <c r="L775" i="32"/>
  <c r="I777" i="32"/>
  <c r="J792" i="32"/>
  <c r="L793" i="32"/>
  <c r="I794" i="32"/>
  <c r="I795" i="32"/>
  <c r="I803" i="32"/>
  <c r="L847" i="32"/>
  <c r="I848" i="32"/>
  <c r="I849" i="32"/>
  <c r="J889" i="32"/>
  <c r="L890" i="32"/>
  <c r="I891" i="32"/>
  <c r="I892" i="32"/>
  <c r="M906" i="32"/>
  <c r="I778" i="32"/>
  <c r="I919" i="32"/>
  <c r="J800" i="32"/>
  <c r="L808" i="32"/>
  <c r="J897" i="32"/>
  <c r="L898" i="32"/>
  <c r="I899" i="32"/>
  <c r="I900" i="32"/>
  <c r="I908" i="32"/>
  <c r="I909" i="32"/>
  <c r="J916" i="32"/>
  <c r="L917" i="32"/>
  <c r="K929" i="32"/>
  <c r="I926" i="32"/>
  <c r="I918" i="32"/>
  <c r="L886" i="32"/>
  <c r="L832" i="32"/>
  <c r="I769" i="32"/>
  <c r="L774" i="32"/>
  <c r="L781" i="32"/>
  <c r="M805" i="32"/>
  <c r="J784" i="32"/>
  <c r="L785" i="32"/>
  <c r="I786" i="32"/>
  <c r="I787" i="32"/>
  <c r="M809" i="32"/>
  <c r="L767" i="32"/>
  <c r="K771" i="32"/>
  <c r="N763" i="32"/>
  <c r="M763" i="32"/>
  <c r="L763" i="32"/>
  <c r="J763" i="32"/>
  <c r="I763" i="32"/>
  <c r="H763" i="32"/>
  <c r="F763" i="32"/>
  <c r="K763" i="32" s="1"/>
  <c r="N762" i="32"/>
  <c r="M762" i="32"/>
  <c r="K762" i="32"/>
  <c r="J762" i="32"/>
  <c r="I762" i="32"/>
  <c r="H762" i="32"/>
  <c r="F762" i="32"/>
  <c r="L762" i="32" s="1"/>
  <c r="N761" i="32"/>
  <c r="M761" i="32"/>
  <c r="K761" i="32"/>
  <c r="J761" i="32"/>
  <c r="I761" i="32"/>
  <c r="H761" i="32"/>
  <c r="F761" i="32"/>
  <c r="L761" i="32" s="1"/>
  <c r="N760" i="32"/>
  <c r="M760" i="32"/>
  <c r="L760" i="32"/>
  <c r="K760" i="32"/>
  <c r="J760" i="32"/>
  <c r="H760" i="32"/>
  <c r="G760" i="32"/>
  <c r="E760" i="32"/>
  <c r="F760" i="32" s="1"/>
  <c r="N759" i="32"/>
  <c r="M759" i="32"/>
  <c r="L759" i="32"/>
  <c r="K759" i="32"/>
  <c r="J759" i="32"/>
  <c r="H759" i="32"/>
  <c r="G759" i="32"/>
  <c r="E759" i="32"/>
  <c r="F759" i="32" s="1"/>
  <c r="N758" i="32"/>
  <c r="M758" i="32"/>
  <c r="L758" i="32"/>
  <c r="J758" i="32"/>
  <c r="I758" i="32"/>
  <c r="H758" i="32"/>
  <c r="F758" i="32"/>
  <c r="K758" i="32" s="1"/>
  <c r="N757" i="32"/>
  <c r="M757" i="32"/>
  <c r="K757" i="32"/>
  <c r="J757" i="32"/>
  <c r="I757" i="32"/>
  <c r="H757" i="32"/>
  <c r="G757" i="32"/>
  <c r="F757" i="32"/>
  <c r="N756" i="32"/>
  <c r="M756" i="32"/>
  <c r="L756" i="32"/>
  <c r="J756" i="32"/>
  <c r="I756" i="32"/>
  <c r="H756" i="32"/>
  <c r="G756" i="32"/>
  <c r="F756" i="32"/>
  <c r="E751" i="32"/>
  <c r="F751" i="32" s="1"/>
  <c r="E750" i="32"/>
  <c r="F750" i="32" s="1"/>
  <c r="G749" i="32"/>
  <c r="G748" i="32"/>
  <c r="N753" i="32"/>
  <c r="M753" i="32"/>
  <c r="K753" i="32"/>
  <c r="J753" i="32"/>
  <c r="I753" i="32"/>
  <c r="H753" i="32"/>
  <c r="F753" i="32"/>
  <c r="L753" i="32" s="1"/>
  <c r="N752" i="32"/>
  <c r="M752" i="32"/>
  <c r="K752" i="32"/>
  <c r="J752" i="32"/>
  <c r="I752" i="32"/>
  <c r="H752" i="32"/>
  <c r="F752" i="32"/>
  <c r="L752" i="32" s="1"/>
  <c r="N751" i="32"/>
  <c r="M751" i="32"/>
  <c r="L751" i="32"/>
  <c r="K751" i="32"/>
  <c r="J751" i="32"/>
  <c r="H751" i="32"/>
  <c r="G751" i="32"/>
  <c r="N750" i="32"/>
  <c r="M750" i="32"/>
  <c r="L750" i="32"/>
  <c r="K750" i="32"/>
  <c r="J750" i="32"/>
  <c r="H750" i="32"/>
  <c r="G750" i="32"/>
  <c r="N749" i="32"/>
  <c r="M749" i="32"/>
  <c r="L749" i="32"/>
  <c r="J749" i="32"/>
  <c r="I749" i="32"/>
  <c r="H749" i="32"/>
  <c r="F749" i="32"/>
  <c r="N748" i="32"/>
  <c r="M748" i="32"/>
  <c r="L748" i="32"/>
  <c r="K748" i="32"/>
  <c r="I748" i="32"/>
  <c r="H748" i="32"/>
  <c r="F748" i="32"/>
  <c r="G742" i="32"/>
  <c r="G741" i="32"/>
  <c r="N745" i="32"/>
  <c r="M745" i="32"/>
  <c r="K745" i="32"/>
  <c r="J745" i="32"/>
  <c r="I745" i="32"/>
  <c r="H745" i="32"/>
  <c r="F745" i="32"/>
  <c r="L745" i="32" s="1"/>
  <c r="N744" i="32"/>
  <c r="M744" i="32"/>
  <c r="K744" i="32"/>
  <c r="J744" i="32"/>
  <c r="I744" i="32"/>
  <c r="H744" i="32"/>
  <c r="F744" i="32"/>
  <c r="L744" i="32" s="1"/>
  <c r="N743" i="32"/>
  <c r="M743" i="32"/>
  <c r="K743" i="32"/>
  <c r="J743" i="32"/>
  <c r="I743" i="32"/>
  <c r="H743" i="32"/>
  <c r="F743" i="32"/>
  <c r="L743" i="32" s="1"/>
  <c r="N742" i="32"/>
  <c r="M742" i="32"/>
  <c r="L742" i="32"/>
  <c r="K742" i="32"/>
  <c r="J742" i="32"/>
  <c r="H742" i="32"/>
  <c r="E742" i="32"/>
  <c r="F742" i="32" s="1"/>
  <c r="N741" i="32"/>
  <c r="M741" i="32"/>
  <c r="L741" i="32"/>
  <c r="K741" i="32"/>
  <c r="J741" i="32"/>
  <c r="H741" i="32"/>
  <c r="E741" i="32"/>
  <c r="F741" i="32" s="1"/>
  <c r="N740" i="32"/>
  <c r="M740" i="32"/>
  <c r="L740" i="32"/>
  <c r="J740" i="32"/>
  <c r="I740" i="32"/>
  <c r="H740" i="32"/>
  <c r="G740" i="32"/>
  <c r="F740" i="32"/>
  <c r="N739" i="32"/>
  <c r="M739" i="32"/>
  <c r="L739" i="32"/>
  <c r="K739" i="32"/>
  <c r="I739" i="32"/>
  <c r="H739" i="32"/>
  <c r="G739" i="32"/>
  <c r="F739" i="32"/>
  <c r="N736" i="32"/>
  <c r="M736" i="32"/>
  <c r="L736" i="32"/>
  <c r="J736" i="32"/>
  <c r="I736" i="32"/>
  <c r="H736" i="32"/>
  <c r="F736" i="32"/>
  <c r="K736" i="32" s="1"/>
  <c r="N735" i="32"/>
  <c r="M735" i="32"/>
  <c r="K735" i="32"/>
  <c r="J735" i="32"/>
  <c r="I735" i="32"/>
  <c r="H735" i="32"/>
  <c r="F735" i="32"/>
  <c r="L735" i="32" s="1"/>
  <c r="N734" i="32"/>
  <c r="M734" i="32"/>
  <c r="K734" i="32"/>
  <c r="J734" i="32"/>
  <c r="I734" i="32"/>
  <c r="H734" i="32"/>
  <c r="F734" i="32"/>
  <c r="L734" i="32" s="1"/>
  <c r="N733" i="32"/>
  <c r="M733" i="32"/>
  <c r="L733" i="32"/>
  <c r="K733" i="32"/>
  <c r="J733" i="32"/>
  <c r="H733" i="32"/>
  <c r="G733" i="32"/>
  <c r="E733" i="32"/>
  <c r="F733" i="32" s="1"/>
  <c r="N732" i="32"/>
  <c r="M732" i="32"/>
  <c r="L732" i="32"/>
  <c r="K732" i="32"/>
  <c r="J732" i="32"/>
  <c r="H732" i="32"/>
  <c r="G732" i="32"/>
  <c r="E732" i="32"/>
  <c r="F732" i="32" s="1"/>
  <c r="N731" i="32"/>
  <c r="M731" i="32"/>
  <c r="L731" i="32"/>
  <c r="J731" i="32"/>
  <c r="I731" i="32"/>
  <c r="H731" i="32"/>
  <c r="F731" i="32"/>
  <c r="K731" i="32" s="1"/>
  <c r="N730" i="32"/>
  <c r="M730" i="32"/>
  <c r="K730" i="32"/>
  <c r="J730" i="32"/>
  <c r="I730" i="32"/>
  <c r="H730" i="32"/>
  <c r="G730" i="32"/>
  <c r="F730" i="32"/>
  <c r="N729" i="32"/>
  <c r="M729" i="32"/>
  <c r="L729" i="32"/>
  <c r="J729" i="32"/>
  <c r="I729" i="32"/>
  <c r="H729" i="32"/>
  <c r="G729" i="32"/>
  <c r="F729" i="32"/>
  <c r="G721" i="32"/>
  <c r="G720" i="32"/>
  <c r="N726" i="32"/>
  <c r="M726" i="32"/>
  <c r="K726" i="32"/>
  <c r="J726" i="32"/>
  <c r="I726" i="32"/>
  <c r="H726" i="32"/>
  <c r="F726" i="32"/>
  <c r="L726" i="32" s="1"/>
  <c r="N725" i="32"/>
  <c r="M725" i="32"/>
  <c r="K725" i="32"/>
  <c r="J725" i="32"/>
  <c r="I725" i="32"/>
  <c r="H725" i="32"/>
  <c r="F725" i="32"/>
  <c r="L725" i="32" s="1"/>
  <c r="N724" i="32"/>
  <c r="M724" i="32"/>
  <c r="K724" i="32"/>
  <c r="J724" i="32"/>
  <c r="I724" i="32"/>
  <c r="H724" i="32"/>
  <c r="F724" i="32"/>
  <c r="L724" i="32" s="1"/>
  <c r="N723" i="32"/>
  <c r="M723" i="32"/>
  <c r="L723" i="32"/>
  <c r="K723" i="32"/>
  <c r="J723" i="32"/>
  <c r="H723" i="32"/>
  <c r="G723" i="32"/>
  <c r="E723" i="32"/>
  <c r="F723" i="32" s="1"/>
  <c r="N722" i="32"/>
  <c r="M722" i="32"/>
  <c r="L722" i="32"/>
  <c r="K722" i="32"/>
  <c r="J722" i="32"/>
  <c r="H722" i="32"/>
  <c r="G722" i="32"/>
  <c r="E722" i="32"/>
  <c r="F722" i="32" s="1"/>
  <c r="N721" i="32"/>
  <c r="M721" i="32"/>
  <c r="L721" i="32"/>
  <c r="J721" i="32"/>
  <c r="I721" i="32"/>
  <c r="H721" i="32"/>
  <c r="F721" i="32"/>
  <c r="N720" i="32"/>
  <c r="M720" i="32"/>
  <c r="L720" i="32"/>
  <c r="K720" i="32"/>
  <c r="I720" i="32"/>
  <c r="H720" i="32"/>
  <c r="F720" i="32"/>
  <c r="N705" i="32"/>
  <c r="M705" i="32"/>
  <c r="L705" i="32"/>
  <c r="J705" i="32"/>
  <c r="I705" i="32"/>
  <c r="H705" i="32"/>
  <c r="F705" i="32"/>
  <c r="K705" i="32" s="1"/>
  <c r="N704" i="32"/>
  <c r="M704" i="32"/>
  <c r="K704" i="32"/>
  <c r="J704" i="32"/>
  <c r="I704" i="32"/>
  <c r="H704" i="32"/>
  <c r="F704" i="32"/>
  <c r="L704" i="32" s="1"/>
  <c r="N703" i="32"/>
  <c r="M703" i="32"/>
  <c r="K703" i="32"/>
  <c r="J703" i="32"/>
  <c r="I703" i="32"/>
  <c r="H703" i="32"/>
  <c r="F703" i="32"/>
  <c r="L703" i="32" s="1"/>
  <c r="N702" i="32"/>
  <c r="M702" i="32"/>
  <c r="L702" i="32"/>
  <c r="K702" i="32"/>
  <c r="J702" i="32"/>
  <c r="H702" i="32"/>
  <c r="G702" i="32"/>
  <c r="E702" i="32"/>
  <c r="F702" i="32" s="1"/>
  <c r="N701" i="32"/>
  <c r="M701" i="32"/>
  <c r="L701" i="32"/>
  <c r="K701" i="32"/>
  <c r="J701" i="32"/>
  <c r="H701" i="32"/>
  <c r="G701" i="32"/>
  <c r="E701" i="32"/>
  <c r="F701" i="32" s="1"/>
  <c r="N700" i="32"/>
  <c r="M700" i="32"/>
  <c r="L700" i="32"/>
  <c r="J700" i="32"/>
  <c r="I700" i="32"/>
  <c r="H700" i="32"/>
  <c r="F700" i="32"/>
  <c r="K700" i="32" s="1"/>
  <c r="N699" i="32"/>
  <c r="M699" i="32"/>
  <c r="K699" i="32"/>
  <c r="J699" i="32"/>
  <c r="I699" i="32"/>
  <c r="H699" i="32"/>
  <c r="G699" i="32"/>
  <c r="F699" i="32"/>
  <c r="N698" i="32"/>
  <c r="M698" i="32"/>
  <c r="L698" i="32"/>
  <c r="J698" i="32"/>
  <c r="I698" i="32"/>
  <c r="H698" i="32"/>
  <c r="G698" i="32"/>
  <c r="F698" i="32"/>
  <c r="N695" i="32"/>
  <c r="M695" i="32"/>
  <c r="K695" i="32"/>
  <c r="J695" i="32"/>
  <c r="I695" i="32"/>
  <c r="H695" i="32"/>
  <c r="F695" i="32"/>
  <c r="L695" i="32" s="1"/>
  <c r="E691" i="32"/>
  <c r="F691" i="32" s="1"/>
  <c r="E690" i="32"/>
  <c r="F690" i="32" s="1"/>
  <c r="G691" i="32"/>
  <c r="G690" i="32"/>
  <c r="G689" i="32"/>
  <c r="G688" i="32"/>
  <c r="N694" i="32"/>
  <c r="M694" i="32"/>
  <c r="K694" i="32"/>
  <c r="J694" i="32"/>
  <c r="I694" i="32"/>
  <c r="H694" i="32"/>
  <c r="F694" i="32"/>
  <c r="L694" i="32" s="1"/>
  <c r="N693" i="32"/>
  <c r="K693" i="32"/>
  <c r="J693" i="32"/>
  <c r="I693" i="32"/>
  <c r="H693" i="32"/>
  <c r="F693" i="32"/>
  <c r="L693" i="32" s="1"/>
  <c r="N692" i="32"/>
  <c r="K692" i="32"/>
  <c r="J692" i="32"/>
  <c r="I692" i="32"/>
  <c r="H692" i="32"/>
  <c r="F692" i="32"/>
  <c r="L692" i="32" s="1"/>
  <c r="N691" i="32"/>
  <c r="M691" i="32"/>
  <c r="L691" i="32"/>
  <c r="K691" i="32"/>
  <c r="J691" i="32"/>
  <c r="H691" i="32"/>
  <c r="N690" i="32"/>
  <c r="M690" i="32"/>
  <c r="L690" i="32"/>
  <c r="K690" i="32"/>
  <c r="J690" i="32"/>
  <c r="H690" i="32"/>
  <c r="N689" i="32"/>
  <c r="L689" i="32"/>
  <c r="J689" i="32"/>
  <c r="I689" i="32"/>
  <c r="H689" i="32"/>
  <c r="K689" i="32"/>
  <c r="F689" i="32"/>
  <c r="N688" i="32"/>
  <c r="M688" i="32"/>
  <c r="K688" i="32"/>
  <c r="I688" i="32"/>
  <c r="H688" i="32"/>
  <c r="F688" i="32"/>
  <c r="J688" i="32" s="1"/>
  <c r="E684" i="32"/>
  <c r="F684" i="32" s="1"/>
  <c r="E683" i="32"/>
  <c r="F683" i="32" s="1"/>
  <c r="G684" i="32"/>
  <c r="G683" i="32"/>
  <c r="G682" i="32"/>
  <c r="G681" i="32"/>
  <c r="N685" i="32"/>
  <c r="M685" i="32"/>
  <c r="J685" i="32"/>
  <c r="I685" i="32"/>
  <c r="H685" i="32"/>
  <c r="F685" i="32"/>
  <c r="L685" i="32" s="1"/>
  <c r="N684" i="32"/>
  <c r="M684" i="32"/>
  <c r="L684" i="32"/>
  <c r="K684" i="32"/>
  <c r="J684" i="32"/>
  <c r="H684" i="32"/>
  <c r="N683" i="32"/>
  <c r="M683" i="32"/>
  <c r="L683" i="32"/>
  <c r="K683" i="32"/>
  <c r="J683" i="32"/>
  <c r="H683" i="32"/>
  <c r="N682" i="32"/>
  <c r="M682" i="32"/>
  <c r="L682" i="32"/>
  <c r="J682" i="32"/>
  <c r="I682" i="32"/>
  <c r="H682" i="32"/>
  <c r="F682" i="32"/>
  <c r="N681" i="32"/>
  <c r="M681" i="32"/>
  <c r="L681" i="32"/>
  <c r="K681" i="32"/>
  <c r="I681" i="32"/>
  <c r="H681" i="32"/>
  <c r="F681" i="32"/>
  <c r="N678" i="32"/>
  <c r="M678" i="32"/>
  <c r="K678" i="32"/>
  <c r="J678" i="32"/>
  <c r="I678" i="32"/>
  <c r="H678" i="32"/>
  <c r="F678" i="32"/>
  <c r="L678" i="32" s="1"/>
  <c r="N677" i="32"/>
  <c r="M677" i="32"/>
  <c r="K677" i="32"/>
  <c r="J677" i="32"/>
  <c r="I677" i="32"/>
  <c r="H677" i="32"/>
  <c r="F677" i="32"/>
  <c r="L677" i="32" s="1"/>
  <c r="N676" i="32"/>
  <c r="M676" i="32"/>
  <c r="K676" i="32"/>
  <c r="J676" i="32"/>
  <c r="I676" i="32"/>
  <c r="H676" i="32"/>
  <c r="F676" i="32"/>
  <c r="L676" i="32" s="1"/>
  <c r="N675" i="32"/>
  <c r="M675" i="32"/>
  <c r="L675" i="32"/>
  <c r="K675" i="32"/>
  <c r="J675" i="32"/>
  <c r="H675" i="32"/>
  <c r="G675" i="32"/>
  <c r="E675" i="32"/>
  <c r="F675" i="32" s="1"/>
  <c r="N674" i="32"/>
  <c r="M674" i="32"/>
  <c r="L674" i="32"/>
  <c r="K674" i="32"/>
  <c r="J674" i="32"/>
  <c r="H674" i="32"/>
  <c r="G674" i="32"/>
  <c r="E674" i="32"/>
  <c r="F674" i="32" s="1"/>
  <c r="N673" i="32"/>
  <c r="M673" i="32"/>
  <c r="L673" i="32"/>
  <c r="J673" i="32"/>
  <c r="I673" i="32"/>
  <c r="H673" i="32"/>
  <c r="G673" i="32"/>
  <c r="F673" i="32"/>
  <c r="N672" i="32"/>
  <c r="M672" i="32"/>
  <c r="L672" i="32"/>
  <c r="K672" i="32"/>
  <c r="I672" i="32"/>
  <c r="H672" i="32"/>
  <c r="G672" i="32"/>
  <c r="F672" i="32"/>
  <c r="N669" i="32"/>
  <c r="M669" i="32"/>
  <c r="L669" i="32"/>
  <c r="J669" i="32"/>
  <c r="I669" i="32"/>
  <c r="H669" i="32"/>
  <c r="F669" i="32"/>
  <c r="K669" i="32" s="1"/>
  <c r="N668" i="32"/>
  <c r="M668" i="32"/>
  <c r="K668" i="32"/>
  <c r="J668" i="32"/>
  <c r="I668" i="32"/>
  <c r="H668" i="32"/>
  <c r="F668" i="32"/>
  <c r="L668" i="32" s="1"/>
  <c r="N667" i="32"/>
  <c r="M667" i="32"/>
  <c r="K667" i="32"/>
  <c r="J667" i="32"/>
  <c r="I667" i="32"/>
  <c r="H667" i="32"/>
  <c r="F667" i="32"/>
  <c r="L667" i="32" s="1"/>
  <c r="N666" i="32"/>
  <c r="M666" i="32"/>
  <c r="L666" i="32"/>
  <c r="K666" i="32"/>
  <c r="J666" i="32"/>
  <c r="H666" i="32"/>
  <c r="G666" i="32"/>
  <c r="E666" i="32"/>
  <c r="F666" i="32" s="1"/>
  <c r="N665" i="32"/>
  <c r="M665" i="32"/>
  <c r="L665" i="32"/>
  <c r="K665" i="32"/>
  <c r="J665" i="32"/>
  <c r="H665" i="32"/>
  <c r="G665" i="32"/>
  <c r="E665" i="32"/>
  <c r="F665" i="32" s="1"/>
  <c r="N664" i="32"/>
  <c r="M664" i="32"/>
  <c r="L664" i="32"/>
  <c r="J664" i="32"/>
  <c r="I664" i="32"/>
  <c r="H664" i="32"/>
  <c r="F664" i="32"/>
  <c r="K664" i="32" s="1"/>
  <c r="N663" i="32"/>
  <c r="M663" i="32"/>
  <c r="K663" i="32"/>
  <c r="J663" i="32"/>
  <c r="I663" i="32"/>
  <c r="H663" i="32"/>
  <c r="G663" i="32"/>
  <c r="F663" i="32"/>
  <c r="N662" i="32"/>
  <c r="M662" i="32"/>
  <c r="L662" i="32"/>
  <c r="J662" i="32"/>
  <c r="I662" i="32"/>
  <c r="H662" i="32"/>
  <c r="G662" i="32"/>
  <c r="F662" i="32"/>
  <c r="E656" i="32"/>
  <c r="E655" i="32"/>
  <c r="F655" i="32" s="1"/>
  <c r="G654" i="32"/>
  <c r="G653" i="32"/>
  <c r="N659" i="32"/>
  <c r="M659" i="32"/>
  <c r="K659" i="32"/>
  <c r="J659" i="32"/>
  <c r="I659" i="32"/>
  <c r="H659" i="32"/>
  <c r="F659" i="32"/>
  <c r="L659" i="32" s="1"/>
  <c r="N658" i="32"/>
  <c r="M658" i="32"/>
  <c r="K658" i="32"/>
  <c r="J658" i="32"/>
  <c r="I658" i="32"/>
  <c r="H658" i="32"/>
  <c r="F658" i="32"/>
  <c r="L658" i="32" s="1"/>
  <c r="N657" i="32"/>
  <c r="M657" i="32"/>
  <c r="K657" i="32"/>
  <c r="J657" i="32"/>
  <c r="I657" i="32"/>
  <c r="H657" i="32"/>
  <c r="F657" i="32"/>
  <c r="L657" i="32" s="1"/>
  <c r="N656" i="32"/>
  <c r="M656" i="32"/>
  <c r="L656" i="32"/>
  <c r="K656" i="32"/>
  <c r="J656" i="32"/>
  <c r="H656" i="32"/>
  <c r="G656" i="32"/>
  <c r="F656" i="32"/>
  <c r="N655" i="32"/>
  <c r="M655" i="32"/>
  <c r="L655" i="32"/>
  <c r="K655" i="32"/>
  <c r="J655" i="32"/>
  <c r="H655" i="32"/>
  <c r="G655" i="32"/>
  <c r="N654" i="32"/>
  <c r="M654" i="32"/>
  <c r="L654" i="32"/>
  <c r="J654" i="32"/>
  <c r="I654" i="32"/>
  <c r="H654" i="32"/>
  <c r="F654" i="32"/>
  <c r="N653" i="32"/>
  <c r="M653" i="32"/>
  <c r="L653" i="32"/>
  <c r="K653" i="32"/>
  <c r="I653" i="32"/>
  <c r="H653" i="32"/>
  <c r="F653" i="32"/>
  <c r="G649" i="32"/>
  <c r="G648" i="32"/>
  <c r="E649" i="32"/>
  <c r="E648" i="32"/>
  <c r="F648" i="32" s="1"/>
  <c r="G647" i="32"/>
  <c r="G646" i="32"/>
  <c r="N650" i="32"/>
  <c r="M650" i="32"/>
  <c r="J650" i="32"/>
  <c r="I650" i="32"/>
  <c r="H650" i="32"/>
  <c r="F650" i="32"/>
  <c r="L650" i="32" s="1"/>
  <c r="N649" i="32"/>
  <c r="M649" i="32"/>
  <c r="L649" i="32"/>
  <c r="K649" i="32"/>
  <c r="J649" i="32"/>
  <c r="H649" i="32"/>
  <c r="F649" i="32"/>
  <c r="N648" i="32"/>
  <c r="M648" i="32"/>
  <c r="L648" i="32"/>
  <c r="K648" i="32"/>
  <c r="J648" i="32"/>
  <c r="H648" i="32"/>
  <c r="N647" i="32"/>
  <c r="M647" i="32"/>
  <c r="L647" i="32"/>
  <c r="J647" i="32"/>
  <c r="I647" i="32"/>
  <c r="H647" i="32"/>
  <c r="F647" i="32"/>
  <c r="N646" i="32"/>
  <c r="M646" i="32"/>
  <c r="L646" i="32"/>
  <c r="K646" i="32"/>
  <c r="I646" i="32"/>
  <c r="H646" i="32"/>
  <c r="F646" i="32"/>
  <c r="N643" i="32"/>
  <c r="M643" i="32"/>
  <c r="K643" i="32"/>
  <c r="J643" i="32"/>
  <c r="I643" i="32"/>
  <c r="H643" i="32"/>
  <c r="F643" i="32"/>
  <c r="L643" i="32" s="1"/>
  <c r="E640" i="32"/>
  <c r="E639" i="32"/>
  <c r="F639" i="32" s="1"/>
  <c r="G638" i="32"/>
  <c r="G637" i="32"/>
  <c r="N642" i="32"/>
  <c r="M642" i="32"/>
  <c r="J642" i="32"/>
  <c r="I642" i="32"/>
  <c r="H642" i="32"/>
  <c r="F642" i="32"/>
  <c r="K642" i="32" s="1"/>
  <c r="N641" i="32"/>
  <c r="M641" i="32"/>
  <c r="K641" i="32"/>
  <c r="J641" i="32"/>
  <c r="I641" i="32"/>
  <c r="H641" i="32"/>
  <c r="F641" i="32"/>
  <c r="L641" i="32" s="1"/>
  <c r="N640" i="32"/>
  <c r="M640" i="32"/>
  <c r="L640" i="32"/>
  <c r="K640" i="32"/>
  <c r="J640" i="32"/>
  <c r="H640" i="32"/>
  <c r="G640" i="32"/>
  <c r="F640" i="32"/>
  <c r="N639" i="32"/>
  <c r="M639" i="32"/>
  <c r="L639" i="32"/>
  <c r="K639" i="32"/>
  <c r="J639" i="32"/>
  <c r="H639" i="32"/>
  <c r="G639" i="32"/>
  <c r="N638" i="32"/>
  <c r="M638" i="32"/>
  <c r="J638" i="32"/>
  <c r="I638" i="32"/>
  <c r="H638" i="32"/>
  <c r="F638" i="32"/>
  <c r="N637" i="32"/>
  <c r="M637" i="32"/>
  <c r="L637" i="32"/>
  <c r="I637" i="32"/>
  <c r="H637" i="32"/>
  <c r="F637" i="32"/>
  <c r="J637" i="32" s="1"/>
  <c r="N632" i="32"/>
  <c r="M632" i="32"/>
  <c r="J632" i="32"/>
  <c r="I632" i="32"/>
  <c r="H632" i="32"/>
  <c r="F632" i="32"/>
  <c r="K632" i="32" s="1"/>
  <c r="E631" i="32"/>
  <c r="F631" i="32" s="1"/>
  <c r="E630" i="32"/>
  <c r="F630" i="32" s="1"/>
  <c r="G631" i="32"/>
  <c r="G630" i="32"/>
  <c r="G628" i="32"/>
  <c r="G627" i="32"/>
  <c r="N634" i="32"/>
  <c r="M634" i="32"/>
  <c r="J634" i="32"/>
  <c r="I634" i="32"/>
  <c r="H634" i="32"/>
  <c r="F634" i="32"/>
  <c r="L634" i="32" s="1"/>
  <c r="N633" i="32"/>
  <c r="M633" i="32"/>
  <c r="K633" i="32"/>
  <c r="J633" i="32"/>
  <c r="I633" i="32"/>
  <c r="H633" i="32"/>
  <c r="F633" i="32"/>
  <c r="L633" i="32" s="1"/>
  <c r="N631" i="32"/>
  <c r="M631" i="32"/>
  <c r="L631" i="32"/>
  <c r="K631" i="32"/>
  <c r="J631" i="32"/>
  <c r="H631" i="32"/>
  <c r="N630" i="32"/>
  <c r="M630" i="32"/>
  <c r="L630" i="32"/>
  <c r="K630" i="32"/>
  <c r="J630" i="32"/>
  <c r="H630" i="32"/>
  <c r="N629" i="32"/>
  <c r="M629" i="32"/>
  <c r="L629" i="32"/>
  <c r="J629" i="32"/>
  <c r="I629" i="32"/>
  <c r="H629" i="32"/>
  <c r="F629" i="32"/>
  <c r="K629" i="32" s="1"/>
  <c r="N628" i="32"/>
  <c r="M628" i="32"/>
  <c r="J628" i="32"/>
  <c r="I628" i="32"/>
  <c r="H628" i="32"/>
  <c r="K628" i="32"/>
  <c r="F628" i="32"/>
  <c r="L628" i="32" s="1"/>
  <c r="N627" i="32"/>
  <c r="M627" i="32"/>
  <c r="L627" i="32"/>
  <c r="I627" i="32"/>
  <c r="H627" i="32"/>
  <c r="F627" i="32"/>
  <c r="J627" i="32" s="1"/>
  <c r="K654" i="32" l="1"/>
  <c r="J748" i="32"/>
  <c r="I751" i="32"/>
  <c r="K638" i="32"/>
  <c r="L730" i="32"/>
  <c r="K682" i="32"/>
  <c r="I732" i="32"/>
  <c r="I733" i="32"/>
  <c r="I742" i="32"/>
  <c r="I750" i="32"/>
  <c r="M689" i="32"/>
  <c r="I741" i="32"/>
  <c r="I701" i="32"/>
  <c r="I702" i="32"/>
  <c r="K721" i="32"/>
  <c r="I684" i="32"/>
  <c r="I691" i="32"/>
  <c r="J653" i="32"/>
  <c r="I655" i="32"/>
  <c r="J739" i="32"/>
  <c r="K740" i="32"/>
  <c r="K756" i="32"/>
  <c r="L757" i="32"/>
  <c r="I759" i="32"/>
  <c r="I760" i="32"/>
  <c r="J720" i="32"/>
  <c r="I649" i="32"/>
  <c r="K662" i="32"/>
  <c r="L663" i="32"/>
  <c r="J672" i="32"/>
  <c r="I674" i="32"/>
  <c r="I675" i="32"/>
  <c r="I722" i="32"/>
  <c r="I723" i="32"/>
  <c r="I656" i="32"/>
  <c r="I665" i="32"/>
  <c r="K729" i="32"/>
  <c r="K749" i="32"/>
  <c r="L688" i="32"/>
  <c r="I690" i="32"/>
  <c r="J681" i="32"/>
  <c r="M692" i="32"/>
  <c r="K698" i="32"/>
  <c r="L699" i="32"/>
  <c r="M693" i="32"/>
  <c r="J646" i="32"/>
  <c r="K650" i="32"/>
  <c r="K647" i="32"/>
  <c r="I666" i="32"/>
  <c r="I683" i="32"/>
  <c r="L642" i="32"/>
  <c r="I648" i="32"/>
  <c r="K673" i="32"/>
  <c r="K685" i="32"/>
  <c r="K637" i="32"/>
  <c r="L638" i="32"/>
  <c r="I639" i="32"/>
  <c r="I640" i="32"/>
  <c r="L632" i="32"/>
  <c r="K627" i="32"/>
  <c r="K634" i="32"/>
  <c r="I631" i="32"/>
  <c r="I630" i="32"/>
  <c r="E619" i="32"/>
  <c r="F619" i="32" s="1"/>
  <c r="E618" i="32"/>
  <c r="F618" i="32" s="1"/>
  <c r="G616" i="32"/>
  <c r="G615" i="32"/>
  <c r="N622" i="32"/>
  <c r="M622" i="32"/>
  <c r="L622" i="32"/>
  <c r="I622" i="32"/>
  <c r="H622" i="32"/>
  <c r="F622" i="32"/>
  <c r="J622" i="32" s="1"/>
  <c r="N621" i="32"/>
  <c r="M621" i="32"/>
  <c r="J621" i="32"/>
  <c r="I621" i="32"/>
  <c r="H621" i="32"/>
  <c r="F621" i="32"/>
  <c r="K621" i="32" s="1"/>
  <c r="N620" i="32"/>
  <c r="M620" i="32"/>
  <c r="K620" i="32"/>
  <c r="J620" i="32"/>
  <c r="I620" i="32"/>
  <c r="H620" i="32"/>
  <c r="F620" i="32"/>
  <c r="L620" i="32" s="1"/>
  <c r="N619" i="32"/>
  <c r="M619" i="32"/>
  <c r="L619" i="32"/>
  <c r="K619" i="32"/>
  <c r="J619" i="32"/>
  <c r="H619" i="32"/>
  <c r="G619" i="32"/>
  <c r="N618" i="32"/>
  <c r="M618" i="32"/>
  <c r="L618" i="32"/>
  <c r="K618" i="32"/>
  <c r="J618" i="32"/>
  <c r="H618" i="32"/>
  <c r="G618" i="32"/>
  <c r="N617" i="32"/>
  <c r="M617" i="32"/>
  <c r="L617" i="32"/>
  <c r="J617" i="32"/>
  <c r="I617" i="32"/>
  <c r="H617" i="32"/>
  <c r="F617" i="32"/>
  <c r="K617" i="32" s="1"/>
  <c r="N616" i="32"/>
  <c r="M616" i="32"/>
  <c r="L616" i="32"/>
  <c r="J616" i="32"/>
  <c r="I616" i="32"/>
  <c r="H616" i="32"/>
  <c r="F616" i="32"/>
  <c r="N615" i="32"/>
  <c r="M615" i="32"/>
  <c r="L615" i="32"/>
  <c r="K615" i="32"/>
  <c r="I615" i="32"/>
  <c r="H615" i="32"/>
  <c r="F615" i="32"/>
  <c r="E609" i="32"/>
  <c r="F609" i="32" s="1"/>
  <c r="E608" i="32"/>
  <c r="F608" i="32" s="1"/>
  <c r="G609" i="32"/>
  <c r="G608" i="32"/>
  <c r="G606" i="32"/>
  <c r="G605" i="32"/>
  <c r="N612" i="32"/>
  <c r="M612" i="32"/>
  <c r="L612" i="32"/>
  <c r="K612" i="32"/>
  <c r="I612" i="32"/>
  <c r="H612" i="32"/>
  <c r="F612" i="32"/>
  <c r="J612" i="32" s="1"/>
  <c r="N611" i="32"/>
  <c r="M611" i="32"/>
  <c r="L611" i="32"/>
  <c r="I611" i="32"/>
  <c r="H611" i="32"/>
  <c r="F611" i="32"/>
  <c r="J611" i="32" s="1"/>
  <c r="N610" i="32"/>
  <c r="M610" i="32"/>
  <c r="K610" i="32"/>
  <c r="J610" i="32"/>
  <c r="I610" i="32"/>
  <c r="H610" i="32"/>
  <c r="F610" i="32"/>
  <c r="L610" i="32" s="1"/>
  <c r="N609" i="32"/>
  <c r="M609" i="32"/>
  <c r="L609" i="32"/>
  <c r="K609" i="32"/>
  <c r="J609" i="32"/>
  <c r="H609" i="32"/>
  <c r="N608" i="32"/>
  <c r="M608" i="32"/>
  <c r="L608" i="32"/>
  <c r="K608" i="32"/>
  <c r="J608" i="32"/>
  <c r="H608" i="32"/>
  <c r="N607" i="32"/>
  <c r="M607" i="32"/>
  <c r="L607" i="32"/>
  <c r="J607" i="32"/>
  <c r="I607" i="32"/>
  <c r="H607" i="32"/>
  <c r="F607" i="32"/>
  <c r="K607" i="32" s="1"/>
  <c r="N606" i="32"/>
  <c r="M606" i="32"/>
  <c r="L606" i="32"/>
  <c r="J606" i="32"/>
  <c r="I606" i="32"/>
  <c r="H606" i="32"/>
  <c r="F606" i="32"/>
  <c r="N605" i="32"/>
  <c r="M605" i="32"/>
  <c r="L605" i="32"/>
  <c r="K605" i="32"/>
  <c r="I605" i="32"/>
  <c r="H605" i="32"/>
  <c r="F605" i="32"/>
  <c r="G599" i="32"/>
  <c r="G598" i="32"/>
  <c r="E599" i="32"/>
  <c r="F599" i="32" s="1"/>
  <c r="E598" i="32"/>
  <c r="F598" i="32" s="1"/>
  <c r="G596" i="32"/>
  <c r="G595" i="32"/>
  <c r="N602" i="32"/>
  <c r="M602" i="32"/>
  <c r="L602" i="32"/>
  <c r="K602" i="32"/>
  <c r="I602" i="32"/>
  <c r="H602" i="32"/>
  <c r="F602" i="32"/>
  <c r="J602" i="32" s="1"/>
  <c r="N601" i="32"/>
  <c r="M601" i="32"/>
  <c r="L601" i="32"/>
  <c r="K601" i="32"/>
  <c r="I601" i="32"/>
  <c r="H601" i="32"/>
  <c r="F601" i="32"/>
  <c r="J601" i="32" s="1"/>
  <c r="N600" i="32"/>
  <c r="M600" i="32"/>
  <c r="K600" i="32"/>
  <c r="J600" i="32"/>
  <c r="I600" i="32"/>
  <c r="H600" i="32"/>
  <c r="F600" i="32"/>
  <c r="L600" i="32" s="1"/>
  <c r="N599" i="32"/>
  <c r="M599" i="32"/>
  <c r="L599" i="32"/>
  <c r="K599" i="32"/>
  <c r="J599" i="32"/>
  <c r="H599" i="32"/>
  <c r="N598" i="32"/>
  <c r="M598" i="32"/>
  <c r="L598" i="32"/>
  <c r="K598" i="32"/>
  <c r="J598" i="32"/>
  <c r="H598" i="32"/>
  <c r="N597" i="32"/>
  <c r="M597" i="32"/>
  <c r="L597" i="32"/>
  <c r="J597" i="32"/>
  <c r="I597" i="32"/>
  <c r="H597" i="32"/>
  <c r="F597" i="32"/>
  <c r="K597" i="32" s="1"/>
  <c r="N596" i="32"/>
  <c r="M596" i="32"/>
  <c r="L596" i="32"/>
  <c r="J596" i="32"/>
  <c r="I596" i="32"/>
  <c r="H596" i="32"/>
  <c r="F596" i="32"/>
  <c r="N595" i="32"/>
  <c r="M595" i="32"/>
  <c r="L595" i="32"/>
  <c r="K595" i="32"/>
  <c r="I595" i="32"/>
  <c r="H595" i="32"/>
  <c r="F595" i="32"/>
  <c r="G589" i="32"/>
  <c r="G588" i="32"/>
  <c r="E589" i="32"/>
  <c r="F589" i="32" s="1"/>
  <c r="E588" i="32"/>
  <c r="F588" i="32" s="1"/>
  <c r="G586" i="32"/>
  <c r="G585" i="32"/>
  <c r="N592" i="32"/>
  <c r="M592" i="32"/>
  <c r="J592" i="32"/>
  <c r="I592" i="32"/>
  <c r="H592" i="32"/>
  <c r="F592" i="32"/>
  <c r="L592" i="32" s="1"/>
  <c r="N591" i="32"/>
  <c r="M591" i="32"/>
  <c r="J591" i="32"/>
  <c r="I591" i="32"/>
  <c r="H591" i="32"/>
  <c r="F591" i="32"/>
  <c r="L591" i="32" s="1"/>
  <c r="N590" i="32"/>
  <c r="M590" i="32"/>
  <c r="K590" i="32"/>
  <c r="J590" i="32"/>
  <c r="I590" i="32"/>
  <c r="H590" i="32"/>
  <c r="F590" i="32"/>
  <c r="L590" i="32" s="1"/>
  <c r="N589" i="32"/>
  <c r="M589" i="32"/>
  <c r="L589" i="32"/>
  <c r="K589" i="32"/>
  <c r="J589" i="32"/>
  <c r="H589" i="32"/>
  <c r="N588" i="32"/>
  <c r="M588" i="32"/>
  <c r="L588" i="32"/>
  <c r="K588" i="32"/>
  <c r="J588" i="32"/>
  <c r="H588" i="32"/>
  <c r="N587" i="32"/>
  <c r="M587" i="32"/>
  <c r="L587" i="32"/>
  <c r="J587" i="32"/>
  <c r="I587" i="32"/>
  <c r="H587" i="32"/>
  <c r="F587" i="32"/>
  <c r="K587" i="32" s="1"/>
  <c r="N586" i="32"/>
  <c r="M586" i="32"/>
  <c r="J586" i="32"/>
  <c r="I586" i="32"/>
  <c r="H586" i="32"/>
  <c r="F586" i="32"/>
  <c r="L586" i="32" s="1"/>
  <c r="N585" i="32"/>
  <c r="M585" i="32"/>
  <c r="L585" i="32"/>
  <c r="I585" i="32"/>
  <c r="H585" i="32"/>
  <c r="F585" i="32"/>
  <c r="K585" i="32" s="1"/>
  <c r="N582" i="32"/>
  <c r="M582" i="32"/>
  <c r="K582" i="32"/>
  <c r="J582" i="32"/>
  <c r="I582" i="32"/>
  <c r="H582" i="32"/>
  <c r="F582" i="32"/>
  <c r="L582" i="32" s="1"/>
  <c r="G579" i="32"/>
  <c r="G578" i="32"/>
  <c r="E579" i="32"/>
  <c r="E578" i="32"/>
  <c r="F578" i="32" s="1"/>
  <c r="G576" i="32"/>
  <c r="G575" i="32"/>
  <c r="N581" i="32"/>
  <c r="M581" i="32"/>
  <c r="K581" i="32"/>
  <c r="J581" i="32"/>
  <c r="I581" i="32"/>
  <c r="H581" i="32"/>
  <c r="F581" i="32"/>
  <c r="L581" i="32" s="1"/>
  <c r="N580" i="32"/>
  <c r="M580" i="32"/>
  <c r="K580" i="32"/>
  <c r="J580" i="32"/>
  <c r="I580" i="32"/>
  <c r="H580" i="32"/>
  <c r="F580" i="32"/>
  <c r="L580" i="32" s="1"/>
  <c r="N579" i="32"/>
  <c r="M579" i="32"/>
  <c r="L579" i="32"/>
  <c r="K579" i="32"/>
  <c r="J579" i="32"/>
  <c r="H579" i="32"/>
  <c r="F579" i="32"/>
  <c r="N578" i="32"/>
  <c r="M578" i="32"/>
  <c r="L578" i="32"/>
  <c r="K578" i="32"/>
  <c r="J578" i="32"/>
  <c r="H578" i="32"/>
  <c r="N577" i="32"/>
  <c r="M577" i="32"/>
  <c r="L577" i="32"/>
  <c r="J577" i="32"/>
  <c r="I577" i="32"/>
  <c r="H577" i="32"/>
  <c r="F577" i="32"/>
  <c r="K577" i="32" s="1"/>
  <c r="N576" i="32"/>
  <c r="M576" i="32"/>
  <c r="K576" i="32"/>
  <c r="J576" i="32"/>
  <c r="I576" i="32"/>
  <c r="H576" i="32"/>
  <c r="F576" i="32"/>
  <c r="N575" i="32"/>
  <c r="M575" i="32"/>
  <c r="L575" i="32"/>
  <c r="J575" i="32"/>
  <c r="I575" i="32"/>
  <c r="H575" i="32"/>
  <c r="F575" i="32"/>
  <c r="N572" i="32"/>
  <c r="M572" i="32"/>
  <c r="K572" i="32"/>
  <c r="J572" i="32"/>
  <c r="I572" i="32"/>
  <c r="H572" i="32"/>
  <c r="F572" i="32"/>
  <c r="L572" i="32" s="1"/>
  <c r="N571" i="32"/>
  <c r="M571" i="32"/>
  <c r="K571" i="32"/>
  <c r="J571" i="32"/>
  <c r="I571" i="32"/>
  <c r="H571" i="32"/>
  <c r="F571" i="32"/>
  <c r="L571" i="32" s="1"/>
  <c r="N570" i="32"/>
  <c r="M570" i="32"/>
  <c r="L570" i="32"/>
  <c r="K570" i="32"/>
  <c r="J570" i="32"/>
  <c r="H570" i="32"/>
  <c r="G570" i="32"/>
  <c r="E570" i="32"/>
  <c r="F570" i="32" s="1"/>
  <c r="N569" i="32"/>
  <c r="M569" i="32"/>
  <c r="L569" i="32"/>
  <c r="K569" i="32"/>
  <c r="J569" i="32"/>
  <c r="H569" i="32"/>
  <c r="G569" i="32"/>
  <c r="E569" i="32"/>
  <c r="F569" i="32" s="1"/>
  <c r="N568" i="32"/>
  <c r="M568" i="32"/>
  <c r="L568" i="32"/>
  <c r="J568" i="32"/>
  <c r="I568" i="32"/>
  <c r="H568" i="32"/>
  <c r="F568" i="32"/>
  <c r="K568" i="32" s="1"/>
  <c r="N567" i="32"/>
  <c r="M567" i="32"/>
  <c r="K567" i="32"/>
  <c r="J567" i="32"/>
  <c r="I567" i="32"/>
  <c r="H567" i="32"/>
  <c r="G567" i="32"/>
  <c r="F567" i="32"/>
  <c r="N566" i="32"/>
  <c r="M566" i="32"/>
  <c r="L566" i="32"/>
  <c r="J566" i="32"/>
  <c r="I566" i="32"/>
  <c r="H566" i="32"/>
  <c r="G566" i="32"/>
  <c r="F566" i="32"/>
  <c r="E562" i="32"/>
  <c r="F562" i="32" s="1"/>
  <c r="E561" i="32"/>
  <c r="F561" i="32" s="1"/>
  <c r="G560" i="32"/>
  <c r="G559" i="32"/>
  <c r="N563" i="32"/>
  <c r="M563" i="32"/>
  <c r="L563" i="32"/>
  <c r="J563" i="32"/>
  <c r="I563" i="32"/>
  <c r="H563" i="32"/>
  <c r="F563" i="32"/>
  <c r="K563" i="32" s="1"/>
  <c r="N562" i="32"/>
  <c r="M562" i="32"/>
  <c r="L562" i="32"/>
  <c r="K562" i="32"/>
  <c r="J562" i="32"/>
  <c r="H562" i="32"/>
  <c r="G562" i="32"/>
  <c r="N561" i="32"/>
  <c r="M561" i="32"/>
  <c r="L561" i="32"/>
  <c r="K561" i="32"/>
  <c r="J561" i="32"/>
  <c r="H561" i="32"/>
  <c r="G561" i="32"/>
  <c r="N560" i="32"/>
  <c r="M560" i="32"/>
  <c r="J560" i="32"/>
  <c r="I560" i="32"/>
  <c r="H560" i="32"/>
  <c r="K560" i="32"/>
  <c r="F560" i="32"/>
  <c r="N559" i="32"/>
  <c r="M559" i="32"/>
  <c r="L559" i="32"/>
  <c r="K559" i="32"/>
  <c r="I559" i="32"/>
  <c r="H559" i="32"/>
  <c r="F559" i="32"/>
  <c r="N556" i="32"/>
  <c r="M556" i="32"/>
  <c r="K556" i="32"/>
  <c r="I556" i="32"/>
  <c r="H556" i="32"/>
  <c r="F556" i="32"/>
  <c r="L556" i="32" s="1"/>
  <c r="E553" i="32"/>
  <c r="E552" i="32"/>
  <c r="F552" i="32" s="1"/>
  <c r="N555" i="32"/>
  <c r="M555" i="32"/>
  <c r="J555" i="32"/>
  <c r="I555" i="32"/>
  <c r="H555" i="32"/>
  <c r="F555" i="32"/>
  <c r="K555" i="32" s="1"/>
  <c r="G551" i="32"/>
  <c r="G550" i="32"/>
  <c r="N554" i="32"/>
  <c r="M554" i="32"/>
  <c r="L554" i="32"/>
  <c r="J554" i="32"/>
  <c r="I554" i="32"/>
  <c r="H554" i="32"/>
  <c r="F554" i="32"/>
  <c r="K554" i="32" s="1"/>
  <c r="N553" i="32"/>
  <c r="M553" i="32"/>
  <c r="L553" i="32"/>
  <c r="K553" i="32"/>
  <c r="J553" i="32"/>
  <c r="H553" i="32"/>
  <c r="G553" i="32"/>
  <c r="F553" i="32"/>
  <c r="N552" i="32"/>
  <c r="M552" i="32"/>
  <c r="L552" i="32"/>
  <c r="K552" i="32"/>
  <c r="J552" i="32"/>
  <c r="H552" i="32"/>
  <c r="G552" i="32"/>
  <c r="N551" i="32"/>
  <c r="M551" i="32"/>
  <c r="J551" i="32"/>
  <c r="I551" i="32"/>
  <c r="H551" i="32"/>
  <c r="F551" i="32"/>
  <c r="L551" i="32" s="1"/>
  <c r="N550" i="32"/>
  <c r="M550" i="32"/>
  <c r="L550" i="32"/>
  <c r="K550" i="32"/>
  <c r="I550" i="32"/>
  <c r="H550" i="32"/>
  <c r="F550" i="32"/>
  <c r="G546" i="32"/>
  <c r="G545" i="32"/>
  <c r="E546" i="32"/>
  <c r="E545" i="32"/>
  <c r="F545" i="32" s="1"/>
  <c r="G544" i="32"/>
  <c r="G543" i="32"/>
  <c r="N547" i="32"/>
  <c r="M547" i="32"/>
  <c r="J547" i="32"/>
  <c r="I547" i="32"/>
  <c r="H547" i="32"/>
  <c r="F547" i="32"/>
  <c r="L547" i="32" s="1"/>
  <c r="N546" i="32"/>
  <c r="M546" i="32"/>
  <c r="L546" i="32"/>
  <c r="K546" i="32"/>
  <c r="J546" i="32"/>
  <c r="H546" i="32"/>
  <c r="F546" i="32"/>
  <c r="N545" i="32"/>
  <c r="M545" i="32"/>
  <c r="L545" i="32"/>
  <c r="K545" i="32"/>
  <c r="J545" i="32"/>
  <c r="H545" i="32"/>
  <c r="N544" i="32"/>
  <c r="M544" i="32"/>
  <c r="K544" i="32"/>
  <c r="J544" i="32"/>
  <c r="I544" i="32"/>
  <c r="H544" i="32"/>
  <c r="F544" i="32"/>
  <c r="N543" i="32"/>
  <c r="M543" i="32"/>
  <c r="L543" i="32"/>
  <c r="I543" i="32"/>
  <c r="H543" i="32"/>
  <c r="F543" i="32"/>
  <c r="K543" i="32" s="1"/>
  <c r="G539" i="32"/>
  <c r="G538" i="32"/>
  <c r="E539" i="32"/>
  <c r="F539" i="32" s="1"/>
  <c r="E538" i="32"/>
  <c r="F538" i="32" s="1"/>
  <c r="N540" i="32"/>
  <c r="M540" i="32"/>
  <c r="K540" i="32"/>
  <c r="J540" i="32"/>
  <c r="I540" i="32"/>
  <c r="H540" i="32"/>
  <c r="F540" i="32"/>
  <c r="L540" i="32" s="1"/>
  <c r="N539" i="32"/>
  <c r="M539" i="32"/>
  <c r="L539" i="32"/>
  <c r="K539" i="32"/>
  <c r="J539" i="32"/>
  <c r="H539" i="32"/>
  <c r="N538" i="32"/>
  <c r="M538" i="32"/>
  <c r="L538" i="32"/>
  <c r="K538" i="32"/>
  <c r="J538" i="32"/>
  <c r="H538" i="32"/>
  <c r="N537" i="32"/>
  <c r="M537" i="32"/>
  <c r="L537" i="32"/>
  <c r="J537" i="32"/>
  <c r="I537" i="32"/>
  <c r="H537" i="32"/>
  <c r="F537" i="32"/>
  <c r="K537" i="32" s="1"/>
  <c r="N536" i="32"/>
  <c r="M536" i="32"/>
  <c r="K536" i="32"/>
  <c r="J536" i="32"/>
  <c r="I536" i="32"/>
  <c r="H536" i="32"/>
  <c r="G536" i="32"/>
  <c r="F536" i="32"/>
  <c r="N535" i="32"/>
  <c r="M535" i="32"/>
  <c r="L535" i="32"/>
  <c r="J535" i="32"/>
  <c r="I535" i="32"/>
  <c r="H535" i="32"/>
  <c r="G535" i="32"/>
  <c r="F535" i="32"/>
  <c r="N532" i="32"/>
  <c r="M532" i="32"/>
  <c r="K532" i="32"/>
  <c r="J532" i="32"/>
  <c r="I532" i="32"/>
  <c r="H532" i="32"/>
  <c r="F532" i="32"/>
  <c r="L532" i="32" s="1"/>
  <c r="N531" i="32"/>
  <c r="M531" i="32"/>
  <c r="K531" i="32"/>
  <c r="J531" i="32"/>
  <c r="I531" i="32"/>
  <c r="H531" i="32"/>
  <c r="F531" i="32"/>
  <c r="L531" i="32" s="1"/>
  <c r="N530" i="32"/>
  <c r="M530" i="32"/>
  <c r="L530" i="32"/>
  <c r="K530" i="32"/>
  <c r="J530" i="32"/>
  <c r="H530" i="32"/>
  <c r="G530" i="32"/>
  <c r="E530" i="32"/>
  <c r="F530" i="32" s="1"/>
  <c r="N529" i="32"/>
  <c r="M529" i="32"/>
  <c r="L529" i="32"/>
  <c r="K529" i="32"/>
  <c r="J529" i="32"/>
  <c r="H529" i="32"/>
  <c r="G529" i="32"/>
  <c r="E529" i="32"/>
  <c r="F529" i="32" s="1"/>
  <c r="N528" i="32"/>
  <c r="M528" i="32"/>
  <c r="L528" i="32"/>
  <c r="J528" i="32"/>
  <c r="I528" i="32"/>
  <c r="H528" i="32"/>
  <c r="F528" i="32"/>
  <c r="K528" i="32" s="1"/>
  <c r="N527" i="32"/>
  <c r="M527" i="32"/>
  <c r="K527" i="32"/>
  <c r="J527" i="32"/>
  <c r="I527" i="32"/>
  <c r="H527" i="32"/>
  <c r="G527" i="32"/>
  <c r="F527" i="32"/>
  <c r="N526" i="32"/>
  <c r="M526" i="32"/>
  <c r="L526" i="32"/>
  <c r="J526" i="32"/>
  <c r="I526" i="32"/>
  <c r="H526" i="32"/>
  <c r="G526" i="32"/>
  <c r="F526" i="32"/>
  <c r="E521" i="32"/>
  <c r="F521" i="32" s="1"/>
  <c r="E520" i="32"/>
  <c r="F520" i="32" s="1"/>
  <c r="G521" i="32"/>
  <c r="G520" i="32"/>
  <c r="G518" i="32"/>
  <c r="G517" i="32"/>
  <c r="N523" i="32"/>
  <c r="M523" i="32"/>
  <c r="K523" i="32"/>
  <c r="J523" i="32"/>
  <c r="I523" i="32"/>
  <c r="H523" i="32"/>
  <c r="F523" i="32"/>
  <c r="L523" i="32" s="1"/>
  <c r="N522" i="32"/>
  <c r="M522" i="32"/>
  <c r="K522" i="32"/>
  <c r="J522" i="32"/>
  <c r="I522" i="32"/>
  <c r="H522" i="32"/>
  <c r="F522" i="32"/>
  <c r="L522" i="32" s="1"/>
  <c r="N521" i="32"/>
  <c r="M521" i="32"/>
  <c r="L521" i="32"/>
  <c r="K521" i="32"/>
  <c r="J521" i="32"/>
  <c r="H521" i="32"/>
  <c r="N520" i="32"/>
  <c r="M520" i="32"/>
  <c r="L520" i="32"/>
  <c r="K520" i="32"/>
  <c r="J520" i="32"/>
  <c r="H520" i="32"/>
  <c r="N519" i="32"/>
  <c r="M519" i="32"/>
  <c r="L519" i="32"/>
  <c r="I519" i="32"/>
  <c r="H519" i="32"/>
  <c r="F519" i="32"/>
  <c r="J519" i="32" s="1"/>
  <c r="N518" i="32"/>
  <c r="M518" i="32"/>
  <c r="J518" i="32"/>
  <c r="I518" i="32"/>
  <c r="H518" i="32"/>
  <c r="K518" i="32"/>
  <c r="F518" i="32"/>
  <c r="L518" i="32" s="1"/>
  <c r="N517" i="32"/>
  <c r="M517" i="32"/>
  <c r="L517" i="32"/>
  <c r="I517" i="32"/>
  <c r="H517" i="32"/>
  <c r="F517" i="32"/>
  <c r="J517" i="32" s="1"/>
  <c r="N508" i="32"/>
  <c r="M508" i="32"/>
  <c r="L508" i="32"/>
  <c r="K508" i="32"/>
  <c r="I508" i="32"/>
  <c r="H508" i="32"/>
  <c r="F508" i="32"/>
  <c r="J508" i="32" s="1"/>
  <c r="N507" i="32"/>
  <c r="M507" i="32"/>
  <c r="K507" i="32"/>
  <c r="J507" i="32"/>
  <c r="I507" i="32"/>
  <c r="H507" i="32"/>
  <c r="F507" i="32"/>
  <c r="L507" i="32" s="1"/>
  <c r="N506" i="32"/>
  <c r="M506" i="32"/>
  <c r="K506" i="32"/>
  <c r="J506" i="32"/>
  <c r="I506" i="32"/>
  <c r="H506" i="32"/>
  <c r="F506" i="32"/>
  <c r="L506" i="32" s="1"/>
  <c r="N505" i="32"/>
  <c r="M505" i="32"/>
  <c r="L505" i="32"/>
  <c r="K505" i="32"/>
  <c r="J505" i="32"/>
  <c r="H505" i="32"/>
  <c r="G505" i="32"/>
  <c r="E505" i="32"/>
  <c r="F505" i="32" s="1"/>
  <c r="N504" i="32"/>
  <c r="M504" i="32"/>
  <c r="L504" i="32"/>
  <c r="K504" i="32"/>
  <c r="J504" i="32"/>
  <c r="H504" i="32"/>
  <c r="G504" i="32"/>
  <c r="E504" i="32"/>
  <c r="F504" i="32" s="1"/>
  <c r="N503" i="32"/>
  <c r="M503" i="32"/>
  <c r="L503" i="32"/>
  <c r="K503" i="32"/>
  <c r="I503" i="32"/>
  <c r="H503" i="32"/>
  <c r="F503" i="32"/>
  <c r="J503" i="32" s="1"/>
  <c r="N502" i="32"/>
  <c r="M502" i="32"/>
  <c r="L502" i="32"/>
  <c r="J502" i="32"/>
  <c r="I502" i="32"/>
  <c r="H502" i="32"/>
  <c r="G502" i="32"/>
  <c r="F502" i="32"/>
  <c r="N501" i="32"/>
  <c r="M501" i="32"/>
  <c r="L501" i="32"/>
  <c r="K501" i="32"/>
  <c r="I501" i="32"/>
  <c r="H501" i="32"/>
  <c r="G501" i="32"/>
  <c r="F501" i="32"/>
  <c r="N498" i="32"/>
  <c r="M498" i="32"/>
  <c r="K498" i="32"/>
  <c r="I498" i="32"/>
  <c r="H498" i="32"/>
  <c r="F498" i="32"/>
  <c r="L498" i="32" s="1"/>
  <c r="E495" i="32"/>
  <c r="F495" i="32" s="1"/>
  <c r="E494" i="32"/>
  <c r="F494" i="32" s="1"/>
  <c r="G495" i="32"/>
  <c r="G494" i="32"/>
  <c r="G492" i="32"/>
  <c r="G491" i="32"/>
  <c r="N497" i="32"/>
  <c r="M497" i="32"/>
  <c r="J497" i="32"/>
  <c r="I497" i="32"/>
  <c r="H497" i="32"/>
  <c r="F497" i="32"/>
  <c r="K497" i="32" s="1"/>
  <c r="N496" i="32"/>
  <c r="M496" i="32"/>
  <c r="K496" i="32"/>
  <c r="J496" i="32"/>
  <c r="I496" i="32"/>
  <c r="H496" i="32"/>
  <c r="F496" i="32"/>
  <c r="L496" i="32" s="1"/>
  <c r="N495" i="32"/>
  <c r="M495" i="32"/>
  <c r="L495" i="32"/>
  <c r="K495" i="32"/>
  <c r="J495" i="32"/>
  <c r="H495" i="32"/>
  <c r="N494" i="32"/>
  <c r="M494" i="32"/>
  <c r="L494" i="32"/>
  <c r="K494" i="32"/>
  <c r="J494" i="32"/>
  <c r="H494" i="32"/>
  <c r="N493" i="32"/>
  <c r="M493" i="32"/>
  <c r="L493" i="32"/>
  <c r="K493" i="32"/>
  <c r="I493" i="32"/>
  <c r="H493" i="32"/>
  <c r="F493" i="32"/>
  <c r="J493" i="32" s="1"/>
  <c r="N492" i="32"/>
  <c r="M492" i="32"/>
  <c r="J492" i="32"/>
  <c r="I492" i="32"/>
  <c r="H492" i="32"/>
  <c r="L492" i="32"/>
  <c r="F492" i="32"/>
  <c r="N491" i="32"/>
  <c r="M491" i="32"/>
  <c r="L491" i="32"/>
  <c r="K491" i="32"/>
  <c r="I491" i="32"/>
  <c r="H491" i="32"/>
  <c r="F491" i="32"/>
  <c r="N488" i="32"/>
  <c r="M488" i="32"/>
  <c r="L488" i="32"/>
  <c r="K488" i="32"/>
  <c r="I488" i="32"/>
  <c r="H488" i="32"/>
  <c r="F488" i="32"/>
  <c r="J488" i="32" s="1"/>
  <c r="G485" i="32"/>
  <c r="G484" i="32"/>
  <c r="E485" i="32"/>
  <c r="E484" i="32"/>
  <c r="F484" i="32" s="1"/>
  <c r="G483" i="32"/>
  <c r="G482" i="32"/>
  <c r="N487" i="32"/>
  <c r="M487" i="32"/>
  <c r="L487" i="32"/>
  <c r="K487" i="32"/>
  <c r="I487" i="32"/>
  <c r="H487" i="32"/>
  <c r="F487" i="32"/>
  <c r="J487" i="32" s="1"/>
  <c r="N486" i="32"/>
  <c r="M486" i="32"/>
  <c r="K486" i="32"/>
  <c r="J486" i="32"/>
  <c r="I486" i="32"/>
  <c r="H486" i="32"/>
  <c r="F486" i="32"/>
  <c r="L486" i="32" s="1"/>
  <c r="N485" i="32"/>
  <c r="M485" i="32"/>
  <c r="L485" i="32"/>
  <c r="K485" i="32"/>
  <c r="J485" i="32"/>
  <c r="H485" i="32"/>
  <c r="F485" i="32"/>
  <c r="N484" i="32"/>
  <c r="M484" i="32"/>
  <c r="L484" i="32"/>
  <c r="K484" i="32"/>
  <c r="J484" i="32"/>
  <c r="H484" i="32"/>
  <c r="N483" i="32"/>
  <c r="M483" i="32"/>
  <c r="L483" i="32"/>
  <c r="J483" i="32"/>
  <c r="I483" i="32"/>
  <c r="H483" i="32"/>
  <c r="F483" i="32"/>
  <c r="N482" i="32"/>
  <c r="M482" i="32"/>
  <c r="L482" i="32"/>
  <c r="K482" i="32"/>
  <c r="I482" i="32"/>
  <c r="H482" i="32"/>
  <c r="F482" i="32"/>
  <c r="E476" i="32"/>
  <c r="F476" i="32" s="1"/>
  <c r="E475" i="32"/>
  <c r="F475" i="32" s="1"/>
  <c r="G473" i="32"/>
  <c r="G472" i="32"/>
  <c r="N479" i="32"/>
  <c r="M479" i="32"/>
  <c r="J479" i="32"/>
  <c r="I479" i="32"/>
  <c r="H479" i="32"/>
  <c r="F479" i="32"/>
  <c r="L479" i="32" s="1"/>
  <c r="N478" i="32"/>
  <c r="M478" i="32"/>
  <c r="K478" i="32"/>
  <c r="J478" i="32"/>
  <c r="I478" i="32"/>
  <c r="H478" i="32"/>
  <c r="F478" i="32"/>
  <c r="L478" i="32" s="1"/>
  <c r="N477" i="32"/>
  <c r="M477" i="32"/>
  <c r="J477" i="32"/>
  <c r="I477" i="32"/>
  <c r="H477" i="32"/>
  <c r="F477" i="32"/>
  <c r="L477" i="32" s="1"/>
  <c r="N476" i="32"/>
  <c r="M476" i="32"/>
  <c r="L476" i="32"/>
  <c r="K476" i="32"/>
  <c r="J476" i="32"/>
  <c r="H476" i="32"/>
  <c r="G476" i="32"/>
  <c r="N475" i="32"/>
  <c r="M475" i="32"/>
  <c r="L475" i="32"/>
  <c r="K475" i="32"/>
  <c r="J475" i="32"/>
  <c r="H475" i="32"/>
  <c r="G475" i="32"/>
  <c r="N474" i="32"/>
  <c r="M474" i="32"/>
  <c r="L474" i="32"/>
  <c r="K474" i="32"/>
  <c r="I474" i="32"/>
  <c r="H474" i="32"/>
  <c r="F474" i="32"/>
  <c r="J474" i="32" s="1"/>
  <c r="N473" i="32"/>
  <c r="M473" i="32"/>
  <c r="J473" i="32"/>
  <c r="I473" i="32"/>
  <c r="H473" i="32"/>
  <c r="K473" i="32"/>
  <c r="F473" i="32"/>
  <c r="L473" i="32" s="1"/>
  <c r="N472" i="32"/>
  <c r="L472" i="32"/>
  <c r="K472" i="32"/>
  <c r="I472" i="32"/>
  <c r="H472" i="32"/>
  <c r="M472" i="32"/>
  <c r="F472" i="32"/>
  <c r="G466" i="32"/>
  <c r="G465" i="32"/>
  <c r="E466" i="32"/>
  <c r="F466" i="32" s="1"/>
  <c r="E465" i="32"/>
  <c r="F465" i="32" s="1"/>
  <c r="G464" i="32"/>
  <c r="G463" i="32"/>
  <c r="N469" i="32"/>
  <c r="M469" i="32"/>
  <c r="K469" i="32"/>
  <c r="I469" i="32"/>
  <c r="H469" i="32"/>
  <c r="F469" i="32"/>
  <c r="L469" i="32" s="1"/>
  <c r="N468" i="32"/>
  <c r="M468" i="32"/>
  <c r="K468" i="32"/>
  <c r="J468" i="32"/>
  <c r="I468" i="32"/>
  <c r="H468" i="32"/>
  <c r="F468" i="32"/>
  <c r="L468" i="32" s="1"/>
  <c r="N467" i="32"/>
  <c r="M467" i="32"/>
  <c r="K467" i="32"/>
  <c r="J467" i="32"/>
  <c r="I467" i="32"/>
  <c r="H467" i="32"/>
  <c r="F467" i="32"/>
  <c r="L467" i="32" s="1"/>
  <c r="N466" i="32"/>
  <c r="M466" i="32"/>
  <c r="L466" i="32"/>
  <c r="K466" i="32"/>
  <c r="J466" i="32"/>
  <c r="H466" i="32"/>
  <c r="N465" i="32"/>
  <c r="M465" i="32"/>
  <c r="L465" i="32"/>
  <c r="K465" i="32"/>
  <c r="J465" i="32"/>
  <c r="H465" i="32"/>
  <c r="N464" i="32"/>
  <c r="M464" i="32"/>
  <c r="L464" i="32"/>
  <c r="J464" i="32"/>
  <c r="I464" i="32"/>
  <c r="H464" i="32"/>
  <c r="F464" i="32"/>
  <c r="N463" i="32"/>
  <c r="L463" i="32"/>
  <c r="K463" i="32"/>
  <c r="I463" i="32"/>
  <c r="H463" i="32"/>
  <c r="M463" i="32"/>
  <c r="F463" i="32"/>
  <c r="N460" i="32"/>
  <c r="M460" i="32"/>
  <c r="K460" i="32"/>
  <c r="J460" i="32"/>
  <c r="I460" i="32"/>
  <c r="H460" i="32"/>
  <c r="F460" i="32"/>
  <c r="L460" i="32" s="1"/>
  <c r="N459" i="32"/>
  <c r="M459" i="32"/>
  <c r="K459" i="32"/>
  <c r="J459" i="32"/>
  <c r="I459" i="32"/>
  <c r="H459" i="32"/>
  <c r="F459" i="32"/>
  <c r="L459" i="32" s="1"/>
  <c r="N458" i="32"/>
  <c r="M458" i="32"/>
  <c r="K458" i="32"/>
  <c r="J458" i="32"/>
  <c r="I458" i="32"/>
  <c r="H458" i="32"/>
  <c r="F458" i="32"/>
  <c r="L458" i="32" s="1"/>
  <c r="N457" i="32"/>
  <c r="M457" i="32"/>
  <c r="L457" i="32"/>
  <c r="K457" i="32"/>
  <c r="J457" i="32"/>
  <c r="H457" i="32"/>
  <c r="G457" i="32"/>
  <c r="E457" i="32"/>
  <c r="F457" i="32" s="1"/>
  <c r="N456" i="32"/>
  <c r="M456" i="32"/>
  <c r="L456" i="32"/>
  <c r="K456" i="32"/>
  <c r="J456" i="32"/>
  <c r="H456" i="32"/>
  <c r="G456" i="32"/>
  <c r="E456" i="32"/>
  <c r="F456" i="32" s="1"/>
  <c r="N455" i="32"/>
  <c r="M455" i="32"/>
  <c r="L455" i="32"/>
  <c r="K455" i="32"/>
  <c r="I455" i="32"/>
  <c r="H455" i="32"/>
  <c r="F455" i="32"/>
  <c r="J455" i="32" s="1"/>
  <c r="N454" i="32"/>
  <c r="M454" i="32"/>
  <c r="L454" i="32"/>
  <c r="J454" i="32"/>
  <c r="I454" i="32"/>
  <c r="H454" i="32"/>
  <c r="G454" i="32"/>
  <c r="F454" i="32"/>
  <c r="N453" i="32"/>
  <c r="L453" i="32"/>
  <c r="K453" i="32"/>
  <c r="J453" i="32"/>
  <c r="I453" i="32"/>
  <c r="H453" i="32"/>
  <c r="G453" i="32"/>
  <c r="F453" i="32"/>
  <c r="N444" i="32"/>
  <c r="M444" i="32"/>
  <c r="K444" i="32"/>
  <c r="J444" i="32"/>
  <c r="I444" i="32"/>
  <c r="H444" i="32"/>
  <c r="F444" i="32"/>
  <c r="L444" i="32" s="1"/>
  <c r="E441" i="32"/>
  <c r="F441" i="32" s="1"/>
  <c r="E440" i="32"/>
  <c r="F440" i="32" s="1"/>
  <c r="G439" i="32"/>
  <c r="G438" i="32"/>
  <c r="N443" i="32"/>
  <c r="M443" i="32"/>
  <c r="K443" i="32"/>
  <c r="J443" i="32"/>
  <c r="I443" i="32"/>
  <c r="H443" i="32"/>
  <c r="F443" i="32"/>
  <c r="L443" i="32" s="1"/>
  <c r="N442" i="32"/>
  <c r="M442" i="32"/>
  <c r="K442" i="32"/>
  <c r="J442" i="32"/>
  <c r="I442" i="32"/>
  <c r="H442" i="32"/>
  <c r="F442" i="32"/>
  <c r="L442" i="32" s="1"/>
  <c r="N441" i="32"/>
  <c r="M441" i="32"/>
  <c r="L441" i="32"/>
  <c r="K441" i="32"/>
  <c r="J441" i="32"/>
  <c r="H441" i="32"/>
  <c r="G441" i="32"/>
  <c r="N440" i="32"/>
  <c r="M440" i="32"/>
  <c r="L440" i="32"/>
  <c r="K440" i="32"/>
  <c r="J440" i="32"/>
  <c r="H440" i="32"/>
  <c r="G440" i="32"/>
  <c r="N439" i="32"/>
  <c r="M439" i="32"/>
  <c r="L439" i="32"/>
  <c r="J439" i="32"/>
  <c r="I439" i="32"/>
  <c r="H439" i="32"/>
  <c r="F439" i="32"/>
  <c r="N438" i="32"/>
  <c r="L438" i="32"/>
  <c r="K438" i="32"/>
  <c r="I438" i="32"/>
  <c r="H438" i="32"/>
  <c r="M438" i="32"/>
  <c r="F438" i="32"/>
  <c r="N433" i="32"/>
  <c r="M433" i="32"/>
  <c r="K433" i="32"/>
  <c r="J433" i="32"/>
  <c r="I433" i="32"/>
  <c r="H433" i="32"/>
  <c r="F433" i="32"/>
  <c r="L433" i="32" s="1"/>
  <c r="G428" i="32"/>
  <c r="N435" i="32"/>
  <c r="M435" i="32"/>
  <c r="K435" i="32"/>
  <c r="J435" i="32"/>
  <c r="I435" i="32"/>
  <c r="H435" i="32"/>
  <c r="F435" i="32"/>
  <c r="L435" i="32" s="1"/>
  <c r="N434" i="32"/>
  <c r="M434" i="32"/>
  <c r="K434" i="32"/>
  <c r="J434" i="32"/>
  <c r="I434" i="32"/>
  <c r="H434" i="32"/>
  <c r="F434" i="32"/>
  <c r="L434" i="32" s="1"/>
  <c r="N432" i="32"/>
  <c r="M432" i="32"/>
  <c r="L432" i="32"/>
  <c r="K432" i="32"/>
  <c r="J432" i="32"/>
  <c r="H432" i="32"/>
  <c r="G432" i="32"/>
  <c r="E432" i="32"/>
  <c r="F432" i="32" s="1"/>
  <c r="N431" i="32"/>
  <c r="M431" i="32"/>
  <c r="L431" i="32"/>
  <c r="K431" i="32"/>
  <c r="J431" i="32"/>
  <c r="H431" i="32"/>
  <c r="G431" i="32"/>
  <c r="E431" i="32"/>
  <c r="F431" i="32" s="1"/>
  <c r="N430" i="32"/>
  <c r="M430" i="32"/>
  <c r="L430" i="32"/>
  <c r="K430" i="32"/>
  <c r="I430" i="32"/>
  <c r="H430" i="32"/>
  <c r="F430" i="32"/>
  <c r="J430" i="32" s="1"/>
  <c r="N429" i="32"/>
  <c r="M429" i="32"/>
  <c r="L429" i="32"/>
  <c r="J429" i="32"/>
  <c r="I429" i="32"/>
  <c r="H429" i="32"/>
  <c r="G429" i="32"/>
  <c r="F429" i="32"/>
  <c r="N428" i="32"/>
  <c r="L428" i="32"/>
  <c r="K428" i="32"/>
  <c r="J428" i="32"/>
  <c r="I428" i="32"/>
  <c r="H428" i="32"/>
  <c r="F428" i="32"/>
  <c r="N425" i="32"/>
  <c r="M425" i="32"/>
  <c r="K425" i="32"/>
  <c r="J425" i="32"/>
  <c r="I425" i="32"/>
  <c r="H425" i="32"/>
  <c r="F425" i="32"/>
  <c r="L425" i="32" s="1"/>
  <c r="N424" i="32"/>
  <c r="M424" i="32"/>
  <c r="K424" i="32"/>
  <c r="J424" i="32"/>
  <c r="I424" i="32"/>
  <c r="H424" i="32"/>
  <c r="F424" i="32"/>
  <c r="L424" i="32" s="1"/>
  <c r="N423" i="32"/>
  <c r="M423" i="32"/>
  <c r="K423" i="32"/>
  <c r="J423" i="32"/>
  <c r="I423" i="32"/>
  <c r="H423" i="32"/>
  <c r="F423" i="32"/>
  <c r="L423" i="32" s="1"/>
  <c r="N422" i="32"/>
  <c r="M422" i="32"/>
  <c r="L422" i="32"/>
  <c r="K422" i="32"/>
  <c r="J422" i="32"/>
  <c r="H422" i="32"/>
  <c r="G422" i="32"/>
  <c r="E422" i="32"/>
  <c r="F422" i="32" s="1"/>
  <c r="N421" i="32"/>
  <c r="M421" i="32"/>
  <c r="L421" i="32"/>
  <c r="K421" i="32"/>
  <c r="J421" i="32"/>
  <c r="H421" i="32"/>
  <c r="G421" i="32"/>
  <c r="E421" i="32"/>
  <c r="F421" i="32" s="1"/>
  <c r="N420" i="32"/>
  <c r="M420" i="32"/>
  <c r="L420" i="32"/>
  <c r="K420" i="32"/>
  <c r="I420" i="32"/>
  <c r="H420" i="32"/>
  <c r="F420" i="32"/>
  <c r="J420" i="32" s="1"/>
  <c r="N419" i="32"/>
  <c r="L419" i="32"/>
  <c r="K419" i="32"/>
  <c r="J419" i="32"/>
  <c r="I419" i="32"/>
  <c r="H419" i="32"/>
  <c r="G419" i="32"/>
  <c r="F419" i="32"/>
  <c r="N418" i="32"/>
  <c r="M418" i="32"/>
  <c r="L418" i="32"/>
  <c r="J418" i="32"/>
  <c r="I418" i="32"/>
  <c r="H418" i="32"/>
  <c r="G418" i="32"/>
  <c r="F418" i="32"/>
  <c r="E413" i="32"/>
  <c r="F413" i="32" s="1"/>
  <c r="E412" i="32"/>
  <c r="F412" i="32" s="1"/>
  <c r="G411" i="32"/>
  <c r="G410" i="32"/>
  <c r="N415" i="32"/>
  <c r="M415" i="32"/>
  <c r="K415" i="32"/>
  <c r="J415" i="32"/>
  <c r="I415" i="32"/>
  <c r="H415" i="32"/>
  <c r="F415" i="32"/>
  <c r="L415" i="32" s="1"/>
  <c r="N414" i="32"/>
  <c r="M414" i="32"/>
  <c r="K414" i="32"/>
  <c r="J414" i="32"/>
  <c r="I414" i="32"/>
  <c r="H414" i="32"/>
  <c r="F414" i="32"/>
  <c r="L414" i="32" s="1"/>
  <c r="N413" i="32"/>
  <c r="M413" i="32"/>
  <c r="L413" i="32"/>
  <c r="K413" i="32"/>
  <c r="J413" i="32"/>
  <c r="H413" i="32"/>
  <c r="G413" i="32"/>
  <c r="N412" i="32"/>
  <c r="M412" i="32"/>
  <c r="L412" i="32"/>
  <c r="K412" i="32"/>
  <c r="J412" i="32"/>
  <c r="H412" i="32"/>
  <c r="G412" i="32"/>
  <c r="N411" i="32"/>
  <c r="M411" i="32"/>
  <c r="L411" i="32"/>
  <c r="J411" i="32"/>
  <c r="I411" i="32"/>
  <c r="H411" i="32"/>
  <c r="F411" i="32"/>
  <c r="N410" i="32"/>
  <c r="M410" i="32"/>
  <c r="L410" i="32"/>
  <c r="K410" i="32"/>
  <c r="I410" i="32"/>
  <c r="H410" i="32"/>
  <c r="F410" i="32"/>
  <c r="N407" i="32"/>
  <c r="M407" i="32"/>
  <c r="K407" i="32"/>
  <c r="I407" i="32"/>
  <c r="H407" i="32"/>
  <c r="F407" i="32"/>
  <c r="L407" i="32" s="1"/>
  <c r="G404" i="32"/>
  <c r="G403" i="32"/>
  <c r="E404" i="32"/>
  <c r="E403" i="32"/>
  <c r="F403" i="32" s="1"/>
  <c r="G402" i="32"/>
  <c r="G401" i="32"/>
  <c r="N406" i="32"/>
  <c r="M406" i="32"/>
  <c r="K406" i="32"/>
  <c r="J406" i="32"/>
  <c r="I406" i="32"/>
  <c r="H406" i="32"/>
  <c r="F406" i="32"/>
  <c r="L406" i="32" s="1"/>
  <c r="N405" i="32"/>
  <c r="M405" i="32"/>
  <c r="K405" i="32"/>
  <c r="J405" i="32"/>
  <c r="I405" i="32"/>
  <c r="H405" i="32"/>
  <c r="F405" i="32"/>
  <c r="L405" i="32" s="1"/>
  <c r="N404" i="32"/>
  <c r="M404" i="32"/>
  <c r="L404" i="32"/>
  <c r="K404" i="32"/>
  <c r="J404" i="32"/>
  <c r="H404" i="32"/>
  <c r="F404" i="32"/>
  <c r="N403" i="32"/>
  <c r="M403" i="32"/>
  <c r="L403" i="32"/>
  <c r="K403" i="32"/>
  <c r="J403" i="32"/>
  <c r="H403" i="32"/>
  <c r="N402" i="32"/>
  <c r="L402" i="32"/>
  <c r="J402" i="32"/>
  <c r="I402" i="32"/>
  <c r="H402" i="32"/>
  <c r="M402" i="32"/>
  <c r="F402" i="32"/>
  <c r="N401" i="32"/>
  <c r="M401" i="32"/>
  <c r="L401" i="32"/>
  <c r="I401" i="32"/>
  <c r="H401" i="32"/>
  <c r="F401" i="32"/>
  <c r="K401" i="32" s="1"/>
  <c r="N396" i="32"/>
  <c r="M396" i="32"/>
  <c r="K396" i="32"/>
  <c r="J396" i="32"/>
  <c r="I396" i="32"/>
  <c r="H396" i="32"/>
  <c r="F396" i="32"/>
  <c r="L396" i="32" s="1"/>
  <c r="G395" i="32"/>
  <c r="G394" i="32"/>
  <c r="E395" i="32"/>
  <c r="E394" i="32"/>
  <c r="F394" i="32" s="1"/>
  <c r="G392" i="32"/>
  <c r="G391" i="32"/>
  <c r="N398" i="32"/>
  <c r="M398" i="32"/>
  <c r="K398" i="32"/>
  <c r="J398" i="32"/>
  <c r="I398" i="32"/>
  <c r="H398" i="32"/>
  <c r="F398" i="32"/>
  <c r="L398" i="32" s="1"/>
  <c r="N397" i="32"/>
  <c r="M397" i="32"/>
  <c r="K397" i="32"/>
  <c r="J397" i="32"/>
  <c r="I397" i="32"/>
  <c r="H397" i="32"/>
  <c r="F397" i="32"/>
  <c r="L397" i="32" s="1"/>
  <c r="N395" i="32"/>
  <c r="M395" i="32"/>
  <c r="L395" i="32"/>
  <c r="K395" i="32"/>
  <c r="J395" i="32"/>
  <c r="H395" i="32"/>
  <c r="F395" i="32"/>
  <c r="N394" i="32"/>
  <c r="M394" i="32"/>
  <c r="L394" i="32"/>
  <c r="K394" i="32"/>
  <c r="J394" i="32"/>
  <c r="H394" i="32"/>
  <c r="N393" i="32"/>
  <c r="M393" i="32"/>
  <c r="L393" i="32"/>
  <c r="K393" i="32"/>
  <c r="I393" i="32"/>
  <c r="H393" i="32"/>
  <c r="F393" i="32"/>
  <c r="J393" i="32" s="1"/>
  <c r="N392" i="32"/>
  <c r="L392" i="32"/>
  <c r="J392" i="32"/>
  <c r="I392" i="32"/>
  <c r="H392" i="32"/>
  <c r="K392" i="32"/>
  <c r="F392" i="32"/>
  <c r="N391" i="32"/>
  <c r="M391" i="32"/>
  <c r="L391" i="32"/>
  <c r="I391" i="32"/>
  <c r="H391" i="32"/>
  <c r="F391" i="32"/>
  <c r="J391" i="32" s="1"/>
  <c r="E386" i="32"/>
  <c r="F386" i="32" s="1"/>
  <c r="E385" i="32"/>
  <c r="F385" i="32" s="1"/>
  <c r="G383" i="32"/>
  <c r="G382" i="32"/>
  <c r="N388" i="32"/>
  <c r="M388" i="32"/>
  <c r="K388" i="32"/>
  <c r="J388" i="32"/>
  <c r="I388" i="32"/>
  <c r="H388" i="32"/>
  <c r="F388" i="32"/>
  <c r="L388" i="32" s="1"/>
  <c r="N387" i="32"/>
  <c r="M387" i="32"/>
  <c r="K387" i="32"/>
  <c r="J387" i="32"/>
  <c r="I387" i="32"/>
  <c r="H387" i="32"/>
  <c r="F387" i="32"/>
  <c r="L387" i="32" s="1"/>
  <c r="N386" i="32"/>
  <c r="M386" i="32"/>
  <c r="L386" i="32"/>
  <c r="K386" i="32"/>
  <c r="J386" i="32"/>
  <c r="H386" i="32"/>
  <c r="G386" i="32"/>
  <c r="N385" i="32"/>
  <c r="M385" i="32"/>
  <c r="L385" i="32"/>
  <c r="K385" i="32"/>
  <c r="J385" i="32"/>
  <c r="H385" i="32"/>
  <c r="G385" i="32"/>
  <c r="N384" i="32"/>
  <c r="M384" i="32"/>
  <c r="L384" i="32"/>
  <c r="K384" i="32"/>
  <c r="I384" i="32"/>
  <c r="H384" i="32"/>
  <c r="F384" i="32"/>
  <c r="J384" i="32" s="1"/>
  <c r="N383" i="32"/>
  <c r="M383" i="32"/>
  <c r="L383" i="32"/>
  <c r="J383" i="32"/>
  <c r="I383" i="32"/>
  <c r="H383" i="32"/>
  <c r="F383" i="32"/>
  <c r="N382" i="32"/>
  <c r="M382" i="32"/>
  <c r="L382" i="32"/>
  <c r="K382" i="32"/>
  <c r="I382" i="32"/>
  <c r="H382" i="32"/>
  <c r="F382" i="32"/>
  <c r="E376" i="32"/>
  <c r="F376" i="32" s="1"/>
  <c r="N375" i="32"/>
  <c r="M375" i="32"/>
  <c r="L375" i="32"/>
  <c r="K375" i="32"/>
  <c r="I375" i="32"/>
  <c r="H375" i="32"/>
  <c r="F375" i="32"/>
  <c r="J375" i="32" s="1"/>
  <c r="G374" i="32"/>
  <c r="G373" i="32"/>
  <c r="N379" i="32"/>
  <c r="M379" i="32"/>
  <c r="L379" i="32"/>
  <c r="J379" i="32"/>
  <c r="I379" i="32"/>
  <c r="H379" i="32"/>
  <c r="F379" i="32"/>
  <c r="K379" i="32" s="1"/>
  <c r="N378" i="32"/>
  <c r="M378" i="32"/>
  <c r="K378" i="32"/>
  <c r="J378" i="32"/>
  <c r="I378" i="32"/>
  <c r="H378" i="32"/>
  <c r="F378" i="32"/>
  <c r="L378" i="32" s="1"/>
  <c r="N377" i="32"/>
  <c r="M377" i="32"/>
  <c r="L377" i="32"/>
  <c r="K377" i="32"/>
  <c r="J377" i="32"/>
  <c r="H377" i="32"/>
  <c r="G377" i="32"/>
  <c r="E377" i="32"/>
  <c r="F377" i="32" s="1"/>
  <c r="N376" i="32"/>
  <c r="M376" i="32"/>
  <c r="L376" i="32"/>
  <c r="K376" i="32"/>
  <c r="J376" i="32"/>
  <c r="H376" i="32"/>
  <c r="G376" i="32"/>
  <c r="N374" i="32"/>
  <c r="M374" i="32"/>
  <c r="L374" i="32"/>
  <c r="J374" i="32"/>
  <c r="I374" i="32"/>
  <c r="H374" i="32"/>
  <c r="F374" i="32"/>
  <c r="N373" i="32"/>
  <c r="M373" i="32"/>
  <c r="K373" i="32"/>
  <c r="J373" i="32"/>
  <c r="I373" i="32"/>
  <c r="H373" i="32"/>
  <c r="F373" i="32"/>
  <c r="N370" i="32"/>
  <c r="M370" i="32"/>
  <c r="L370" i="32"/>
  <c r="J370" i="32"/>
  <c r="I370" i="32"/>
  <c r="H370" i="32"/>
  <c r="F370" i="32"/>
  <c r="K370" i="32" s="1"/>
  <c r="N369" i="32"/>
  <c r="M369" i="32"/>
  <c r="K369" i="32"/>
  <c r="J369" i="32"/>
  <c r="I369" i="32"/>
  <c r="H369" i="32"/>
  <c r="F369" i="32"/>
  <c r="L369" i="32" s="1"/>
  <c r="N368" i="32"/>
  <c r="M368" i="32"/>
  <c r="L368" i="32"/>
  <c r="K368" i="32"/>
  <c r="J368" i="32"/>
  <c r="H368" i="32"/>
  <c r="G368" i="32"/>
  <c r="E368" i="32"/>
  <c r="F368" i="32" s="1"/>
  <c r="N367" i="32"/>
  <c r="M367" i="32"/>
  <c r="L367" i="32"/>
  <c r="K367" i="32"/>
  <c r="J367" i="32"/>
  <c r="H367" i="32"/>
  <c r="G367" i="32"/>
  <c r="E367" i="32"/>
  <c r="F367" i="32" s="1"/>
  <c r="N366" i="32"/>
  <c r="M366" i="32"/>
  <c r="L366" i="32"/>
  <c r="K366" i="32"/>
  <c r="I366" i="32"/>
  <c r="H366" i="32"/>
  <c r="F366" i="32"/>
  <c r="J366" i="32" s="1"/>
  <c r="N365" i="32"/>
  <c r="M365" i="32"/>
  <c r="L365" i="32"/>
  <c r="J365" i="32"/>
  <c r="I365" i="32"/>
  <c r="H365" i="32"/>
  <c r="G365" i="32"/>
  <c r="F365" i="32"/>
  <c r="N364" i="32"/>
  <c r="M364" i="32"/>
  <c r="K364" i="32"/>
  <c r="J364" i="32"/>
  <c r="I364" i="32"/>
  <c r="H364" i="32"/>
  <c r="G364" i="32"/>
  <c r="F364" i="32"/>
  <c r="E358" i="32"/>
  <c r="F358" i="32" s="1"/>
  <c r="E357" i="32"/>
  <c r="F357" i="32" s="1"/>
  <c r="G358" i="32"/>
  <c r="G357" i="32"/>
  <c r="G355" i="32"/>
  <c r="G354" i="32"/>
  <c r="N361" i="32"/>
  <c r="M361" i="32"/>
  <c r="J361" i="32"/>
  <c r="I361" i="32"/>
  <c r="H361" i="32"/>
  <c r="F361" i="32"/>
  <c r="L361" i="32" s="1"/>
  <c r="N360" i="32"/>
  <c r="M360" i="32"/>
  <c r="K360" i="32"/>
  <c r="J360" i="32"/>
  <c r="I360" i="32"/>
  <c r="H360" i="32"/>
  <c r="F360" i="32"/>
  <c r="L360" i="32" s="1"/>
  <c r="N359" i="32"/>
  <c r="M359" i="32"/>
  <c r="K359" i="32"/>
  <c r="J359" i="32"/>
  <c r="I359" i="32"/>
  <c r="H359" i="32"/>
  <c r="F359" i="32"/>
  <c r="L359" i="32" s="1"/>
  <c r="N358" i="32"/>
  <c r="M358" i="32"/>
  <c r="L358" i="32"/>
  <c r="K358" i="32"/>
  <c r="J358" i="32"/>
  <c r="H358" i="32"/>
  <c r="N357" i="32"/>
  <c r="M357" i="32"/>
  <c r="L357" i="32"/>
  <c r="K357" i="32"/>
  <c r="J357" i="32"/>
  <c r="H357" i="32"/>
  <c r="N356" i="32"/>
  <c r="M356" i="32"/>
  <c r="L356" i="32"/>
  <c r="K356" i="32"/>
  <c r="I356" i="32"/>
  <c r="H356" i="32"/>
  <c r="F356" i="32"/>
  <c r="J356" i="32" s="1"/>
  <c r="N355" i="32"/>
  <c r="M355" i="32"/>
  <c r="L355" i="32"/>
  <c r="J355" i="32"/>
  <c r="I355" i="32"/>
  <c r="H355" i="32"/>
  <c r="F355" i="32"/>
  <c r="N354" i="32"/>
  <c r="M354" i="32"/>
  <c r="K354" i="32"/>
  <c r="I354" i="32"/>
  <c r="H354" i="32"/>
  <c r="F354" i="32"/>
  <c r="J354" i="32" s="1"/>
  <c r="N350" i="32"/>
  <c r="M350" i="32"/>
  <c r="K350" i="32"/>
  <c r="J350" i="32"/>
  <c r="I350" i="32"/>
  <c r="H350" i="32"/>
  <c r="F350" i="32"/>
  <c r="L350" i="32" s="1"/>
  <c r="G347" i="32"/>
  <c r="G346" i="32"/>
  <c r="E347" i="32"/>
  <c r="F347" i="32" s="1"/>
  <c r="E346" i="32"/>
  <c r="F346" i="32" s="1"/>
  <c r="G344" i="32"/>
  <c r="G343" i="32"/>
  <c r="N345" i="32"/>
  <c r="M345" i="32"/>
  <c r="L345" i="32"/>
  <c r="I345" i="32"/>
  <c r="H345" i="32"/>
  <c r="F345" i="32"/>
  <c r="K345" i="32" s="1"/>
  <c r="N349" i="32"/>
  <c r="M349" i="32"/>
  <c r="K349" i="32"/>
  <c r="J349" i="32"/>
  <c r="I349" i="32"/>
  <c r="H349" i="32"/>
  <c r="F349" i="32"/>
  <c r="L349" i="32" s="1"/>
  <c r="N348" i="32"/>
  <c r="M348" i="32"/>
  <c r="K348" i="32"/>
  <c r="J348" i="32"/>
  <c r="I348" i="32"/>
  <c r="H348" i="32"/>
  <c r="F348" i="32"/>
  <c r="L348" i="32" s="1"/>
  <c r="N347" i="32"/>
  <c r="M347" i="32"/>
  <c r="L347" i="32"/>
  <c r="K347" i="32"/>
  <c r="J347" i="32"/>
  <c r="H347" i="32"/>
  <c r="N346" i="32"/>
  <c r="M346" i="32"/>
  <c r="L346" i="32"/>
  <c r="K346" i="32"/>
  <c r="J346" i="32"/>
  <c r="H346" i="32"/>
  <c r="N344" i="32"/>
  <c r="M344" i="32"/>
  <c r="J344" i="32"/>
  <c r="I344" i="32"/>
  <c r="H344" i="32"/>
  <c r="F344" i="32"/>
  <c r="L344" i="32" s="1"/>
  <c r="N343" i="32"/>
  <c r="M343" i="32"/>
  <c r="L343" i="32"/>
  <c r="K343" i="32"/>
  <c r="I343" i="32"/>
  <c r="H343" i="32"/>
  <c r="F343" i="32"/>
  <c r="N340" i="32"/>
  <c r="M340" i="32"/>
  <c r="K340" i="32"/>
  <c r="J340" i="32"/>
  <c r="I340" i="32"/>
  <c r="H340" i="32"/>
  <c r="F340" i="32"/>
  <c r="L340" i="32" s="1"/>
  <c r="N339" i="32"/>
  <c r="M339" i="32"/>
  <c r="L339" i="32"/>
  <c r="J339" i="32"/>
  <c r="I339" i="32"/>
  <c r="H339" i="32"/>
  <c r="F339" i="32"/>
  <c r="K339" i="32" s="1"/>
  <c r="N338" i="32"/>
  <c r="M338" i="32"/>
  <c r="L338" i="32"/>
  <c r="K338" i="32"/>
  <c r="J338" i="32"/>
  <c r="H338" i="32"/>
  <c r="G338" i="32"/>
  <c r="E338" i="32"/>
  <c r="F338" i="32" s="1"/>
  <c r="N337" i="32"/>
  <c r="M337" i="32"/>
  <c r="L337" i="32"/>
  <c r="K337" i="32"/>
  <c r="J337" i="32"/>
  <c r="H337" i="32"/>
  <c r="G337" i="32"/>
  <c r="E337" i="32"/>
  <c r="F337" i="32" s="1"/>
  <c r="N336" i="32"/>
  <c r="M336" i="32"/>
  <c r="K336" i="32"/>
  <c r="J336" i="32"/>
  <c r="I336" i="32"/>
  <c r="H336" i="32"/>
  <c r="G336" i="32"/>
  <c r="F336" i="32"/>
  <c r="N335" i="32"/>
  <c r="M335" i="32"/>
  <c r="L335" i="32"/>
  <c r="K335" i="32"/>
  <c r="I335" i="32"/>
  <c r="H335" i="32"/>
  <c r="G335" i="32"/>
  <c r="F335" i="32"/>
  <c r="G330" i="32"/>
  <c r="G329" i="32"/>
  <c r="E330" i="32"/>
  <c r="F330" i="32" s="1"/>
  <c r="E329" i="32"/>
  <c r="F329" i="32" s="1"/>
  <c r="G327" i="32"/>
  <c r="G326" i="32"/>
  <c r="N332" i="32"/>
  <c r="L332" i="32"/>
  <c r="K332" i="32"/>
  <c r="J332" i="32"/>
  <c r="I332" i="32"/>
  <c r="H332" i="32"/>
  <c r="F332" i="32"/>
  <c r="M332" i="32" s="1"/>
  <c r="N331" i="32"/>
  <c r="K331" i="32"/>
  <c r="J331" i="32"/>
  <c r="I331" i="32"/>
  <c r="H331" i="32"/>
  <c r="F331" i="32"/>
  <c r="L331" i="32" s="1"/>
  <c r="N330" i="32"/>
  <c r="M330" i="32"/>
  <c r="L330" i="32"/>
  <c r="K330" i="32"/>
  <c r="J330" i="32"/>
  <c r="H330" i="32"/>
  <c r="N329" i="32"/>
  <c r="M329" i="32"/>
  <c r="L329" i="32"/>
  <c r="K329" i="32"/>
  <c r="J329" i="32"/>
  <c r="H329" i="32"/>
  <c r="N328" i="32"/>
  <c r="M328" i="32"/>
  <c r="L328" i="32"/>
  <c r="I328" i="32"/>
  <c r="H328" i="32"/>
  <c r="F328" i="32"/>
  <c r="J328" i="32" s="1"/>
  <c r="M327" i="32"/>
  <c r="K327" i="32"/>
  <c r="J327" i="32"/>
  <c r="I327" i="32"/>
  <c r="H327" i="32"/>
  <c r="F327" i="32"/>
  <c r="L327" i="32" s="1"/>
  <c r="N326" i="32"/>
  <c r="M326" i="32"/>
  <c r="J326" i="32"/>
  <c r="I326" i="32"/>
  <c r="H326" i="32"/>
  <c r="K326" i="32"/>
  <c r="F326" i="32"/>
  <c r="N323" i="32"/>
  <c r="M323" i="32"/>
  <c r="L323" i="32"/>
  <c r="J323" i="32"/>
  <c r="I323" i="32"/>
  <c r="H323" i="32"/>
  <c r="F323" i="32"/>
  <c r="K323" i="32" s="1"/>
  <c r="N322" i="32"/>
  <c r="M322" i="32"/>
  <c r="K322" i="32"/>
  <c r="J322" i="32"/>
  <c r="I322" i="32"/>
  <c r="H322" i="32"/>
  <c r="F322" i="32"/>
  <c r="L322" i="32" s="1"/>
  <c r="N321" i="32"/>
  <c r="M321" i="32"/>
  <c r="L321" i="32"/>
  <c r="K321" i="32"/>
  <c r="J321" i="32"/>
  <c r="H321" i="32"/>
  <c r="G321" i="32"/>
  <c r="E321" i="32"/>
  <c r="F321" i="32" s="1"/>
  <c r="N320" i="32"/>
  <c r="M320" i="32"/>
  <c r="L320" i="32"/>
  <c r="K320" i="32"/>
  <c r="J320" i="32"/>
  <c r="H320" i="32"/>
  <c r="G320" i="32"/>
  <c r="E320" i="32"/>
  <c r="F320" i="32" s="1"/>
  <c r="N319" i="32"/>
  <c r="M319" i="32"/>
  <c r="L319" i="32"/>
  <c r="K319" i="32"/>
  <c r="I319" i="32"/>
  <c r="H319" i="32"/>
  <c r="F319" i="32"/>
  <c r="J319" i="32" s="1"/>
  <c r="N318" i="32"/>
  <c r="M318" i="32"/>
  <c r="K318" i="32"/>
  <c r="J318" i="32"/>
  <c r="I318" i="32"/>
  <c r="H318" i="32"/>
  <c r="G318" i="32"/>
  <c r="F318" i="32"/>
  <c r="N317" i="32"/>
  <c r="M317" i="32"/>
  <c r="L317" i="32"/>
  <c r="J317" i="32"/>
  <c r="I317" i="32"/>
  <c r="H317" i="32"/>
  <c r="G317" i="32"/>
  <c r="F317" i="32"/>
  <c r="G312" i="32"/>
  <c r="G311" i="32"/>
  <c r="E312" i="32"/>
  <c r="F312" i="32" s="1"/>
  <c r="E311" i="32"/>
  <c r="F311" i="32" s="1"/>
  <c r="G309" i="32"/>
  <c r="G308" i="32"/>
  <c r="N314" i="32"/>
  <c r="M314" i="32"/>
  <c r="J314" i="32"/>
  <c r="I314" i="32"/>
  <c r="H314" i="32"/>
  <c r="F314" i="32"/>
  <c r="L314" i="32" s="1"/>
  <c r="N313" i="32"/>
  <c r="M313" i="32"/>
  <c r="K313" i="32"/>
  <c r="J313" i="32"/>
  <c r="I313" i="32"/>
  <c r="H313" i="32"/>
  <c r="F313" i="32"/>
  <c r="L313" i="32" s="1"/>
  <c r="N312" i="32"/>
  <c r="M312" i="32"/>
  <c r="L312" i="32"/>
  <c r="K312" i="32"/>
  <c r="J312" i="32"/>
  <c r="H312" i="32"/>
  <c r="N311" i="32"/>
  <c r="M311" i="32"/>
  <c r="L311" i="32"/>
  <c r="K311" i="32"/>
  <c r="J311" i="32"/>
  <c r="H311" i="32"/>
  <c r="N310" i="32"/>
  <c r="M310" i="32"/>
  <c r="L310" i="32"/>
  <c r="I310" i="32"/>
  <c r="H310" i="32"/>
  <c r="F310" i="32"/>
  <c r="K310" i="32" s="1"/>
  <c r="N309" i="32"/>
  <c r="M309" i="32"/>
  <c r="K309" i="32"/>
  <c r="J309" i="32"/>
  <c r="I309" i="32"/>
  <c r="H309" i="32"/>
  <c r="F309" i="32"/>
  <c r="N308" i="32"/>
  <c r="M308" i="32"/>
  <c r="J308" i="32"/>
  <c r="I308" i="32"/>
  <c r="H308" i="32"/>
  <c r="F308" i="32"/>
  <c r="L308" i="32" s="1"/>
  <c r="E302" i="32"/>
  <c r="F302" i="32" s="1"/>
  <c r="E301" i="32"/>
  <c r="F301" i="32" s="1"/>
  <c r="G299" i="32"/>
  <c r="G298" i="32"/>
  <c r="J305" i="32"/>
  <c r="I305" i="32"/>
  <c r="H305" i="32"/>
  <c r="F305" i="32"/>
  <c r="K305" i="32" s="1"/>
  <c r="N304" i="32"/>
  <c r="M304" i="32"/>
  <c r="K304" i="32"/>
  <c r="J304" i="32"/>
  <c r="I304" i="32"/>
  <c r="H304" i="32"/>
  <c r="F304" i="32"/>
  <c r="L304" i="32" s="1"/>
  <c r="N303" i="32"/>
  <c r="M303" i="32"/>
  <c r="K303" i="32"/>
  <c r="J303" i="32"/>
  <c r="I303" i="32"/>
  <c r="H303" i="32"/>
  <c r="F303" i="32"/>
  <c r="L303" i="32" s="1"/>
  <c r="N302" i="32"/>
  <c r="M302" i="32"/>
  <c r="L302" i="32"/>
  <c r="K302" i="32"/>
  <c r="J302" i="32"/>
  <c r="H302" i="32"/>
  <c r="G302" i="32"/>
  <c r="N301" i="32"/>
  <c r="M301" i="32"/>
  <c r="L301" i="32"/>
  <c r="K301" i="32"/>
  <c r="J301" i="32"/>
  <c r="H301" i="32"/>
  <c r="G301" i="32"/>
  <c r="N300" i="32"/>
  <c r="M300" i="32"/>
  <c r="L300" i="32"/>
  <c r="I300" i="32"/>
  <c r="H300" i="32"/>
  <c r="F300" i="32"/>
  <c r="J300" i="32" s="1"/>
  <c r="N299" i="32"/>
  <c r="M299" i="32"/>
  <c r="K299" i="32"/>
  <c r="J299" i="32"/>
  <c r="I299" i="32"/>
  <c r="H299" i="32"/>
  <c r="F299" i="32"/>
  <c r="N298" i="32"/>
  <c r="M298" i="32"/>
  <c r="J298" i="32"/>
  <c r="I298" i="32"/>
  <c r="H298" i="32"/>
  <c r="K298" i="32"/>
  <c r="F298" i="32"/>
  <c r="E293" i="32"/>
  <c r="F293" i="32" s="1"/>
  <c r="E292" i="32"/>
  <c r="F292" i="32" s="1"/>
  <c r="G293" i="32"/>
  <c r="G292" i="32"/>
  <c r="G291" i="32"/>
  <c r="G290" i="32"/>
  <c r="N295" i="32"/>
  <c r="M295" i="32"/>
  <c r="K295" i="32"/>
  <c r="J295" i="32"/>
  <c r="I295" i="32"/>
  <c r="H295" i="32"/>
  <c r="F295" i="32"/>
  <c r="L295" i="32" s="1"/>
  <c r="N294" i="32"/>
  <c r="M294" i="32"/>
  <c r="L294" i="32"/>
  <c r="J294" i="32"/>
  <c r="I294" i="32"/>
  <c r="H294" i="32"/>
  <c r="F294" i="32"/>
  <c r="K294" i="32" s="1"/>
  <c r="N293" i="32"/>
  <c r="M293" i="32"/>
  <c r="L293" i="32"/>
  <c r="K293" i="32"/>
  <c r="J293" i="32"/>
  <c r="H293" i="32"/>
  <c r="N292" i="32"/>
  <c r="M292" i="32"/>
  <c r="L292" i="32"/>
  <c r="K292" i="32"/>
  <c r="J292" i="32"/>
  <c r="H292" i="32"/>
  <c r="N291" i="32"/>
  <c r="M291" i="32"/>
  <c r="J291" i="32"/>
  <c r="I291" i="32"/>
  <c r="H291" i="32"/>
  <c r="K291" i="32"/>
  <c r="F291" i="32"/>
  <c r="N290" i="32"/>
  <c r="M290" i="32"/>
  <c r="L290" i="32"/>
  <c r="K290" i="32"/>
  <c r="I290" i="32"/>
  <c r="H290" i="32"/>
  <c r="F290" i="32"/>
  <c r="N287" i="32"/>
  <c r="M287" i="32"/>
  <c r="L287" i="32"/>
  <c r="K287" i="32"/>
  <c r="I287" i="32"/>
  <c r="H287" i="32"/>
  <c r="F287" i="32"/>
  <c r="J287" i="32" s="1"/>
  <c r="N286" i="32"/>
  <c r="M286" i="32"/>
  <c r="K286" i="32"/>
  <c r="J286" i="32"/>
  <c r="I286" i="32"/>
  <c r="H286" i="32"/>
  <c r="F286" i="32"/>
  <c r="L286" i="32" s="1"/>
  <c r="N285" i="32"/>
  <c r="M285" i="32"/>
  <c r="K285" i="32"/>
  <c r="J285" i="32"/>
  <c r="I285" i="32"/>
  <c r="H285" i="32"/>
  <c r="F285" i="32"/>
  <c r="L285" i="32" s="1"/>
  <c r="N284" i="32"/>
  <c r="M284" i="32"/>
  <c r="L284" i="32"/>
  <c r="K284" i="32"/>
  <c r="J284" i="32"/>
  <c r="H284" i="32"/>
  <c r="G284" i="32"/>
  <c r="E284" i="32"/>
  <c r="F284" i="32" s="1"/>
  <c r="N283" i="32"/>
  <c r="M283" i="32"/>
  <c r="L283" i="32"/>
  <c r="K283" i="32"/>
  <c r="J283" i="32"/>
  <c r="H283" i="32"/>
  <c r="G283" i="32"/>
  <c r="E283" i="32"/>
  <c r="F283" i="32" s="1"/>
  <c r="N282" i="32"/>
  <c r="M282" i="32"/>
  <c r="L282" i="32"/>
  <c r="J282" i="32"/>
  <c r="I282" i="32"/>
  <c r="H282" i="32"/>
  <c r="G282" i="32"/>
  <c r="F282" i="32"/>
  <c r="N281" i="32"/>
  <c r="M281" i="32"/>
  <c r="L281" i="32"/>
  <c r="K281" i="32"/>
  <c r="I281" i="32"/>
  <c r="H281" i="32"/>
  <c r="G281" i="32"/>
  <c r="F281" i="32"/>
  <c r="N278" i="32"/>
  <c r="M278" i="32"/>
  <c r="K278" i="32"/>
  <c r="J278" i="32"/>
  <c r="I278" i="32"/>
  <c r="H278" i="32"/>
  <c r="F278" i="32"/>
  <c r="L278" i="32" s="1"/>
  <c r="N277" i="32"/>
  <c r="M277" i="32"/>
  <c r="L277" i="32"/>
  <c r="J277" i="32"/>
  <c r="I277" i="32"/>
  <c r="H277" i="32"/>
  <c r="F277" i="32"/>
  <c r="K277" i="32" s="1"/>
  <c r="N276" i="32"/>
  <c r="M276" i="32"/>
  <c r="L276" i="32"/>
  <c r="K276" i="32"/>
  <c r="J276" i="32"/>
  <c r="H276" i="32"/>
  <c r="G276" i="32"/>
  <c r="E276" i="32"/>
  <c r="F276" i="32" s="1"/>
  <c r="N275" i="32"/>
  <c r="M275" i="32"/>
  <c r="L275" i="32"/>
  <c r="K275" i="32"/>
  <c r="J275" i="32"/>
  <c r="H275" i="32"/>
  <c r="G275" i="32"/>
  <c r="E275" i="32"/>
  <c r="F275" i="32" s="1"/>
  <c r="N274" i="32"/>
  <c r="M274" i="32"/>
  <c r="L274" i="32"/>
  <c r="J274" i="32"/>
  <c r="I274" i="32"/>
  <c r="H274" i="32"/>
  <c r="G274" i="32"/>
  <c r="F274" i="32"/>
  <c r="N273" i="32"/>
  <c r="M273" i="32"/>
  <c r="L273" i="32"/>
  <c r="K273" i="32"/>
  <c r="I273" i="32"/>
  <c r="H273" i="32"/>
  <c r="G273" i="32"/>
  <c r="F273" i="32"/>
  <c r="N270" i="32"/>
  <c r="M270" i="32"/>
  <c r="K270" i="32"/>
  <c r="I270" i="32"/>
  <c r="H270" i="32"/>
  <c r="F270" i="32"/>
  <c r="L270" i="32" s="1"/>
  <c r="E267" i="32"/>
  <c r="F267" i="32" s="1"/>
  <c r="E266" i="32"/>
  <c r="F266" i="32" s="1"/>
  <c r="G267" i="32"/>
  <c r="G266" i="32"/>
  <c r="G265" i="32"/>
  <c r="G264" i="32"/>
  <c r="N269" i="32"/>
  <c r="M269" i="32"/>
  <c r="K269" i="32"/>
  <c r="J269" i="32"/>
  <c r="I269" i="32"/>
  <c r="H269" i="32"/>
  <c r="F269" i="32"/>
  <c r="L269" i="32" s="1"/>
  <c r="N268" i="32"/>
  <c r="M268" i="32"/>
  <c r="K268" i="32"/>
  <c r="J268" i="32"/>
  <c r="I268" i="32"/>
  <c r="H268" i="32"/>
  <c r="F268" i="32"/>
  <c r="L268" i="32" s="1"/>
  <c r="N267" i="32"/>
  <c r="M267" i="32"/>
  <c r="L267" i="32"/>
  <c r="K267" i="32"/>
  <c r="J267" i="32"/>
  <c r="H267" i="32"/>
  <c r="N266" i="32"/>
  <c r="M266" i="32"/>
  <c r="L266" i="32"/>
  <c r="K266" i="32"/>
  <c r="J266" i="32"/>
  <c r="H266" i="32"/>
  <c r="N265" i="32"/>
  <c r="M265" i="32"/>
  <c r="L265" i="32"/>
  <c r="J265" i="32"/>
  <c r="I265" i="32"/>
  <c r="H265" i="32"/>
  <c r="F265" i="32"/>
  <c r="N264" i="32"/>
  <c r="M264" i="32"/>
  <c r="L264" i="32"/>
  <c r="K264" i="32"/>
  <c r="I264" i="32"/>
  <c r="H264" i="32"/>
  <c r="F264" i="32"/>
  <c r="N261" i="32"/>
  <c r="M261" i="32"/>
  <c r="J261" i="32"/>
  <c r="I261" i="32"/>
  <c r="H261" i="32"/>
  <c r="F261" i="32"/>
  <c r="K261" i="32" s="1"/>
  <c r="G257" i="32"/>
  <c r="G256" i="32"/>
  <c r="N260" i="32"/>
  <c r="M260" i="32"/>
  <c r="L260" i="32"/>
  <c r="J260" i="32"/>
  <c r="I260" i="32"/>
  <c r="H260" i="32"/>
  <c r="F260" i="32"/>
  <c r="K260" i="32" s="1"/>
  <c r="N259" i="32"/>
  <c r="M259" i="32"/>
  <c r="L259" i="32"/>
  <c r="K259" i="32"/>
  <c r="J259" i="32"/>
  <c r="H259" i="32"/>
  <c r="G259" i="32"/>
  <c r="E259" i="32"/>
  <c r="F259" i="32" s="1"/>
  <c r="N258" i="32"/>
  <c r="M258" i="32"/>
  <c r="L258" i="32"/>
  <c r="K258" i="32"/>
  <c r="J258" i="32"/>
  <c r="H258" i="32"/>
  <c r="G258" i="32"/>
  <c r="E258" i="32"/>
  <c r="F258" i="32" s="1"/>
  <c r="N257" i="32"/>
  <c r="M257" i="32"/>
  <c r="L257" i="32"/>
  <c r="J257" i="32"/>
  <c r="I257" i="32"/>
  <c r="H257" i="32"/>
  <c r="F257" i="32"/>
  <c r="N256" i="32"/>
  <c r="M256" i="32"/>
  <c r="L256" i="32"/>
  <c r="K256" i="32"/>
  <c r="I256" i="32"/>
  <c r="H256" i="32"/>
  <c r="F256" i="32"/>
  <c r="N253" i="32"/>
  <c r="M253" i="32"/>
  <c r="L253" i="32"/>
  <c r="J253" i="32"/>
  <c r="I253" i="32"/>
  <c r="H253" i="32"/>
  <c r="F253" i="32"/>
  <c r="K253" i="32" s="1"/>
  <c r="N252" i="32"/>
  <c r="M252" i="32"/>
  <c r="L252" i="32"/>
  <c r="K252" i="32"/>
  <c r="J252" i="32"/>
  <c r="H252" i="32"/>
  <c r="G252" i="32"/>
  <c r="E252" i="32"/>
  <c r="F252" i="32" s="1"/>
  <c r="N251" i="32"/>
  <c r="M251" i="32"/>
  <c r="L251" i="32"/>
  <c r="K251" i="32"/>
  <c r="J251" i="32"/>
  <c r="H251" i="32"/>
  <c r="G251" i="32"/>
  <c r="E251" i="32"/>
  <c r="F251" i="32" s="1"/>
  <c r="N250" i="32"/>
  <c r="M250" i="32"/>
  <c r="L250" i="32"/>
  <c r="J250" i="32"/>
  <c r="I250" i="32"/>
  <c r="H250" i="32"/>
  <c r="G250" i="32"/>
  <c r="F250" i="32"/>
  <c r="N249" i="32"/>
  <c r="M249" i="32"/>
  <c r="L249" i="32"/>
  <c r="K249" i="32"/>
  <c r="I249" i="32"/>
  <c r="H249" i="32"/>
  <c r="G249" i="32"/>
  <c r="F249" i="32"/>
  <c r="L246" i="32"/>
  <c r="J246" i="32"/>
  <c r="I246" i="32"/>
  <c r="H246" i="32"/>
  <c r="F246" i="32"/>
  <c r="K246" i="32" s="1"/>
  <c r="N245" i="32"/>
  <c r="M245" i="32"/>
  <c r="K245" i="32"/>
  <c r="J245" i="32"/>
  <c r="I245" i="32"/>
  <c r="H245" i="32"/>
  <c r="F245" i="32"/>
  <c r="L245" i="32" s="1"/>
  <c r="N244" i="32"/>
  <c r="M244" i="32"/>
  <c r="K244" i="32"/>
  <c r="J244" i="32"/>
  <c r="I244" i="32"/>
  <c r="H244" i="32"/>
  <c r="F244" i="32"/>
  <c r="L244" i="32" s="1"/>
  <c r="N243" i="32"/>
  <c r="M243" i="32"/>
  <c r="L243" i="32"/>
  <c r="K243" i="32"/>
  <c r="J243" i="32"/>
  <c r="H243" i="32"/>
  <c r="G243" i="32"/>
  <c r="E243" i="32"/>
  <c r="F243" i="32" s="1"/>
  <c r="N242" i="32"/>
  <c r="M242" i="32"/>
  <c r="L242" i="32"/>
  <c r="K242" i="32"/>
  <c r="J242" i="32"/>
  <c r="H242" i="32"/>
  <c r="G242" i="32"/>
  <c r="E242" i="32"/>
  <c r="F242" i="32" s="1"/>
  <c r="N241" i="32"/>
  <c r="M241" i="32"/>
  <c r="L241" i="32"/>
  <c r="K241" i="32"/>
  <c r="I241" i="32"/>
  <c r="H241" i="32"/>
  <c r="G241" i="32"/>
  <c r="F241" i="32"/>
  <c r="N240" i="32"/>
  <c r="M240" i="32"/>
  <c r="K240" i="32"/>
  <c r="J240" i="32"/>
  <c r="I240" i="32"/>
  <c r="H240" i="32"/>
  <c r="G240" i="32"/>
  <c r="F240" i="32"/>
  <c r="N239" i="32"/>
  <c r="M239" i="32"/>
  <c r="L239" i="32"/>
  <c r="J239" i="32"/>
  <c r="I239" i="32"/>
  <c r="H239" i="32"/>
  <c r="G239" i="32"/>
  <c r="F239" i="32"/>
  <c r="E233" i="32"/>
  <c r="F233" i="32" s="1"/>
  <c r="E232" i="32"/>
  <c r="F232" i="32" s="1"/>
  <c r="G231" i="32"/>
  <c r="G230" i="32"/>
  <c r="N235" i="32"/>
  <c r="M235" i="32"/>
  <c r="J235" i="32"/>
  <c r="I235" i="32"/>
  <c r="H235" i="32"/>
  <c r="F235" i="32"/>
  <c r="L235" i="32" s="1"/>
  <c r="N234" i="32"/>
  <c r="M234" i="32"/>
  <c r="K234" i="32"/>
  <c r="J234" i="32"/>
  <c r="I234" i="32"/>
  <c r="H234" i="32"/>
  <c r="F234" i="32"/>
  <c r="L234" i="32" s="1"/>
  <c r="N233" i="32"/>
  <c r="M233" i="32"/>
  <c r="L233" i="32"/>
  <c r="K233" i="32"/>
  <c r="J233" i="32"/>
  <c r="H233" i="32"/>
  <c r="G233" i="32"/>
  <c r="N232" i="32"/>
  <c r="M232" i="32"/>
  <c r="L232" i="32"/>
  <c r="K232" i="32"/>
  <c r="J232" i="32"/>
  <c r="H232" i="32"/>
  <c r="G232" i="32"/>
  <c r="N231" i="32"/>
  <c r="M231" i="32"/>
  <c r="K231" i="32"/>
  <c r="J231" i="32"/>
  <c r="I231" i="32"/>
  <c r="H231" i="32"/>
  <c r="F231" i="32"/>
  <c r="N230" i="32"/>
  <c r="M230" i="32"/>
  <c r="L230" i="32"/>
  <c r="K230" i="32"/>
  <c r="I230" i="32"/>
  <c r="H230" i="32"/>
  <c r="F230" i="32"/>
  <c r="G225" i="32"/>
  <c r="G224" i="32"/>
  <c r="E225" i="32"/>
  <c r="F225" i="32" s="1"/>
  <c r="E224" i="32"/>
  <c r="F224" i="32" s="1"/>
  <c r="G223" i="32"/>
  <c r="G222" i="32"/>
  <c r="N227" i="32"/>
  <c r="M227" i="32"/>
  <c r="J227" i="32"/>
  <c r="I227" i="32"/>
  <c r="H227" i="32"/>
  <c r="F227" i="32"/>
  <c r="K227" i="32" s="1"/>
  <c r="N226" i="32"/>
  <c r="M226" i="32"/>
  <c r="J226" i="32"/>
  <c r="I226" i="32"/>
  <c r="H226" i="32"/>
  <c r="F226" i="32"/>
  <c r="K226" i="32" s="1"/>
  <c r="N225" i="32"/>
  <c r="M225" i="32"/>
  <c r="L225" i="32"/>
  <c r="K225" i="32"/>
  <c r="J225" i="32"/>
  <c r="H225" i="32"/>
  <c r="N224" i="32"/>
  <c r="M224" i="32"/>
  <c r="L224" i="32"/>
  <c r="K224" i="32"/>
  <c r="J224" i="32"/>
  <c r="H224" i="32"/>
  <c r="N223" i="32"/>
  <c r="M223" i="32"/>
  <c r="K223" i="32"/>
  <c r="J223" i="32"/>
  <c r="I223" i="32"/>
  <c r="H223" i="32"/>
  <c r="F223" i="32"/>
  <c r="N222" i="32"/>
  <c r="M222" i="32"/>
  <c r="L222" i="32"/>
  <c r="K222" i="32"/>
  <c r="I222" i="32"/>
  <c r="H222" i="32"/>
  <c r="F222" i="32"/>
  <c r="J214" i="32"/>
  <c r="J215" i="32"/>
  <c r="J216" i="32"/>
  <c r="J217" i="32"/>
  <c r="J218" i="32"/>
  <c r="F219" i="32"/>
  <c r="J219" i="32" s="1"/>
  <c r="E216" i="32"/>
  <c r="F216" i="32" s="1"/>
  <c r="E215" i="32"/>
  <c r="F215" i="32" s="1"/>
  <c r="G214" i="32"/>
  <c r="G213" i="32"/>
  <c r="N218" i="32"/>
  <c r="M218" i="32"/>
  <c r="L218" i="32"/>
  <c r="I218" i="32"/>
  <c r="H218" i="32"/>
  <c r="F218" i="32"/>
  <c r="K218" i="32" s="1"/>
  <c r="N217" i="32"/>
  <c r="M217" i="32"/>
  <c r="L217" i="32"/>
  <c r="I217" i="32"/>
  <c r="H217" i="32"/>
  <c r="F217" i="32"/>
  <c r="K217" i="32" s="1"/>
  <c r="N216" i="32"/>
  <c r="M216" i="32"/>
  <c r="L216" i="32"/>
  <c r="K216" i="32"/>
  <c r="H216" i="32"/>
  <c r="G216" i="32"/>
  <c r="N215" i="32"/>
  <c r="M215" i="32"/>
  <c r="L215" i="32"/>
  <c r="K215" i="32"/>
  <c r="H215" i="32"/>
  <c r="G215" i="32"/>
  <c r="N214" i="32"/>
  <c r="M214" i="32"/>
  <c r="K214" i="32"/>
  <c r="I214" i="32"/>
  <c r="H214" i="32"/>
  <c r="F214" i="32"/>
  <c r="N213" i="32"/>
  <c r="M213" i="32"/>
  <c r="L213" i="32"/>
  <c r="K213" i="32"/>
  <c r="I213" i="32"/>
  <c r="H213" i="32"/>
  <c r="F213" i="32"/>
  <c r="N210" i="32"/>
  <c r="M210" i="32"/>
  <c r="L210" i="32"/>
  <c r="J210" i="32"/>
  <c r="I210" i="32"/>
  <c r="H210" i="32"/>
  <c r="F210" i="32"/>
  <c r="K210" i="32" s="1"/>
  <c r="N209" i="32"/>
  <c r="M209" i="32"/>
  <c r="L209" i="32"/>
  <c r="J209" i="32"/>
  <c r="I209" i="32"/>
  <c r="H209" i="32"/>
  <c r="F209" i="32"/>
  <c r="K209" i="32" s="1"/>
  <c r="N208" i="32"/>
  <c r="M208" i="32"/>
  <c r="L208" i="32"/>
  <c r="K208" i="32"/>
  <c r="J208" i="32"/>
  <c r="H208" i="32"/>
  <c r="G208" i="32"/>
  <c r="E208" i="32"/>
  <c r="F208" i="32" s="1"/>
  <c r="N207" i="32"/>
  <c r="M207" i="32"/>
  <c r="L207" i="32"/>
  <c r="K207" i="32"/>
  <c r="J207" i="32"/>
  <c r="H207" i="32"/>
  <c r="G207" i="32"/>
  <c r="E207" i="32"/>
  <c r="F207" i="32" s="1"/>
  <c r="N206" i="32"/>
  <c r="M206" i="32"/>
  <c r="K206" i="32"/>
  <c r="J206" i="32"/>
  <c r="I206" i="32"/>
  <c r="H206" i="32"/>
  <c r="G206" i="32"/>
  <c r="F206" i="32"/>
  <c r="N205" i="32"/>
  <c r="M205" i="32"/>
  <c r="L205" i="32"/>
  <c r="K205" i="32"/>
  <c r="I205" i="32"/>
  <c r="H205" i="32"/>
  <c r="G205" i="32"/>
  <c r="F205" i="32"/>
  <c r="E200" i="32"/>
  <c r="F200" i="32" s="1"/>
  <c r="E199" i="32"/>
  <c r="F199" i="32" s="1"/>
  <c r="G198" i="32"/>
  <c r="G197" i="32"/>
  <c r="N202" i="32"/>
  <c r="M202" i="32"/>
  <c r="L202" i="32"/>
  <c r="J202" i="32"/>
  <c r="I202" i="32"/>
  <c r="H202" i="32"/>
  <c r="F202" i="32"/>
  <c r="K202" i="32" s="1"/>
  <c r="N201" i="32"/>
  <c r="M201" i="32"/>
  <c r="L201" i="32"/>
  <c r="J201" i="32"/>
  <c r="I201" i="32"/>
  <c r="H201" i="32"/>
  <c r="F201" i="32"/>
  <c r="K201" i="32" s="1"/>
  <c r="N200" i="32"/>
  <c r="M200" i="32"/>
  <c r="L200" i="32"/>
  <c r="K200" i="32"/>
  <c r="J200" i="32"/>
  <c r="H200" i="32"/>
  <c r="G200" i="32"/>
  <c r="N199" i="32"/>
  <c r="M199" i="32"/>
  <c r="L199" i="32"/>
  <c r="K199" i="32"/>
  <c r="J199" i="32"/>
  <c r="H199" i="32"/>
  <c r="G199" i="32"/>
  <c r="N198" i="32"/>
  <c r="M198" i="32"/>
  <c r="K198" i="32"/>
  <c r="J198" i="32"/>
  <c r="I198" i="32"/>
  <c r="H198" i="32"/>
  <c r="F198" i="32"/>
  <c r="N197" i="32"/>
  <c r="M197" i="32"/>
  <c r="L197" i="32"/>
  <c r="K197" i="32"/>
  <c r="I197" i="32"/>
  <c r="H197" i="32"/>
  <c r="F197" i="32"/>
  <c r="E192" i="32"/>
  <c r="F192" i="32" s="1"/>
  <c r="E191" i="32"/>
  <c r="F191" i="32" s="1"/>
  <c r="G190" i="32"/>
  <c r="G189" i="32"/>
  <c r="N194" i="32"/>
  <c r="M194" i="32"/>
  <c r="J194" i="32"/>
  <c r="I194" i="32"/>
  <c r="H194" i="32"/>
  <c r="F194" i="32"/>
  <c r="L194" i="32" s="1"/>
  <c r="N193" i="32"/>
  <c r="M193" i="32"/>
  <c r="L193" i="32"/>
  <c r="J193" i="32"/>
  <c r="I193" i="32"/>
  <c r="H193" i="32"/>
  <c r="F193" i="32"/>
  <c r="K193" i="32" s="1"/>
  <c r="N192" i="32"/>
  <c r="M192" i="32"/>
  <c r="L192" i="32"/>
  <c r="K192" i="32"/>
  <c r="J192" i="32"/>
  <c r="H192" i="32"/>
  <c r="G192" i="32"/>
  <c r="N191" i="32"/>
  <c r="M191" i="32"/>
  <c r="L191" i="32"/>
  <c r="K191" i="32"/>
  <c r="J191" i="32"/>
  <c r="H191" i="32"/>
  <c r="G191" i="32"/>
  <c r="N190" i="32"/>
  <c r="M190" i="32"/>
  <c r="K190" i="32"/>
  <c r="J190" i="32"/>
  <c r="I190" i="32"/>
  <c r="H190" i="32"/>
  <c r="F190" i="32"/>
  <c r="N189" i="32"/>
  <c r="M189" i="32"/>
  <c r="L189" i="32"/>
  <c r="K189" i="32"/>
  <c r="I189" i="32"/>
  <c r="H189" i="32"/>
  <c r="F189" i="32"/>
  <c r="N186" i="32"/>
  <c r="M186" i="32"/>
  <c r="K186" i="32"/>
  <c r="J186" i="32"/>
  <c r="I186" i="32"/>
  <c r="H186" i="32"/>
  <c r="F186" i="32"/>
  <c r="L186" i="32" s="1"/>
  <c r="N185" i="32"/>
  <c r="M185" i="32"/>
  <c r="L185" i="32"/>
  <c r="J185" i="32"/>
  <c r="I185" i="32"/>
  <c r="H185" i="32"/>
  <c r="F185" i="32"/>
  <c r="K185" i="32" s="1"/>
  <c r="N184" i="32"/>
  <c r="M184" i="32"/>
  <c r="L184" i="32"/>
  <c r="K184" i="32"/>
  <c r="J184" i="32"/>
  <c r="H184" i="32"/>
  <c r="G184" i="32"/>
  <c r="E184" i="32"/>
  <c r="F184" i="32" s="1"/>
  <c r="N183" i="32"/>
  <c r="M183" i="32"/>
  <c r="L183" i="32"/>
  <c r="K183" i="32"/>
  <c r="J183" i="32"/>
  <c r="H183" i="32"/>
  <c r="G183" i="32"/>
  <c r="E183" i="32"/>
  <c r="F183" i="32" s="1"/>
  <c r="N182" i="32"/>
  <c r="M182" i="32"/>
  <c r="K182" i="32"/>
  <c r="J182" i="32"/>
  <c r="I182" i="32"/>
  <c r="H182" i="32"/>
  <c r="G182" i="32"/>
  <c r="F182" i="32"/>
  <c r="N181" i="32"/>
  <c r="M181" i="32"/>
  <c r="L181" i="32"/>
  <c r="K181" i="32"/>
  <c r="I181" i="32"/>
  <c r="H181" i="32"/>
  <c r="G181" i="32"/>
  <c r="F181" i="32"/>
  <c r="G176" i="32"/>
  <c r="G175" i="32"/>
  <c r="E176" i="32"/>
  <c r="E175" i="32"/>
  <c r="F175" i="32" s="1"/>
  <c r="G174" i="32"/>
  <c r="G173" i="32"/>
  <c r="N178" i="32"/>
  <c r="M178" i="32"/>
  <c r="K178" i="32"/>
  <c r="J178" i="32"/>
  <c r="I178" i="32"/>
  <c r="H178" i="32"/>
  <c r="F178" i="32"/>
  <c r="L178" i="32" s="1"/>
  <c r="N177" i="32"/>
  <c r="M177" i="32"/>
  <c r="L177" i="32"/>
  <c r="J177" i="32"/>
  <c r="I177" i="32"/>
  <c r="H177" i="32"/>
  <c r="F177" i="32"/>
  <c r="K177" i="32" s="1"/>
  <c r="N176" i="32"/>
  <c r="M176" i="32"/>
  <c r="L176" i="32"/>
  <c r="K176" i="32"/>
  <c r="J176" i="32"/>
  <c r="H176" i="32"/>
  <c r="F176" i="32"/>
  <c r="N175" i="32"/>
  <c r="M175" i="32"/>
  <c r="L175" i="32"/>
  <c r="K175" i="32"/>
  <c r="J175" i="32"/>
  <c r="H175" i="32"/>
  <c r="N174" i="32"/>
  <c r="M174" i="32"/>
  <c r="J174" i="32"/>
  <c r="I174" i="32"/>
  <c r="H174" i="32"/>
  <c r="K174" i="32"/>
  <c r="F174" i="32"/>
  <c r="N173" i="32"/>
  <c r="M173" i="32"/>
  <c r="L173" i="32"/>
  <c r="K173" i="32"/>
  <c r="I173" i="32"/>
  <c r="H173" i="32"/>
  <c r="F173" i="32"/>
  <c r="H170" i="32"/>
  <c r="I170" i="32"/>
  <c r="J170" i="32"/>
  <c r="L170" i="32"/>
  <c r="M170" i="32"/>
  <c r="N170" i="32"/>
  <c r="F170" i="32"/>
  <c r="K170" i="32" s="1"/>
  <c r="G167" i="32"/>
  <c r="G166" i="32"/>
  <c r="E167" i="32"/>
  <c r="F167" i="32" s="1"/>
  <c r="E166" i="32"/>
  <c r="F166" i="32" s="1"/>
  <c r="G164" i="32"/>
  <c r="G163" i="32"/>
  <c r="N169" i="32"/>
  <c r="M169" i="32"/>
  <c r="K169" i="32"/>
  <c r="J169" i="32"/>
  <c r="I169" i="32"/>
  <c r="H169" i="32"/>
  <c r="F169" i="32"/>
  <c r="L169" i="32" s="1"/>
  <c r="N168" i="32"/>
  <c r="M168" i="32"/>
  <c r="L168" i="32"/>
  <c r="I168" i="32"/>
  <c r="H168" i="32"/>
  <c r="F168" i="32"/>
  <c r="J168" i="32" s="1"/>
  <c r="N167" i="32"/>
  <c r="M167" i="32"/>
  <c r="L167" i="32"/>
  <c r="K167" i="32"/>
  <c r="J167" i="32"/>
  <c r="H167" i="32"/>
  <c r="N166" i="32"/>
  <c r="M166" i="32"/>
  <c r="L166" i="32"/>
  <c r="K166" i="32"/>
  <c r="J166" i="32"/>
  <c r="H166" i="32"/>
  <c r="N165" i="32"/>
  <c r="M165" i="32"/>
  <c r="L165" i="32"/>
  <c r="I165" i="32"/>
  <c r="H165" i="32"/>
  <c r="F165" i="32"/>
  <c r="K165" i="32" s="1"/>
  <c r="N164" i="32"/>
  <c r="M164" i="32"/>
  <c r="L164" i="32"/>
  <c r="J164" i="32"/>
  <c r="I164" i="32"/>
  <c r="H164" i="32"/>
  <c r="F164" i="32"/>
  <c r="N163" i="32"/>
  <c r="M163" i="32"/>
  <c r="L163" i="32"/>
  <c r="K163" i="32"/>
  <c r="I163" i="32"/>
  <c r="H163" i="32"/>
  <c r="F163" i="32"/>
  <c r="N160" i="32"/>
  <c r="M160" i="32"/>
  <c r="K160" i="32"/>
  <c r="J160" i="32"/>
  <c r="I160" i="32"/>
  <c r="H160" i="32"/>
  <c r="F160" i="32"/>
  <c r="L160" i="32" s="1"/>
  <c r="N159" i="32"/>
  <c r="M159" i="32"/>
  <c r="L159" i="32"/>
  <c r="K159" i="32"/>
  <c r="I159" i="32"/>
  <c r="H159" i="32"/>
  <c r="F159" i="32"/>
  <c r="J159" i="32" s="1"/>
  <c r="N158" i="32"/>
  <c r="M158" i="32"/>
  <c r="L158" i="32"/>
  <c r="K158" i="32"/>
  <c r="J158" i="32"/>
  <c r="H158" i="32"/>
  <c r="G158" i="32"/>
  <c r="E158" i="32"/>
  <c r="F158" i="32" s="1"/>
  <c r="N157" i="32"/>
  <c r="M157" i="32"/>
  <c r="L157" i="32"/>
  <c r="K157" i="32"/>
  <c r="J157" i="32"/>
  <c r="H157" i="32"/>
  <c r="G157" i="32"/>
  <c r="E157" i="32"/>
  <c r="F157" i="32" s="1"/>
  <c r="N156" i="32"/>
  <c r="M156" i="32"/>
  <c r="L156" i="32"/>
  <c r="J156" i="32"/>
  <c r="I156" i="32"/>
  <c r="H156" i="32"/>
  <c r="F156" i="32"/>
  <c r="K156" i="32" s="1"/>
  <c r="N155" i="32"/>
  <c r="M155" i="32"/>
  <c r="L155" i="32"/>
  <c r="J155" i="32"/>
  <c r="I155" i="32"/>
  <c r="H155" i="32"/>
  <c r="G155" i="32"/>
  <c r="F155" i="32"/>
  <c r="N154" i="32"/>
  <c r="M154" i="32"/>
  <c r="L154" i="32"/>
  <c r="K154" i="32"/>
  <c r="I154" i="32"/>
  <c r="H154" i="32"/>
  <c r="G154" i="32"/>
  <c r="F154" i="32"/>
  <c r="N151" i="32"/>
  <c r="M151" i="32"/>
  <c r="K151" i="32"/>
  <c r="J151" i="32"/>
  <c r="I151" i="32"/>
  <c r="H151" i="32"/>
  <c r="F151" i="32"/>
  <c r="L151" i="32" s="1"/>
  <c r="N150" i="32"/>
  <c r="M150" i="32"/>
  <c r="L150" i="32"/>
  <c r="K150" i="32"/>
  <c r="I150" i="32"/>
  <c r="H150" i="32"/>
  <c r="F150" i="32"/>
  <c r="J150" i="32" s="1"/>
  <c r="N149" i="32"/>
  <c r="M149" i="32"/>
  <c r="L149" i="32"/>
  <c r="K149" i="32"/>
  <c r="J149" i="32"/>
  <c r="H149" i="32"/>
  <c r="G149" i="32"/>
  <c r="E149" i="32"/>
  <c r="F149" i="32" s="1"/>
  <c r="N148" i="32"/>
  <c r="M148" i="32"/>
  <c r="L148" i="32"/>
  <c r="K148" i="32"/>
  <c r="J148" i="32"/>
  <c r="H148" i="32"/>
  <c r="G148" i="32"/>
  <c r="E148" i="32"/>
  <c r="F148" i="32" s="1"/>
  <c r="N147" i="32"/>
  <c r="M147" i="32"/>
  <c r="L147" i="32"/>
  <c r="J147" i="32"/>
  <c r="I147" i="32"/>
  <c r="H147" i="32"/>
  <c r="F147" i="32"/>
  <c r="K147" i="32" s="1"/>
  <c r="N146" i="32"/>
  <c r="M146" i="32"/>
  <c r="L146" i="32"/>
  <c r="J146" i="32"/>
  <c r="I146" i="32"/>
  <c r="H146" i="32"/>
  <c r="G146" i="32"/>
  <c r="F146" i="32"/>
  <c r="N145" i="32"/>
  <c r="M145" i="32"/>
  <c r="L145" i="32"/>
  <c r="K145" i="32"/>
  <c r="I145" i="32"/>
  <c r="H145" i="32"/>
  <c r="G145" i="32"/>
  <c r="F145" i="32"/>
  <c r="N138" i="32"/>
  <c r="M138" i="32"/>
  <c r="L138" i="32"/>
  <c r="J138" i="32"/>
  <c r="I138" i="32"/>
  <c r="H138" i="32"/>
  <c r="F138" i="32"/>
  <c r="G140" i="32"/>
  <c r="G139" i="32"/>
  <c r="E140" i="32"/>
  <c r="F140" i="32" s="1"/>
  <c r="E139" i="32"/>
  <c r="F139" i="32" s="1"/>
  <c r="G137" i="32"/>
  <c r="G136" i="32"/>
  <c r="N142" i="32"/>
  <c r="M142" i="32"/>
  <c r="K142" i="32"/>
  <c r="J142" i="32"/>
  <c r="I142" i="32"/>
  <c r="H142" i="32"/>
  <c r="F142" i="32"/>
  <c r="L142" i="32" s="1"/>
  <c r="N141" i="32"/>
  <c r="M141" i="32"/>
  <c r="L141" i="32"/>
  <c r="I141" i="32"/>
  <c r="H141" i="32"/>
  <c r="F141" i="32"/>
  <c r="K141" i="32" s="1"/>
  <c r="N140" i="32"/>
  <c r="M140" i="32"/>
  <c r="L140" i="32"/>
  <c r="K140" i="32"/>
  <c r="J140" i="32"/>
  <c r="H140" i="32"/>
  <c r="N139" i="32"/>
  <c r="M139" i="32"/>
  <c r="L139" i="32"/>
  <c r="K139" i="32"/>
  <c r="J139" i="32"/>
  <c r="H139" i="32"/>
  <c r="N137" i="32"/>
  <c r="M137" i="32"/>
  <c r="J137" i="32"/>
  <c r="I137" i="32"/>
  <c r="H137" i="32"/>
  <c r="F137" i="32"/>
  <c r="L137" i="32" s="1"/>
  <c r="N136" i="32"/>
  <c r="M136" i="32"/>
  <c r="L136" i="32"/>
  <c r="K136" i="32"/>
  <c r="I136" i="32"/>
  <c r="H136" i="32"/>
  <c r="F136" i="32"/>
  <c r="G129" i="32"/>
  <c r="G121" i="32"/>
  <c r="N133" i="32"/>
  <c r="M133" i="32"/>
  <c r="K133" i="32"/>
  <c r="J133" i="32"/>
  <c r="I133" i="32"/>
  <c r="H133" i="32"/>
  <c r="F133" i="32"/>
  <c r="L133" i="32" s="1"/>
  <c r="N132" i="32"/>
  <c r="M132" i="32"/>
  <c r="L132" i="32"/>
  <c r="J132" i="32"/>
  <c r="I132" i="32"/>
  <c r="H132" i="32"/>
  <c r="F132" i="32"/>
  <c r="K132" i="32" s="1"/>
  <c r="N131" i="32"/>
  <c r="M131" i="32"/>
  <c r="L131" i="32"/>
  <c r="K131" i="32"/>
  <c r="J131" i="32"/>
  <c r="H131" i="32"/>
  <c r="G131" i="32"/>
  <c r="E131" i="32"/>
  <c r="F131" i="32" s="1"/>
  <c r="N130" i="32"/>
  <c r="M130" i="32"/>
  <c r="L130" i="32"/>
  <c r="K130" i="32"/>
  <c r="J130" i="32"/>
  <c r="H130" i="32"/>
  <c r="G130" i="32"/>
  <c r="E130" i="32"/>
  <c r="F130" i="32" s="1"/>
  <c r="N129" i="32"/>
  <c r="M129" i="32"/>
  <c r="K129" i="32"/>
  <c r="J129" i="32"/>
  <c r="I129" i="32"/>
  <c r="H129" i="32"/>
  <c r="F129" i="32"/>
  <c r="N128" i="32"/>
  <c r="M128" i="32"/>
  <c r="L128" i="32"/>
  <c r="K128" i="32"/>
  <c r="I128" i="32"/>
  <c r="H128" i="32"/>
  <c r="G128" i="32"/>
  <c r="F128" i="32"/>
  <c r="G123" i="32"/>
  <c r="G122" i="32"/>
  <c r="E123" i="32"/>
  <c r="F123" i="32" s="1"/>
  <c r="E122" i="32"/>
  <c r="F122" i="32" s="1"/>
  <c r="G120" i="32"/>
  <c r="N125" i="32"/>
  <c r="M125" i="32"/>
  <c r="K125" i="32"/>
  <c r="J125" i="32"/>
  <c r="I125" i="32"/>
  <c r="H125" i="32"/>
  <c r="F125" i="32"/>
  <c r="L125" i="32" s="1"/>
  <c r="N124" i="32"/>
  <c r="M124" i="32"/>
  <c r="L124" i="32"/>
  <c r="J124" i="32"/>
  <c r="I124" i="32"/>
  <c r="H124" i="32"/>
  <c r="F124" i="32"/>
  <c r="K124" i="32" s="1"/>
  <c r="N123" i="32"/>
  <c r="M123" i="32"/>
  <c r="L123" i="32"/>
  <c r="K123" i="32"/>
  <c r="J123" i="32"/>
  <c r="H123" i="32"/>
  <c r="N122" i="32"/>
  <c r="M122" i="32"/>
  <c r="L122" i="32"/>
  <c r="K122" i="32"/>
  <c r="J122" i="32"/>
  <c r="H122" i="32"/>
  <c r="N121" i="32"/>
  <c r="M121" i="32"/>
  <c r="J121" i="32"/>
  <c r="I121" i="32"/>
  <c r="H121" i="32"/>
  <c r="F121" i="32"/>
  <c r="K121" i="32" s="1"/>
  <c r="N120" i="32"/>
  <c r="M120" i="32"/>
  <c r="L120" i="32"/>
  <c r="K120" i="32"/>
  <c r="I120" i="32"/>
  <c r="H120" i="32"/>
  <c r="F120" i="32"/>
  <c r="N114" i="32"/>
  <c r="M114" i="32"/>
  <c r="L114" i="32"/>
  <c r="J114" i="32"/>
  <c r="I114" i="32"/>
  <c r="H114" i="32"/>
  <c r="F114" i="32"/>
  <c r="K114" i="32" s="1"/>
  <c r="E113" i="32"/>
  <c r="F113" i="32" s="1"/>
  <c r="E112" i="32"/>
  <c r="F112" i="32" s="1"/>
  <c r="G111" i="32"/>
  <c r="G110" i="32"/>
  <c r="G109" i="32"/>
  <c r="J117" i="32"/>
  <c r="F117" i="32"/>
  <c r="K117" i="32" s="1"/>
  <c r="L116" i="32"/>
  <c r="J116" i="32"/>
  <c r="I116" i="32"/>
  <c r="H116" i="32"/>
  <c r="F116" i="32"/>
  <c r="K116" i="32" s="1"/>
  <c r="N115" i="32"/>
  <c r="M115" i="32"/>
  <c r="K115" i="32"/>
  <c r="J115" i="32"/>
  <c r="I115" i="32"/>
  <c r="H115" i="32"/>
  <c r="F115" i="32"/>
  <c r="L115" i="32" s="1"/>
  <c r="N113" i="32"/>
  <c r="M113" i="32"/>
  <c r="L113" i="32"/>
  <c r="K113" i="32"/>
  <c r="J113" i="32"/>
  <c r="H113" i="32"/>
  <c r="G113" i="32"/>
  <c r="N112" i="32"/>
  <c r="M112" i="32"/>
  <c r="L112" i="32"/>
  <c r="K112" i="32"/>
  <c r="J112" i="32"/>
  <c r="H112" i="32"/>
  <c r="G112" i="32"/>
  <c r="N111" i="32"/>
  <c r="M111" i="32"/>
  <c r="L111" i="32"/>
  <c r="K111" i="32"/>
  <c r="I111" i="32"/>
  <c r="H111" i="32"/>
  <c r="F111" i="32"/>
  <c r="N110" i="32"/>
  <c r="M110" i="32"/>
  <c r="L110" i="32"/>
  <c r="J110" i="32"/>
  <c r="I110" i="32"/>
  <c r="H110" i="32"/>
  <c r="F110" i="32"/>
  <c r="N109" i="32"/>
  <c r="M109" i="32"/>
  <c r="L109" i="32"/>
  <c r="K109" i="32"/>
  <c r="I109" i="32"/>
  <c r="H109" i="32"/>
  <c r="F109" i="32"/>
  <c r="K411" i="32" l="1"/>
  <c r="M428" i="32"/>
  <c r="I589" i="32"/>
  <c r="L576" i="32"/>
  <c r="I579" i="32"/>
  <c r="K606" i="32"/>
  <c r="J585" i="32"/>
  <c r="I608" i="32"/>
  <c r="K611" i="32"/>
  <c r="J550" i="32"/>
  <c r="J605" i="32"/>
  <c r="K616" i="32"/>
  <c r="K596" i="32"/>
  <c r="I578" i="32"/>
  <c r="I599" i="32"/>
  <c r="K622" i="32"/>
  <c r="I561" i="32"/>
  <c r="I293" i="32"/>
  <c r="L544" i="32"/>
  <c r="I609" i="32"/>
  <c r="I538" i="32"/>
  <c r="I562" i="32"/>
  <c r="K575" i="32"/>
  <c r="I588" i="32"/>
  <c r="J595" i="32"/>
  <c r="K591" i="32"/>
  <c r="L560" i="32"/>
  <c r="K586" i="32"/>
  <c r="J615" i="32"/>
  <c r="I569" i="32"/>
  <c r="I570" i="32"/>
  <c r="L621" i="32"/>
  <c r="K566" i="32"/>
  <c r="L567" i="32"/>
  <c r="K592" i="32"/>
  <c r="I598" i="32"/>
  <c r="I618" i="32"/>
  <c r="I619" i="32"/>
  <c r="K483" i="32"/>
  <c r="I521" i="32"/>
  <c r="J501" i="32"/>
  <c r="K526" i="32"/>
  <c r="L527" i="32"/>
  <c r="J543" i="32"/>
  <c r="I552" i="32"/>
  <c r="I553" i="32"/>
  <c r="J556" i="32"/>
  <c r="K535" i="32"/>
  <c r="L536" i="32"/>
  <c r="K547" i="32"/>
  <c r="K551" i="32"/>
  <c r="J559" i="32"/>
  <c r="L555" i="32"/>
  <c r="M453" i="32"/>
  <c r="J491" i="32"/>
  <c r="L291" i="32"/>
  <c r="I484" i="32"/>
  <c r="J382" i="32"/>
  <c r="I456" i="32"/>
  <c r="K464" i="32"/>
  <c r="J482" i="32"/>
  <c r="I529" i="32"/>
  <c r="I530" i="32"/>
  <c r="I539" i="32"/>
  <c r="I545" i="32"/>
  <c r="I546" i="32"/>
  <c r="I495" i="32"/>
  <c r="J498" i="32"/>
  <c r="K519" i="32"/>
  <c r="L497" i="32"/>
  <c r="K502" i="32"/>
  <c r="J472" i="32"/>
  <c r="I520" i="32"/>
  <c r="I504" i="32"/>
  <c r="I505" i="32"/>
  <c r="K517" i="32"/>
  <c r="I494" i="32"/>
  <c r="I485" i="32"/>
  <c r="I421" i="32"/>
  <c r="I422" i="32"/>
  <c r="K439" i="32"/>
  <c r="J469" i="32"/>
  <c r="I475" i="32"/>
  <c r="K492" i="32"/>
  <c r="K479" i="32"/>
  <c r="K383" i="32"/>
  <c r="I457" i="32"/>
  <c r="I476" i="32"/>
  <c r="K477" i="32"/>
  <c r="J410" i="32"/>
  <c r="J463" i="32"/>
  <c r="L373" i="32"/>
  <c r="I465" i="32"/>
  <c r="I466" i="32"/>
  <c r="I394" i="32"/>
  <c r="K454" i="32"/>
  <c r="J256" i="32"/>
  <c r="I403" i="32"/>
  <c r="K429" i="32"/>
  <c r="J438" i="32"/>
  <c r="M419" i="32"/>
  <c r="I441" i="32"/>
  <c r="I440" i="32"/>
  <c r="I431" i="32"/>
  <c r="I266" i="32"/>
  <c r="I413" i="32"/>
  <c r="L240" i="32"/>
  <c r="I432" i="32"/>
  <c r="J407" i="32"/>
  <c r="K418" i="32"/>
  <c r="K239" i="32"/>
  <c r="L309" i="32"/>
  <c r="I357" i="32"/>
  <c r="I376" i="32"/>
  <c r="K402" i="32"/>
  <c r="J230" i="32"/>
  <c r="I330" i="32"/>
  <c r="I346" i="32"/>
  <c r="I367" i="32"/>
  <c r="I368" i="32"/>
  <c r="I377" i="32"/>
  <c r="I404" i="32"/>
  <c r="I412" i="32"/>
  <c r="I385" i="32"/>
  <c r="J343" i="32"/>
  <c r="M392" i="32"/>
  <c r="I232" i="32"/>
  <c r="K257" i="32"/>
  <c r="I267" i="32"/>
  <c r="I347" i="32"/>
  <c r="I358" i="32"/>
  <c r="I233" i="32"/>
  <c r="L364" i="32"/>
  <c r="I395" i="32"/>
  <c r="L223" i="32"/>
  <c r="I386" i="32"/>
  <c r="J401" i="32"/>
  <c r="J120" i="32"/>
  <c r="J197" i="32"/>
  <c r="L214" i="32"/>
  <c r="K265" i="32"/>
  <c r="L299" i="32"/>
  <c r="L231" i="32"/>
  <c r="J290" i="32"/>
  <c r="K317" i="32"/>
  <c r="I329" i="32"/>
  <c r="K391" i="32"/>
  <c r="L326" i="32"/>
  <c r="K282" i="32"/>
  <c r="K374" i="32"/>
  <c r="K250" i="32"/>
  <c r="I311" i="32"/>
  <c r="L318" i="32"/>
  <c r="K355" i="32"/>
  <c r="K361" i="32"/>
  <c r="J136" i="32"/>
  <c r="I258" i="32"/>
  <c r="I259" i="32"/>
  <c r="K328" i="32"/>
  <c r="K344" i="32"/>
  <c r="L354" i="32"/>
  <c r="J111" i="32"/>
  <c r="J163" i="32"/>
  <c r="J273" i="32"/>
  <c r="I275" i="32"/>
  <c r="I276" i="32"/>
  <c r="L298" i="32"/>
  <c r="I302" i="32"/>
  <c r="K314" i="32"/>
  <c r="I320" i="32"/>
  <c r="I321" i="32"/>
  <c r="J335" i="32"/>
  <c r="L336" i="32"/>
  <c r="I337" i="32"/>
  <c r="I338" i="32"/>
  <c r="K365" i="32"/>
  <c r="J345" i="32"/>
  <c r="M331" i="32"/>
  <c r="N327" i="32"/>
  <c r="L174" i="32"/>
  <c r="I175" i="32"/>
  <c r="I199" i="32"/>
  <c r="J264" i="32"/>
  <c r="K274" i="32"/>
  <c r="K308" i="32"/>
  <c r="L305" i="32"/>
  <c r="I176" i="32"/>
  <c r="J249" i="32"/>
  <c r="I251" i="32"/>
  <c r="I252" i="32"/>
  <c r="J281" i="32"/>
  <c r="I283" i="32"/>
  <c r="I284" i="32"/>
  <c r="I292" i="32"/>
  <c r="K300" i="32"/>
  <c r="I301" i="32"/>
  <c r="J310" i="32"/>
  <c r="J189" i="32"/>
  <c r="I192" i="32"/>
  <c r="L198" i="32"/>
  <c r="K235" i="32"/>
  <c r="J241" i="32"/>
  <c r="I242" i="32"/>
  <c r="I243" i="32"/>
  <c r="I312" i="32"/>
  <c r="J270" i="32"/>
  <c r="L261" i="32"/>
  <c r="I216" i="32"/>
  <c r="L227" i="32"/>
  <c r="K155" i="32"/>
  <c r="K194" i="32"/>
  <c r="J205" i="32"/>
  <c r="L206" i="32"/>
  <c r="I207" i="32"/>
  <c r="I208" i="32"/>
  <c r="I215" i="32"/>
  <c r="I224" i="32"/>
  <c r="I225" i="32"/>
  <c r="L226" i="32"/>
  <c r="J181" i="32"/>
  <c r="L182" i="32"/>
  <c r="I183" i="32"/>
  <c r="I184" i="32"/>
  <c r="I191" i="32"/>
  <c r="I200" i="32"/>
  <c r="J222" i="32"/>
  <c r="J213" i="32"/>
  <c r="L190" i="32"/>
  <c r="K164" i="32"/>
  <c r="I166" i="32"/>
  <c r="K110" i="32"/>
  <c r="I167" i="32"/>
  <c r="I130" i="32"/>
  <c r="I131" i="32"/>
  <c r="I148" i="32"/>
  <c r="I149" i="32"/>
  <c r="I139" i="32"/>
  <c r="K146" i="32"/>
  <c r="J141" i="32"/>
  <c r="J145" i="32"/>
  <c r="I157" i="32"/>
  <c r="I158" i="32"/>
  <c r="J165" i="32"/>
  <c r="J154" i="32"/>
  <c r="K168" i="32"/>
  <c r="J173" i="32"/>
  <c r="J109" i="32"/>
  <c r="J128" i="32"/>
  <c r="K137" i="32"/>
  <c r="I140" i="32"/>
  <c r="K138" i="32"/>
  <c r="L129" i="32"/>
  <c r="L121" i="32"/>
  <c r="I123" i="32"/>
  <c r="I122" i="32"/>
  <c r="I112" i="32"/>
  <c r="I113" i="32"/>
  <c r="F106" i="32"/>
  <c r="J106" i="32" s="1"/>
  <c r="E103" i="32"/>
  <c r="F103" i="32" s="1"/>
  <c r="E102" i="32"/>
  <c r="F102" i="32" s="1"/>
  <c r="G101" i="32"/>
  <c r="G100" i="32"/>
  <c r="G99" i="32"/>
  <c r="K105" i="32"/>
  <c r="I105" i="32"/>
  <c r="H105" i="32"/>
  <c r="F105" i="32"/>
  <c r="L105" i="32" s="1"/>
  <c r="N104" i="32"/>
  <c r="M104" i="32"/>
  <c r="K104" i="32"/>
  <c r="J104" i="32"/>
  <c r="I104" i="32"/>
  <c r="H104" i="32"/>
  <c r="F104" i="32"/>
  <c r="L104" i="32" s="1"/>
  <c r="N103" i="32"/>
  <c r="M103" i="32"/>
  <c r="L103" i="32"/>
  <c r="K103" i="32"/>
  <c r="J103" i="32"/>
  <c r="H103" i="32"/>
  <c r="G103" i="32"/>
  <c r="N102" i="32"/>
  <c r="M102" i="32"/>
  <c r="L102" i="32"/>
  <c r="K102" i="32"/>
  <c r="J102" i="32"/>
  <c r="H102" i="32"/>
  <c r="G102" i="32"/>
  <c r="N101" i="32"/>
  <c r="M101" i="32"/>
  <c r="L101" i="32"/>
  <c r="K101" i="32"/>
  <c r="I101" i="32"/>
  <c r="H101" i="32"/>
  <c r="F101" i="32"/>
  <c r="N100" i="32"/>
  <c r="M100" i="32"/>
  <c r="J100" i="32"/>
  <c r="I100" i="32"/>
  <c r="H100" i="32"/>
  <c r="F100" i="32"/>
  <c r="L100" i="32" s="1"/>
  <c r="N99" i="32"/>
  <c r="M99" i="32"/>
  <c r="L99" i="32"/>
  <c r="K99" i="32"/>
  <c r="I99" i="32"/>
  <c r="H99" i="32"/>
  <c r="F99" i="32"/>
  <c r="G92" i="32"/>
  <c r="N92" i="32"/>
  <c r="M92" i="32"/>
  <c r="L92" i="32"/>
  <c r="K92" i="32"/>
  <c r="I92" i="32"/>
  <c r="H92" i="32"/>
  <c r="F92" i="32"/>
  <c r="E94" i="32"/>
  <c r="E93" i="32"/>
  <c r="F93" i="32" s="1"/>
  <c r="G91" i="32"/>
  <c r="G81" i="32"/>
  <c r="G90" i="32"/>
  <c r="K96" i="32"/>
  <c r="J96" i="32"/>
  <c r="I96" i="32"/>
  <c r="H96" i="32"/>
  <c r="F96" i="32"/>
  <c r="L96" i="32" s="1"/>
  <c r="N95" i="32"/>
  <c r="M95" i="32"/>
  <c r="K95" i="32"/>
  <c r="J95" i="32"/>
  <c r="I95" i="32"/>
  <c r="H95" i="32"/>
  <c r="F95" i="32"/>
  <c r="L95" i="32" s="1"/>
  <c r="N94" i="32"/>
  <c r="M94" i="32"/>
  <c r="L94" i="32"/>
  <c r="K94" i="32"/>
  <c r="J94" i="32"/>
  <c r="H94" i="32"/>
  <c r="G94" i="32"/>
  <c r="F94" i="32"/>
  <c r="N93" i="32"/>
  <c r="M93" i="32"/>
  <c r="L93" i="32"/>
  <c r="K93" i="32"/>
  <c r="J93" i="32"/>
  <c r="H93" i="32"/>
  <c r="G93" i="32"/>
  <c r="N91" i="32"/>
  <c r="M91" i="32"/>
  <c r="K91" i="32"/>
  <c r="J91" i="32"/>
  <c r="I91" i="32"/>
  <c r="H91" i="32"/>
  <c r="F91" i="32"/>
  <c r="N90" i="32"/>
  <c r="M90" i="32"/>
  <c r="L90" i="32"/>
  <c r="K90" i="32"/>
  <c r="I90" i="32"/>
  <c r="H90" i="32"/>
  <c r="F90" i="32"/>
  <c r="G84" i="32"/>
  <c r="G83" i="32"/>
  <c r="E84" i="32"/>
  <c r="F84" i="32" s="1"/>
  <c r="E83" i="32"/>
  <c r="F83" i="32" s="1"/>
  <c r="G82" i="32"/>
  <c r="J87" i="32"/>
  <c r="I87" i="32"/>
  <c r="H87" i="32"/>
  <c r="F87" i="32"/>
  <c r="K87" i="32" s="1"/>
  <c r="N86" i="32"/>
  <c r="M86" i="32"/>
  <c r="K86" i="32"/>
  <c r="J86" i="32"/>
  <c r="I86" i="32"/>
  <c r="H86" i="32"/>
  <c r="F86" i="32"/>
  <c r="L86" i="32" s="1"/>
  <c r="N85" i="32"/>
  <c r="M85" i="32"/>
  <c r="J85" i="32"/>
  <c r="I85" i="32"/>
  <c r="H85" i="32"/>
  <c r="F85" i="32"/>
  <c r="L85" i="32" s="1"/>
  <c r="N84" i="32"/>
  <c r="M84" i="32"/>
  <c r="L84" i="32"/>
  <c r="K84" i="32"/>
  <c r="J84" i="32"/>
  <c r="H84" i="32"/>
  <c r="N83" i="32"/>
  <c r="M83" i="32"/>
  <c r="L83" i="32"/>
  <c r="K83" i="32"/>
  <c r="J83" i="32"/>
  <c r="H83" i="32"/>
  <c r="N82" i="32"/>
  <c r="M82" i="32"/>
  <c r="K82" i="32"/>
  <c r="J82" i="32"/>
  <c r="I82" i="32"/>
  <c r="H82" i="32"/>
  <c r="F82" i="32"/>
  <c r="N81" i="32"/>
  <c r="M81" i="32"/>
  <c r="L81" i="32"/>
  <c r="I81" i="32"/>
  <c r="H81" i="32"/>
  <c r="K81" i="32"/>
  <c r="F81" i="32"/>
  <c r="N78" i="32"/>
  <c r="M78" i="32"/>
  <c r="L78" i="32"/>
  <c r="J78" i="32"/>
  <c r="I78" i="32"/>
  <c r="H78" i="32"/>
  <c r="F78" i="32"/>
  <c r="K78" i="32" s="1"/>
  <c r="N77" i="32"/>
  <c r="M77" i="32"/>
  <c r="L77" i="32"/>
  <c r="K77" i="32"/>
  <c r="J77" i="32"/>
  <c r="H77" i="32"/>
  <c r="G77" i="32"/>
  <c r="E77" i="32"/>
  <c r="F77" i="32" s="1"/>
  <c r="N76" i="32"/>
  <c r="M76" i="32"/>
  <c r="L76" i="32"/>
  <c r="K76" i="32"/>
  <c r="J76" i="32"/>
  <c r="H76" i="32"/>
  <c r="G76" i="32"/>
  <c r="E76" i="32"/>
  <c r="F76" i="32" s="1"/>
  <c r="N75" i="32"/>
  <c r="M75" i="32"/>
  <c r="L75" i="32"/>
  <c r="J75" i="32"/>
  <c r="I75" i="32"/>
  <c r="H75" i="32"/>
  <c r="G75" i="32"/>
  <c r="F75" i="32"/>
  <c r="N74" i="32"/>
  <c r="M74" i="32"/>
  <c r="L74" i="32"/>
  <c r="K74" i="32"/>
  <c r="I74" i="32"/>
  <c r="H74" i="32"/>
  <c r="G74" i="32"/>
  <c r="F74" i="32"/>
  <c r="L71" i="32"/>
  <c r="J71" i="32"/>
  <c r="I71" i="32"/>
  <c r="H71" i="32"/>
  <c r="F71" i="32"/>
  <c r="K71" i="32" s="1"/>
  <c r="N70" i="32"/>
  <c r="M70" i="32"/>
  <c r="K70" i="32"/>
  <c r="J70" i="32"/>
  <c r="I70" i="32"/>
  <c r="H70" i="32"/>
  <c r="F70" i="32"/>
  <c r="L70" i="32" s="1"/>
  <c r="N69" i="32"/>
  <c r="M69" i="32"/>
  <c r="K69" i="32"/>
  <c r="J69" i="32"/>
  <c r="I69" i="32"/>
  <c r="H69" i="32"/>
  <c r="F69" i="32"/>
  <c r="L69" i="32" s="1"/>
  <c r="N68" i="32"/>
  <c r="M68" i="32"/>
  <c r="L68" i="32"/>
  <c r="K68" i="32"/>
  <c r="J68" i="32"/>
  <c r="H68" i="32"/>
  <c r="G68" i="32"/>
  <c r="E68" i="32"/>
  <c r="F68" i="32" s="1"/>
  <c r="N67" i="32"/>
  <c r="M67" i="32"/>
  <c r="L67" i="32"/>
  <c r="K67" i="32"/>
  <c r="J67" i="32"/>
  <c r="H67" i="32"/>
  <c r="G67" i="32"/>
  <c r="E67" i="32"/>
  <c r="F67" i="32" s="1"/>
  <c r="N66" i="32"/>
  <c r="M66" i="32"/>
  <c r="L66" i="32"/>
  <c r="K66" i="32"/>
  <c r="I66" i="32"/>
  <c r="H66" i="32"/>
  <c r="G66" i="32"/>
  <c r="F66" i="32"/>
  <c r="N65" i="32"/>
  <c r="M65" i="32"/>
  <c r="K65" i="32"/>
  <c r="J65" i="32"/>
  <c r="I65" i="32"/>
  <c r="H65" i="32"/>
  <c r="G65" i="32"/>
  <c r="F65" i="32"/>
  <c r="N64" i="32"/>
  <c r="M64" i="32"/>
  <c r="L64" i="32"/>
  <c r="J64" i="32"/>
  <c r="I64" i="32"/>
  <c r="H64" i="32"/>
  <c r="G64" i="32"/>
  <c r="F64" i="32"/>
  <c r="L55" i="32"/>
  <c r="J55" i="32"/>
  <c r="I55" i="32"/>
  <c r="H55" i="32"/>
  <c r="F55" i="32"/>
  <c r="K55" i="32" s="1"/>
  <c r="N54" i="32"/>
  <c r="M54" i="32"/>
  <c r="K54" i="32"/>
  <c r="J54" i="32"/>
  <c r="I54" i="32"/>
  <c r="H54" i="32"/>
  <c r="F54" i="32"/>
  <c r="L54" i="32" s="1"/>
  <c r="N53" i="32"/>
  <c r="M53" i="32"/>
  <c r="K53" i="32"/>
  <c r="J53" i="32"/>
  <c r="I53" i="32"/>
  <c r="H53" i="32"/>
  <c r="F53" i="32"/>
  <c r="L53" i="32" s="1"/>
  <c r="N52" i="32"/>
  <c r="M52" i="32"/>
  <c r="L52" i="32"/>
  <c r="K52" i="32"/>
  <c r="J52" i="32"/>
  <c r="H52" i="32"/>
  <c r="G52" i="32"/>
  <c r="E52" i="32"/>
  <c r="F52" i="32" s="1"/>
  <c r="N51" i="32"/>
  <c r="M51" i="32"/>
  <c r="L51" i="32"/>
  <c r="K51" i="32"/>
  <c r="J51" i="32"/>
  <c r="H51" i="32"/>
  <c r="G51" i="32"/>
  <c r="E51" i="32"/>
  <c r="F51" i="32" s="1"/>
  <c r="N50" i="32"/>
  <c r="M50" i="32"/>
  <c r="L50" i="32"/>
  <c r="K50" i="32"/>
  <c r="I50" i="32"/>
  <c r="H50" i="32"/>
  <c r="G50" i="32"/>
  <c r="F50" i="32"/>
  <c r="N49" i="32"/>
  <c r="M49" i="32"/>
  <c r="K49" i="32"/>
  <c r="J49" i="32"/>
  <c r="I49" i="32"/>
  <c r="H49" i="32"/>
  <c r="G49" i="32"/>
  <c r="F49" i="32"/>
  <c r="N48" i="32"/>
  <c r="M48" i="32"/>
  <c r="L48" i="32"/>
  <c r="J48" i="32"/>
  <c r="I48" i="32"/>
  <c r="H48" i="32"/>
  <c r="G48" i="32"/>
  <c r="F48" i="32"/>
  <c r="L39" i="32"/>
  <c r="J39" i="32"/>
  <c r="I39" i="32"/>
  <c r="H39" i="32"/>
  <c r="F39" i="32"/>
  <c r="K39" i="32" s="1"/>
  <c r="J22" i="32"/>
  <c r="I22" i="32"/>
  <c r="H22" i="32"/>
  <c r="F22" i="32"/>
  <c r="L22" i="32" s="1"/>
  <c r="G26" i="32"/>
  <c r="G25" i="32"/>
  <c r="N38" i="32"/>
  <c r="M38" i="32"/>
  <c r="K38" i="32"/>
  <c r="J38" i="32"/>
  <c r="I38" i="32"/>
  <c r="H38" i="32"/>
  <c r="F38" i="32"/>
  <c r="L38" i="32" s="1"/>
  <c r="N37" i="32"/>
  <c r="M37" i="32"/>
  <c r="K37" i="32"/>
  <c r="J37" i="32"/>
  <c r="I37" i="32"/>
  <c r="H37" i="32"/>
  <c r="F37" i="32"/>
  <c r="L37" i="32" s="1"/>
  <c r="N36" i="32"/>
  <c r="M36" i="32"/>
  <c r="L36" i="32"/>
  <c r="K36" i="32"/>
  <c r="J36" i="32"/>
  <c r="H36" i="32"/>
  <c r="G36" i="32"/>
  <c r="E36" i="32"/>
  <c r="F36" i="32" s="1"/>
  <c r="N35" i="32"/>
  <c r="M35" i="32"/>
  <c r="L35" i="32"/>
  <c r="K35" i="32"/>
  <c r="J35" i="32"/>
  <c r="H35" i="32"/>
  <c r="G35" i="32"/>
  <c r="E35" i="32"/>
  <c r="F35" i="32" s="1"/>
  <c r="N34" i="32"/>
  <c r="M34" i="32"/>
  <c r="L34" i="32"/>
  <c r="K34" i="32"/>
  <c r="I34" i="32"/>
  <c r="H34" i="32"/>
  <c r="G34" i="32"/>
  <c r="F34" i="32"/>
  <c r="N33" i="32"/>
  <c r="M33" i="32"/>
  <c r="K33" i="32"/>
  <c r="J33" i="32"/>
  <c r="I33" i="32"/>
  <c r="H33" i="32"/>
  <c r="G33" i="32"/>
  <c r="F33" i="32"/>
  <c r="N32" i="32"/>
  <c r="M32" i="32"/>
  <c r="L32" i="32"/>
  <c r="J32" i="32"/>
  <c r="I32" i="32"/>
  <c r="H32" i="32"/>
  <c r="G32" i="32"/>
  <c r="F32" i="32"/>
  <c r="G28" i="32"/>
  <c r="G27" i="32"/>
  <c r="E28" i="32"/>
  <c r="F28" i="32" s="1"/>
  <c r="E27" i="32"/>
  <c r="F27" i="32" s="1"/>
  <c r="N29" i="32"/>
  <c r="M29" i="32"/>
  <c r="J29" i="32"/>
  <c r="I29" i="32"/>
  <c r="H29" i="32"/>
  <c r="F29" i="32"/>
  <c r="L29" i="32" s="1"/>
  <c r="N28" i="32"/>
  <c r="M28" i="32"/>
  <c r="L28" i="32"/>
  <c r="K28" i="32"/>
  <c r="J28" i="32"/>
  <c r="H28" i="32"/>
  <c r="N27" i="32"/>
  <c r="M27" i="32"/>
  <c r="L27" i="32"/>
  <c r="K27" i="32"/>
  <c r="J27" i="32"/>
  <c r="H27" i="32"/>
  <c r="N26" i="32"/>
  <c r="M26" i="32"/>
  <c r="L26" i="32"/>
  <c r="J26" i="32"/>
  <c r="I26" i="32"/>
  <c r="H26" i="32"/>
  <c r="F26" i="32"/>
  <c r="N25" i="32"/>
  <c r="M25" i="32"/>
  <c r="L25" i="32"/>
  <c r="I25" i="32"/>
  <c r="H25" i="32"/>
  <c r="K25" i="32"/>
  <c r="F25" i="32"/>
  <c r="F21" i="32"/>
  <c r="L21" i="32" s="1"/>
  <c r="G17" i="32"/>
  <c r="N17" i="32"/>
  <c r="M17" i="32"/>
  <c r="L17" i="32"/>
  <c r="K17" i="32"/>
  <c r="I17" i="32"/>
  <c r="H17" i="32"/>
  <c r="F17" i="32"/>
  <c r="G19" i="32"/>
  <c r="G18" i="32"/>
  <c r="E19" i="32"/>
  <c r="F19" i="32" s="1"/>
  <c r="E18" i="32"/>
  <c r="F18" i="32" s="1"/>
  <c r="G16" i="32"/>
  <c r="G15" i="32"/>
  <c r="H11" i="32"/>
  <c r="I11" i="32"/>
  <c r="J11" i="32"/>
  <c r="K11" i="32"/>
  <c r="L11" i="32"/>
  <c r="M11" i="32"/>
  <c r="N11" i="32"/>
  <c r="H12" i="32"/>
  <c r="I12" i="32"/>
  <c r="J12" i="32"/>
  <c r="K12" i="32"/>
  <c r="L12" i="32"/>
  <c r="M12" i="32"/>
  <c r="N12" i="32"/>
  <c r="H13" i="32"/>
  <c r="I13" i="32"/>
  <c r="J13" i="32"/>
  <c r="K13" i="32"/>
  <c r="L13" i="32"/>
  <c r="M13" i="32"/>
  <c r="N13" i="32"/>
  <c r="H14" i="32"/>
  <c r="I14" i="32"/>
  <c r="J14" i="32"/>
  <c r="K14" i="32"/>
  <c r="L14" i="32"/>
  <c r="M14" i="32"/>
  <c r="N14" i="32"/>
  <c r="H15" i="32"/>
  <c r="I15" i="32"/>
  <c r="J15" i="32"/>
  <c r="L15" i="32"/>
  <c r="M15" i="32"/>
  <c r="N15" i="32"/>
  <c r="H16" i="32"/>
  <c r="I16" i="32"/>
  <c r="J16" i="32"/>
  <c r="K16" i="32"/>
  <c r="M16" i="32"/>
  <c r="N16" i="32"/>
  <c r="J18" i="32"/>
  <c r="K18" i="32"/>
  <c r="L18" i="32"/>
  <c r="M18" i="32"/>
  <c r="N18" i="32"/>
  <c r="J19" i="32"/>
  <c r="K19" i="32"/>
  <c r="L19" i="32"/>
  <c r="M19" i="32"/>
  <c r="N19" i="32"/>
  <c r="H20" i="32"/>
  <c r="I20" i="32"/>
  <c r="K20" i="32"/>
  <c r="M20" i="32"/>
  <c r="N20" i="32"/>
  <c r="H21" i="32"/>
  <c r="I21" i="32"/>
  <c r="J21" i="32"/>
  <c r="K21" i="32"/>
  <c r="M21" i="32"/>
  <c r="N21" i="32"/>
  <c r="H23" i="32"/>
  <c r="I23" i="32"/>
  <c r="J23" i="32"/>
  <c r="K23" i="32"/>
  <c r="L23" i="32"/>
  <c r="M23" i="32"/>
  <c r="N23" i="32"/>
  <c r="H263" i="32"/>
  <c r="I263" i="32"/>
  <c r="J263" i="32"/>
  <c r="K263" i="32"/>
  <c r="L263" i="32"/>
  <c r="M263" i="32"/>
  <c r="N263" i="32"/>
  <c r="H2485" i="32"/>
  <c r="I2485" i="32"/>
  <c r="J2485" i="32"/>
  <c r="K2485" i="32"/>
  <c r="L2485" i="32"/>
  <c r="M2485" i="32"/>
  <c r="N2485" i="32"/>
  <c r="H2486" i="32"/>
  <c r="I2486" i="32"/>
  <c r="J2486" i="32"/>
  <c r="K2486" i="32"/>
  <c r="L2486" i="32"/>
  <c r="M2486" i="32"/>
  <c r="N2486" i="32"/>
  <c r="H2487" i="32"/>
  <c r="I2487" i="32"/>
  <c r="J2487" i="32"/>
  <c r="K2487" i="32"/>
  <c r="L2487" i="32"/>
  <c r="M2487" i="32"/>
  <c r="N2487" i="32"/>
  <c r="F20" i="32"/>
  <c r="J20" i="32" s="1"/>
  <c r="H19" i="32"/>
  <c r="F16" i="32"/>
  <c r="F15" i="32"/>
  <c r="L82" i="32" l="1"/>
  <c r="L91" i="32"/>
  <c r="J101" i="32"/>
  <c r="J99" i="32"/>
  <c r="J74" i="32"/>
  <c r="I76" i="32"/>
  <c r="I77" i="32"/>
  <c r="J92" i="32"/>
  <c r="J90" i="32"/>
  <c r="K100" i="32"/>
  <c r="J105" i="32"/>
  <c r="K15" i="32"/>
  <c r="L33" i="32"/>
  <c r="L65" i="32"/>
  <c r="J66" i="32"/>
  <c r="I67" i="32"/>
  <c r="I68" i="32"/>
  <c r="I102" i="32"/>
  <c r="I103" i="32"/>
  <c r="J81" i="32"/>
  <c r="K85" i="32"/>
  <c r="J25" i="32"/>
  <c r="I27" i="32"/>
  <c r="L49" i="32"/>
  <c r="J50" i="32"/>
  <c r="I51" i="32"/>
  <c r="I52" i="32"/>
  <c r="L87" i="32"/>
  <c r="I93" i="32"/>
  <c r="I94" i="32"/>
  <c r="K26" i="32"/>
  <c r="K75" i="32"/>
  <c r="I28" i="32"/>
  <c r="I83" i="32"/>
  <c r="I84" i="32"/>
  <c r="L16" i="32"/>
  <c r="J17" i="32"/>
  <c r="K32" i="32"/>
  <c r="J34" i="32"/>
  <c r="I35" i="32"/>
  <c r="I36" i="32"/>
  <c r="K64" i="32"/>
  <c r="I19" i="32"/>
  <c r="K48" i="32"/>
  <c r="K22" i="32"/>
  <c r="K29" i="32"/>
  <c r="I18" i="32"/>
  <c r="L20" i="32"/>
  <c r="H18" i="32"/>
  <c r="G2701" i="32"/>
  <c r="G2699" i="32"/>
  <c r="G2700" i="32"/>
  <c r="F2700" i="32"/>
  <c r="N2701" i="32"/>
  <c r="M2701" i="32"/>
  <c r="L2701" i="32"/>
  <c r="K2701" i="32"/>
  <c r="J2701" i="32"/>
  <c r="H2701" i="32"/>
  <c r="F2701" i="32"/>
  <c r="N2700" i="32"/>
  <c r="M2700" i="32"/>
  <c r="L2700" i="32"/>
  <c r="K2700" i="32"/>
  <c r="J2700" i="32"/>
  <c r="H2700" i="32"/>
  <c r="N2699" i="32"/>
  <c r="M2699" i="32"/>
  <c r="L2699" i="32"/>
  <c r="K2699" i="32"/>
  <c r="J2699" i="32"/>
  <c r="H2699" i="32"/>
  <c r="F2699" i="32"/>
  <c r="N2698" i="32"/>
  <c r="M2698" i="32"/>
  <c r="K2698" i="32"/>
  <c r="J2698" i="32"/>
  <c r="I2698" i="32"/>
  <c r="H2698" i="32"/>
  <c r="F2698" i="32"/>
  <c r="N2697" i="32"/>
  <c r="M2697" i="32"/>
  <c r="L2697" i="32"/>
  <c r="K2697" i="32"/>
  <c r="J2697" i="32"/>
  <c r="I2697" i="32"/>
  <c r="H2697" i="32"/>
  <c r="N2695" i="32"/>
  <c r="M2695" i="32"/>
  <c r="L2695" i="32"/>
  <c r="K2695" i="32"/>
  <c r="J2695" i="32"/>
  <c r="H2695" i="32"/>
  <c r="G2695" i="32"/>
  <c r="F2695" i="32"/>
  <c r="N2694" i="32"/>
  <c r="M2694" i="32"/>
  <c r="L2694" i="32"/>
  <c r="K2694" i="32"/>
  <c r="J2694" i="32"/>
  <c r="H2694" i="32"/>
  <c r="G2694" i="32"/>
  <c r="F2694" i="32"/>
  <c r="N2693" i="32"/>
  <c r="M2693" i="32"/>
  <c r="L2693" i="32"/>
  <c r="K2693" i="32"/>
  <c r="J2693" i="32"/>
  <c r="H2693" i="32"/>
  <c r="G2693" i="32"/>
  <c r="F2693" i="32"/>
  <c r="N2692" i="32"/>
  <c r="M2692" i="32"/>
  <c r="K2692" i="32"/>
  <c r="J2692" i="32"/>
  <c r="I2692" i="32"/>
  <c r="H2692" i="32"/>
  <c r="F2692" i="32"/>
  <c r="N2691" i="32"/>
  <c r="M2691" i="32"/>
  <c r="L2691" i="32"/>
  <c r="K2691" i="32"/>
  <c r="J2691" i="32"/>
  <c r="I2691" i="32"/>
  <c r="H2691" i="32"/>
  <c r="N2690" i="32"/>
  <c r="M2690" i="32"/>
  <c r="L2690" i="32"/>
  <c r="K2690" i="32"/>
  <c r="J2690" i="32"/>
  <c r="I2690" i="32"/>
  <c r="H2690" i="32"/>
  <c r="N2689" i="32"/>
  <c r="M2689" i="32"/>
  <c r="L2689" i="32"/>
  <c r="K2689" i="32"/>
  <c r="J2689" i="32"/>
  <c r="H2689" i="32"/>
  <c r="G2689" i="32"/>
  <c r="F2689" i="32"/>
  <c r="N2688" i="32"/>
  <c r="M2688" i="32"/>
  <c r="L2688" i="32"/>
  <c r="K2688" i="32"/>
  <c r="J2688" i="32"/>
  <c r="H2688" i="32"/>
  <c r="G2688" i="32"/>
  <c r="F2688" i="32"/>
  <c r="N2687" i="32"/>
  <c r="M2687" i="32"/>
  <c r="K2687" i="32"/>
  <c r="J2687" i="32"/>
  <c r="I2687" i="32"/>
  <c r="H2687" i="32"/>
  <c r="F2687" i="32"/>
  <c r="N2686" i="32"/>
  <c r="M2686" i="32"/>
  <c r="L2686" i="32"/>
  <c r="K2686" i="32"/>
  <c r="J2686" i="32"/>
  <c r="I2686" i="32"/>
  <c r="H2686" i="32"/>
  <c r="N2685" i="32"/>
  <c r="M2685" i="32"/>
  <c r="L2685" i="32"/>
  <c r="K2685" i="32"/>
  <c r="J2685" i="32"/>
  <c r="I2685" i="32"/>
  <c r="H2685" i="32"/>
  <c r="N2684" i="32"/>
  <c r="M2684" i="32"/>
  <c r="L2684" i="32"/>
  <c r="K2684" i="32"/>
  <c r="J2684" i="32"/>
  <c r="H2684" i="32"/>
  <c r="G2684" i="32"/>
  <c r="F2684" i="32"/>
  <c r="N2683" i="32"/>
  <c r="M2683" i="32"/>
  <c r="L2683" i="32"/>
  <c r="K2683" i="32"/>
  <c r="J2683" i="32"/>
  <c r="H2683" i="32"/>
  <c r="G2683" i="32"/>
  <c r="F2683" i="32"/>
  <c r="N2682" i="32"/>
  <c r="M2682" i="32"/>
  <c r="K2682" i="32"/>
  <c r="J2682" i="32"/>
  <c r="I2682" i="32"/>
  <c r="H2682" i="32"/>
  <c r="F2682" i="32"/>
  <c r="N2681" i="32"/>
  <c r="M2681" i="32"/>
  <c r="L2681" i="32"/>
  <c r="K2681" i="32"/>
  <c r="J2681" i="32"/>
  <c r="I2681" i="32"/>
  <c r="H2681" i="32"/>
  <c r="N2680" i="32"/>
  <c r="M2680" i="32"/>
  <c r="L2680" i="32"/>
  <c r="K2680" i="32"/>
  <c r="J2680" i="32"/>
  <c r="I2680" i="32"/>
  <c r="H2680" i="32"/>
  <c r="N2679" i="32"/>
  <c r="M2679" i="32"/>
  <c r="L2679" i="32"/>
  <c r="K2679" i="32"/>
  <c r="J2679" i="32"/>
  <c r="H2679" i="32"/>
  <c r="G2679" i="32"/>
  <c r="F2679" i="32"/>
  <c r="N2678" i="32"/>
  <c r="M2678" i="32"/>
  <c r="L2678" i="32"/>
  <c r="K2678" i="32"/>
  <c r="J2678" i="32"/>
  <c r="H2678" i="32"/>
  <c r="G2678" i="32"/>
  <c r="F2678" i="32"/>
  <c r="N2677" i="32"/>
  <c r="M2677" i="32"/>
  <c r="K2677" i="32"/>
  <c r="J2677" i="32"/>
  <c r="I2677" i="32"/>
  <c r="H2677" i="32"/>
  <c r="F2677" i="32"/>
  <c r="N2676" i="32"/>
  <c r="M2676" i="32"/>
  <c r="L2676" i="32"/>
  <c r="K2676" i="32"/>
  <c r="J2676" i="32"/>
  <c r="I2676" i="32"/>
  <c r="H2676" i="32"/>
  <c r="N2675" i="32"/>
  <c r="M2675" i="32"/>
  <c r="L2675" i="32"/>
  <c r="K2675" i="32"/>
  <c r="J2675" i="32"/>
  <c r="I2675" i="32"/>
  <c r="H2675" i="32"/>
  <c r="N2674" i="32"/>
  <c r="M2674" i="32"/>
  <c r="L2674" i="32"/>
  <c r="K2674" i="32"/>
  <c r="J2674" i="32"/>
  <c r="H2674" i="32"/>
  <c r="G2674" i="32"/>
  <c r="F2674" i="32"/>
  <c r="N2673" i="32"/>
  <c r="M2673" i="32"/>
  <c r="L2673" i="32"/>
  <c r="K2673" i="32"/>
  <c r="J2673" i="32"/>
  <c r="H2673" i="32"/>
  <c r="G2673" i="32"/>
  <c r="F2673" i="32"/>
  <c r="N2672" i="32"/>
  <c r="M2672" i="32"/>
  <c r="K2672" i="32"/>
  <c r="J2672" i="32"/>
  <c r="I2672" i="32"/>
  <c r="H2672" i="32"/>
  <c r="F2672" i="32"/>
  <c r="N2671" i="32"/>
  <c r="M2671" i="32"/>
  <c r="L2671" i="32"/>
  <c r="K2671" i="32"/>
  <c r="J2671" i="32"/>
  <c r="I2671" i="32"/>
  <c r="H2671" i="32"/>
  <c r="G2668" i="32"/>
  <c r="G2667" i="32"/>
  <c r="G2666" i="32"/>
  <c r="N2668" i="32"/>
  <c r="M2668" i="32"/>
  <c r="L2668" i="32"/>
  <c r="K2668" i="32"/>
  <c r="J2668" i="32"/>
  <c r="H2668" i="32"/>
  <c r="F2668" i="32"/>
  <c r="N2667" i="32"/>
  <c r="M2667" i="32"/>
  <c r="L2667" i="32"/>
  <c r="K2667" i="32"/>
  <c r="J2667" i="32"/>
  <c r="H2667" i="32"/>
  <c r="F2667" i="32"/>
  <c r="N2666" i="32"/>
  <c r="M2666" i="32"/>
  <c r="L2666" i="32"/>
  <c r="K2666" i="32"/>
  <c r="J2666" i="32"/>
  <c r="H2666" i="32"/>
  <c r="F2666" i="32"/>
  <c r="N2665" i="32"/>
  <c r="M2665" i="32"/>
  <c r="K2665" i="32"/>
  <c r="J2665" i="32"/>
  <c r="I2665" i="32"/>
  <c r="H2665" i="32"/>
  <c r="F2665" i="32"/>
  <c r="N2664" i="32"/>
  <c r="M2664" i="32"/>
  <c r="L2664" i="32"/>
  <c r="K2664" i="32"/>
  <c r="J2664" i="32"/>
  <c r="I2664" i="32"/>
  <c r="H2664" i="32"/>
  <c r="N2662" i="32"/>
  <c r="M2662" i="32"/>
  <c r="L2662" i="32"/>
  <c r="K2662" i="32"/>
  <c r="J2662" i="32"/>
  <c r="H2662" i="32"/>
  <c r="F2662" i="32"/>
  <c r="N2661" i="32"/>
  <c r="M2661" i="32"/>
  <c r="L2661" i="32"/>
  <c r="K2661" i="32"/>
  <c r="J2661" i="32"/>
  <c r="H2661" i="32"/>
  <c r="F2661" i="32"/>
  <c r="N2660" i="32"/>
  <c r="M2660" i="32"/>
  <c r="L2660" i="32"/>
  <c r="K2660" i="32"/>
  <c r="J2660" i="32"/>
  <c r="H2660" i="32"/>
  <c r="F2660" i="32"/>
  <c r="N2659" i="32"/>
  <c r="M2659" i="32"/>
  <c r="K2659" i="32"/>
  <c r="J2659" i="32"/>
  <c r="I2659" i="32"/>
  <c r="H2659" i="32"/>
  <c r="F2659" i="32"/>
  <c r="N2658" i="32"/>
  <c r="M2658" i="32"/>
  <c r="L2658" i="32"/>
  <c r="K2658" i="32"/>
  <c r="J2658" i="32"/>
  <c r="I2658" i="32"/>
  <c r="H2658" i="32"/>
  <c r="N2656" i="32"/>
  <c r="M2656" i="32"/>
  <c r="L2656" i="32"/>
  <c r="K2656" i="32"/>
  <c r="J2656" i="32"/>
  <c r="H2656" i="32"/>
  <c r="F2656" i="32"/>
  <c r="N2655" i="32"/>
  <c r="M2655" i="32"/>
  <c r="L2655" i="32"/>
  <c r="K2655" i="32"/>
  <c r="J2655" i="32"/>
  <c r="H2655" i="32"/>
  <c r="F2655" i="32"/>
  <c r="N2654" i="32"/>
  <c r="M2654" i="32"/>
  <c r="K2654" i="32"/>
  <c r="J2654" i="32"/>
  <c r="I2654" i="32"/>
  <c r="H2654" i="32"/>
  <c r="F2654" i="32"/>
  <c r="N2653" i="32"/>
  <c r="M2653" i="32"/>
  <c r="L2653" i="32"/>
  <c r="K2653" i="32"/>
  <c r="J2653" i="32"/>
  <c r="I2653" i="32"/>
  <c r="H2653" i="32"/>
  <c r="N2651" i="32"/>
  <c r="M2651" i="32"/>
  <c r="L2651" i="32"/>
  <c r="K2651" i="32"/>
  <c r="J2651" i="32"/>
  <c r="H2651" i="32"/>
  <c r="F2651" i="32"/>
  <c r="N2650" i="32"/>
  <c r="M2650" i="32"/>
  <c r="L2650" i="32"/>
  <c r="K2650" i="32"/>
  <c r="J2650" i="32"/>
  <c r="H2650" i="32"/>
  <c r="F2650" i="32"/>
  <c r="N2649" i="32"/>
  <c r="M2649" i="32"/>
  <c r="K2649" i="32"/>
  <c r="J2649" i="32"/>
  <c r="I2649" i="32"/>
  <c r="H2649" i="32"/>
  <c r="F2649" i="32"/>
  <c r="N2648" i="32"/>
  <c r="M2648" i="32"/>
  <c r="L2648" i="32"/>
  <c r="K2648" i="32"/>
  <c r="J2648" i="32"/>
  <c r="I2648" i="32"/>
  <c r="H2648" i="32"/>
  <c r="N2646" i="32"/>
  <c r="M2646" i="32"/>
  <c r="L2646" i="32"/>
  <c r="K2646" i="32"/>
  <c r="J2646" i="32"/>
  <c r="H2646" i="32"/>
  <c r="G2646" i="32"/>
  <c r="F2646" i="32"/>
  <c r="N2645" i="32"/>
  <c r="M2645" i="32"/>
  <c r="L2645" i="32"/>
  <c r="K2645" i="32"/>
  <c r="J2645" i="32"/>
  <c r="H2645" i="32"/>
  <c r="G2645" i="32"/>
  <c r="F2645" i="32"/>
  <c r="N2644" i="32"/>
  <c r="M2644" i="32"/>
  <c r="K2644" i="32"/>
  <c r="J2644" i="32"/>
  <c r="I2644" i="32"/>
  <c r="H2644" i="32"/>
  <c r="F2644" i="32"/>
  <c r="N2643" i="32"/>
  <c r="M2643" i="32"/>
  <c r="L2643" i="32"/>
  <c r="K2643" i="32"/>
  <c r="J2643" i="32"/>
  <c r="I2643" i="32"/>
  <c r="H2643" i="32"/>
  <c r="N2641" i="32"/>
  <c r="M2641" i="32"/>
  <c r="L2641" i="32"/>
  <c r="K2641" i="32"/>
  <c r="J2641" i="32"/>
  <c r="H2641" i="32"/>
  <c r="G2641" i="32"/>
  <c r="F2641" i="32"/>
  <c r="N2640" i="32"/>
  <c r="M2640" i="32"/>
  <c r="L2640" i="32"/>
  <c r="K2640" i="32"/>
  <c r="J2640" i="32"/>
  <c r="H2640" i="32"/>
  <c r="G2640" i="32"/>
  <c r="F2640" i="32"/>
  <c r="N2639" i="32"/>
  <c r="M2639" i="32"/>
  <c r="K2639" i="32"/>
  <c r="J2639" i="32"/>
  <c r="I2639" i="32"/>
  <c r="H2639" i="32"/>
  <c r="F2639" i="32"/>
  <c r="N2638" i="32"/>
  <c r="M2638" i="32"/>
  <c r="L2638" i="32"/>
  <c r="K2638" i="32"/>
  <c r="J2638" i="32"/>
  <c r="I2638" i="32"/>
  <c r="H2638" i="32"/>
  <c r="N2636" i="32"/>
  <c r="M2636" i="32"/>
  <c r="L2636" i="32"/>
  <c r="K2636" i="32"/>
  <c r="J2636" i="32"/>
  <c r="H2636" i="32"/>
  <c r="G2636" i="32"/>
  <c r="F2636" i="32"/>
  <c r="N2635" i="32"/>
  <c r="M2635" i="32"/>
  <c r="L2635" i="32"/>
  <c r="K2635" i="32"/>
  <c r="J2635" i="32"/>
  <c r="H2635" i="32"/>
  <c r="G2635" i="32"/>
  <c r="F2635" i="32"/>
  <c r="N2634" i="32"/>
  <c r="M2634" i="32"/>
  <c r="K2634" i="32"/>
  <c r="J2634" i="32"/>
  <c r="I2634" i="32"/>
  <c r="H2634" i="32"/>
  <c r="F2634" i="32"/>
  <c r="N2633" i="32"/>
  <c r="M2633" i="32"/>
  <c r="L2633" i="32"/>
  <c r="K2633" i="32"/>
  <c r="J2633" i="32"/>
  <c r="I2633" i="32"/>
  <c r="H2633" i="32"/>
  <c r="N2629" i="32"/>
  <c r="M2629" i="32"/>
  <c r="L2629" i="32"/>
  <c r="K2629" i="32"/>
  <c r="J2629" i="32"/>
  <c r="H2629" i="32"/>
  <c r="G2629" i="32"/>
  <c r="F2629" i="32"/>
  <c r="N2628" i="32"/>
  <c r="L2628" i="32"/>
  <c r="K2628" i="32"/>
  <c r="J2628" i="32"/>
  <c r="I2628" i="32"/>
  <c r="H2628" i="32"/>
  <c r="F2628" i="32"/>
  <c r="N2627" i="32"/>
  <c r="M2627" i="32"/>
  <c r="L2627" i="32"/>
  <c r="K2627" i="32"/>
  <c r="J2627" i="32"/>
  <c r="I2627" i="32"/>
  <c r="H2627" i="32"/>
  <c r="N2625" i="32"/>
  <c r="M2625" i="32"/>
  <c r="L2625" i="32"/>
  <c r="K2625" i="32"/>
  <c r="J2625" i="32"/>
  <c r="H2625" i="32"/>
  <c r="G2625" i="32"/>
  <c r="F2625" i="32"/>
  <c r="N2624" i="32"/>
  <c r="M2624" i="32"/>
  <c r="L2624" i="32"/>
  <c r="K2624" i="32"/>
  <c r="J2624" i="32"/>
  <c r="H2624" i="32"/>
  <c r="G2624" i="32"/>
  <c r="F2624" i="32"/>
  <c r="N2623" i="32"/>
  <c r="M2623" i="32"/>
  <c r="K2623" i="32"/>
  <c r="J2623" i="32"/>
  <c r="I2623" i="32"/>
  <c r="H2623" i="32"/>
  <c r="F2623" i="32"/>
  <c r="L2623" i="32" s="1"/>
  <c r="N2622" i="32"/>
  <c r="M2622" i="32"/>
  <c r="L2622" i="32"/>
  <c r="K2622" i="32"/>
  <c r="J2622" i="32"/>
  <c r="I2622" i="32"/>
  <c r="H2622" i="32"/>
  <c r="N2620" i="32"/>
  <c r="M2620" i="32"/>
  <c r="L2620" i="32"/>
  <c r="K2620" i="32"/>
  <c r="J2620" i="32"/>
  <c r="H2620" i="32"/>
  <c r="G2620" i="32"/>
  <c r="F2620" i="32"/>
  <c r="N2619" i="32"/>
  <c r="M2619" i="32"/>
  <c r="L2619" i="32"/>
  <c r="K2619" i="32"/>
  <c r="J2619" i="32"/>
  <c r="H2619" i="32"/>
  <c r="G2619" i="32"/>
  <c r="F2619" i="32"/>
  <c r="N2618" i="32"/>
  <c r="M2618" i="32"/>
  <c r="K2618" i="32"/>
  <c r="J2618" i="32"/>
  <c r="I2618" i="32"/>
  <c r="H2618" i="32"/>
  <c r="F2618" i="32"/>
  <c r="N2617" i="32"/>
  <c r="M2617" i="32"/>
  <c r="L2617" i="32"/>
  <c r="K2617" i="32"/>
  <c r="J2617" i="32"/>
  <c r="I2617" i="32"/>
  <c r="H2617" i="32"/>
  <c r="N2615" i="32"/>
  <c r="M2615" i="32"/>
  <c r="L2615" i="32"/>
  <c r="K2615" i="32"/>
  <c r="J2615" i="32"/>
  <c r="H2615" i="32"/>
  <c r="G2615" i="32"/>
  <c r="F2615" i="32"/>
  <c r="N2614" i="32"/>
  <c r="M2614" i="32"/>
  <c r="L2614" i="32"/>
  <c r="K2614" i="32"/>
  <c r="J2614" i="32"/>
  <c r="H2614" i="32"/>
  <c r="G2614" i="32"/>
  <c r="F2614" i="32"/>
  <c r="N2613" i="32"/>
  <c r="M2613" i="32"/>
  <c r="K2613" i="32"/>
  <c r="J2613" i="32"/>
  <c r="I2613" i="32"/>
  <c r="H2613" i="32"/>
  <c r="F2613" i="32"/>
  <c r="N2612" i="32"/>
  <c r="M2612" i="32"/>
  <c r="L2612" i="32"/>
  <c r="K2612" i="32"/>
  <c r="J2612" i="32"/>
  <c r="I2612" i="32"/>
  <c r="H2612" i="32"/>
  <c r="N2610" i="32"/>
  <c r="M2610" i="32"/>
  <c r="L2610" i="32"/>
  <c r="K2610" i="32"/>
  <c r="J2610" i="32"/>
  <c r="H2610" i="32"/>
  <c r="G2610" i="32"/>
  <c r="F2610" i="32"/>
  <c r="N2609" i="32"/>
  <c r="L2609" i="32"/>
  <c r="K2609" i="32"/>
  <c r="J2609" i="32"/>
  <c r="I2609" i="32"/>
  <c r="H2609" i="32"/>
  <c r="F2609" i="32"/>
  <c r="N2608" i="32"/>
  <c r="M2608" i="32"/>
  <c r="L2608" i="32"/>
  <c r="K2608" i="32"/>
  <c r="J2608" i="32"/>
  <c r="I2608" i="32"/>
  <c r="H2608" i="32"/>
  <c r="N2606" i="32"/>
  <c r="M2606" i="32"/>
  <c r="L2606" i="32"/>
  <c r="K2606" i="32"/>
  <c r="J2606" i="32"/>
  <c r="H2606" i="32"/>
  <c r="G2606" i="32"/>
  <c r="F2606" i="32"/>
  <c r="N2605" i="32"/>
  <c r="M2605" i="32"/>
  <c r="L2605" i="32"/>
  <c r="K2605" i="32"/>
  <c r="J2605" i="32"/>
  <c r="H2605" i="32"/>
  <c r="G2605" i="32"/>
  <c r="F2605" i="32"/>
  <c r="N2604" i="32"/>
  <c r="M2604" i="32"/>
  <c r="K2604" i="32"/>
  <c r="J2604" i="32"/>
  <c r="I2604" i="32"/>
  <c r="H2604" i="32"/>
  <c r="F2604" i="32"/>
  <c r="N2603" i="32"/>
  <c r="M2603" i="32"/>
  <c r="L2603" i="32"/>
  <c r="K2603" i="32"/>
  <c r="J2603" i="32"/>
  <c r="I2603" i="32"/>
  <c r="H2603" i="32"/>
  <c r="N2601" i="32"/>
  <c r="M2601" i="32"/>
  <c r="L2601" i="32"/>
  <c r="K2601" i="32"/>
  <c r="J2601" i="32"/>
  <c r="H2601" i="32"/>
  <c r="G2601" i="32"/>
  <c r="F2601" i="32"/>
  <c r="N2600" i="32"/>
  <c r="L2600" i="32"/>
  <c r="K2600" i="32"/>
  <c r="J2600" i="32"/>
  <c r="I2600" i="32"/>
  <c r="H2600" i="32"/>
  <c r="F2600" i="32"/>
  <c r="N2599" i="32"/>
  <c r="M2599" i="32"/>
  <c r="L2599" i="32"/>
  <c r="K2599" i="32"/>
  <c r="J2599" i="32"/>
  <c r="I2599" i="32"/>
  <c r="H2599" i="32"/>
  <c r="N2597" i="32"/>
  <c r="M2597" i="32"/>
  <c r="L2597" i="32"/>
  <c r="K2597" i="32"/>
  <c r="J2597" i="32"/>
  <c r="H2597" i="32"/>
  <c r="G2597" i="32"/>
  <c r="F2597" i="32"/>
  <c r="N2596" i="32"/>
  <c r="L2596" i="32"/>
  <c r="K2596" i="32"/>
  <c r="J2596" i="32"/>
  <c r="I2596" i="32"/>
  <c r="H2596" i="32"/>
  <c r="F2596" i="32"/>
  <c r="N2595" i="32"/>
  <c r="M2595" i="32"/>
  <c r="L2595" i="32"/>
  <c r="K2595" i="32"/>
  <c r="J2595" i="32"/>
  <c r="I2595" i="32"/>
  <c r="H2595" i="32"/>
  <c r="N2592" i="32"/>
  <c r="M2592" i="32"/>
  <c r="L2592" i="32"/>
  <c r="K2592" i="32"/>
  <c r="J2592" i="32"/>
  <c r="H2592" i="32"/>
  <c r="G2592" i="32"/>
  <c r="F2592" i="32"/>
  <c r="N2591" i="32"/>
  <c r="L2591" i="32"/>
  <c r="K2591" i="32"/>
  <c r="J2591" i="32"/>
  <c r="I2591" i="32"/>
  <c r="H2591" i="32"/>
  <c r="F2591" i="32"/>
  <c r="N2590" i="32"/>
  <c r="M2590" i="32"/>
  <c r="L2590" i="32"/>
  <c r="K2590" i="32"/>
  <c r="J2590" i="32"/>
  <c r="I2590" i="32"/>
  <c r="H2590" i="32"/>
  <c r="N2588" i="32"/>
  <c r="M2588" i="32"/>
  <c r="L2588" i="32"/>
  <c r="K2588" i="32"/>
  <c r="J2588" i="32"/>
  <c r="H2588" i="32"/>
  <c r="G2588" i="32"/>
  <c r="F2588" i="32"/>
  <c r="N2587" i="32"/>
  <c r="L2587" i="32"/>
  <c r="K2587" i="32"/>
  <c r="J2587" i="32"/>
  <c r="I2587" i="32"/>
  <c r="H2587" i="32"/>
  <c r="F2587" i="32"/>
  <c r="N2586" i="32"/>
  <c r="M2586" i="32"/>
  <c r="L2586" i="32"/>
  <c r="K2586" i="32"/>
  <c r="J2586" i="32"/>
  <c r="I2586" i="32"/>
  <c r="H2586" i="32"/>
  <c r="F2580" i="32"/>
  <c r="G2580" i="32"/>
  <c r="N2580" i="32"/>
  <c r="M2580" i="32"/>
  <c r="L2580" i="32"/>
  <c r="K2580" i="32"/>
  <c r="J2580" i="32"/>
  <c r="H2580" i="32"/>
  <c r="N2579" i="32"/>
  <c r="K2579" i="32"/>
  <c r="J2579" i="32"/>
  <c r="I2579" i="32"/>
  <c r="H2579" i="32"/>
  <c r="F2579" i="32"/>
  <c r="L2579" i="32" s="1"/>
  <c r="N2578" i="32"/>
  <c r="M2578" i="32"/>
  <c r="L2578" i="32"/>
  <c r="K2578" i="32"/>
  <c r="J2578" i="32"/>
  <c r="I2578" i="32"/>
  <c r="H2578" i="32"/>
  <c r="N2576" i="32"/>
  <c r="M2576" i="32"/>
  <c r="L2576" i="32"/>
  <c r="K2576" i="32"/>
  <c r="J2576" i="32"/>
  <c r="H2576" i="32"/>
  <c r="G2576" i="32"/>
  <c r="F2576" i="32"/>
  <c r="N2575" i="32"/>
  <c r="M2575" i="32"/>
  <c r="L2575" i="32"/>
  <c r="K2575" i="32"/>
  <c r="J2575" i="32"/>
  <c r="H2575" i="32"/>
  <c r="G2575" i="32"/>
  <c r="F2575" i="32"/>
  <c r="N2574" i="32"/>
  <c r="M2574" i="32"/>
  <c r="K2574" i="32"/>
  <c r="J2574" i="32"/>
  <c r="I2574" i="32"/>
  <c r="H2574" i="32"/>
  <c r="F2574" i="32"/>
  <c r="N2573" i="32"/>
  <c r="M2573" i="32"/>
  <c r="L2573" i="32"/>
  <c r="K2573" i="32"/>
  <c r="J2573" i="32"/>
  <c r="I2573" i="32"/>
  <c r="H2573" i="32"/>
  <c r="N2584" i="32"/>
  <c r="M2584" i="32"/>
  <c r="L2584" i="32"/>
  <c r="K2584" i="32"/>
  <c r="J2584" i="32"/>
  <c r="H2584" i="32"/>
  <c r="G2584" i="32"/>
  <c r="F2584" i="32"/>
  <c r="N2583" i="32"/>
  <c r="L2583" i="32"/>
  <c r="K2583" i="32"/>
  <c r="J2583" i="32"/>
  <c r="I2583" i="32"/>
  <c r="H2583" i="32"/>
  <c r="F2583" i="32"/>
  <c r="N2582" i="32"/>
  <c r="M2582" i="32"/>
  <c r="L2582" i="32"/>
  <c r="K2582" i="32"/>
  <c r="J2582" i="32"/>
  <c r="I2582" i="32"/>
  <c r="H2582" i="32"/>
  <c r="N2572" i="32"/>
  <c r="M2572" i="32"/>
  <c r="L2572" i="32"/>
  <c r="K2572" i="32"/>
  <c r="J2572" i="32"/>
  <c r="I2572" i="32"/>
  <c r="H2572" i="32"/>
  <c r="N2571" i="32"/>
  <c r="M2571" i="32"/>
  <c r="L2571" i="32"/>
  <c r="K2571" i="32"/>
  <c r="J2571" i="32"/>
  <c r="H2571" i="32"/>
  <c r="G2571" i="32"/>
  <c r="F2571" i="32"/>
  <c r="N2570" i="32"/>
  <c r="M2570" i="32"/>
  <c r="L2570" i="32"/>
  <c r="K2570" i="32"/>
  <c r="J2570" i="32"/>
  <c r="H2570" i="32"/>
  <c r="G2570" i="32"/>
  <c r="F2570" i="32"/>
  <c r="N2569" i="32"/>
  <c r="M2569" i="32"/>
  <c r="K2569" i="32"/>
  <c r="J2569" i="32"/>
  <c r="I2569" i="32"/>
  <c r="H2569" i="32"/>
  <c r="F2569" i="32"/>
  <c r="N2568" i="32"/>
  <c r="M2568" i="32"/>
  <c r="L2568" i="32"/>
  <c r="K2568" i="32"/>
  <c r="J2568" i="32"/>
  <c r="I2568" i="32"/>
  <c r="H2568" i="32"/>
  <c r="G2564" i="32"/>
  <c r="F2564" i="32"/>
  <c r="F2565" i="32"/>
  <c r="N2565" i="32"/>
  <c r="M2565" i="32"/>
  <c r="L2565" i="32"/>
  <c r="K2565" i="32"/>
  <c r="J2565" i="32"/>
  <c r="H2565" i="32"/>
  <c r="G2565" i="32"/>
  <c r="N2564" i="32"/>
  <c r="M2564" i="32"/>
  <c r="L2564" i="32"/>
  <c r="K2564" i="32"/>
  <c r="J2564" i="32"/>
  <c r="H2564" i="32"/>
  <c r="N2563" i="32"/>
  <c r="M2563" i="32"/>
  <c r="K2563" i="32"/>
  <c r="J2563" i="32"/>
  <c r="I2563" i="32"/>
  <c r="H2563" i="32"/>
  <c r="F2563" i="32"/>
  <c r="N2562" i="32"/>
  <c r="M2562" i="32"/>
  <c r="L2562" i="32"/>
  <c r="K2562" i="32"/>
  <c r="J2562" i="32"/>
  <c r="I2562" i="32"/>
  <c r="H2562" i="32"/>
  <c r="N2560" i="32"/>
  <c r="M2560" i="32"/>
  <c r="L2560" i="32"/>
  <c r="K2560" i="32"/>
  <c r="J2560" i="32"/>
  <c r="H2560" i="32"/>
  <c r="G2560" i="32"/>
  <c r="F2560" i="32"/>
  <c r="N2559" i="32"/>
  <c r="M2559" i="32"/>
  <c r="L2559" i="32"/>
  <c r="K2559" i="32"/>
  <c r="J2559" i="32"/>
  <c r="H2559" i="32"/>
  <c r="G2559" i="32"/>
  <c r="F2559" i="32"/>
  <c r="N2558" i="32"/>
  <c r="M2558" i="32"/>
  <c r="K2558" i="32"/>
  <c r="J2558" i="32"/>
  <c r="I2558" i="32"/>
  <c r="H2558" i="32"/>
  <c r="F2558" i="32"/>
  <c r="N2557" i="32"/>
  <c r="M2557" i="32"/>
  <c r="L2557" i="32"/>
  <c r="K2557" i="32"/>
  <c r="J2557" i="32"/>
  <c r="I2557" i="32"/>
  <c r="H2557" i="32"/>
  <c r="N2555" i="32"/>
  <c r="M2555" i="32"/>
  <c r="L2555" i="32"/>
  <c r="K2555" i="32"/>
  <c r="J2555" i="32"/>
  <c r="H2555" i="32"/>
  <c r="G2555" i="32"/>
  <c r="F2555" i="32"/>
  <c r="N2554" i="32"/>
  <c r="L2554" i="32"/>
  <c r="K2554" i="32"/>
  <c r="J2554" i="32"/>
  <c r="I2554" i="32"/>
  <c r="H2554" i="32"/>
  <c r="F2554" i="32"/>
  <c r="N2553" i="32"/>
  <c r="M2553" i="32"/>
  <c r="L2553" i="32"/>
  <c r="K2553" i="32"/>
  <c r="J2553" i="32"/>
  <c r="I2553" i="32"/>
  <c r="H2553" i="32"/>
  <c r="N2550" i="32"/>
  <c r="M2550" i="32"/>
  <c r="L2550" i="32"/>
  <c r="K2550" i="32"/>
  <c r="J2550" i="32"/>
  <c r="H2550" i="32"/>
  <c r="G2550" i="32"/>
  <c r="F2550" i="32"/>
  <c r="N2549" i="32"/>
  <c r="M2549" i="32"/>
  <c r="L2549" i="32"/>
  <c r="K2549" i="32"/>
  <c r="J2549" i="32"/>
  <c r="H2549" i="32"/>
  <c r="G2549" i="32"/>
  <c r="F2549" i="32"/>
  <c r="N2548" i="32"/>
  <c r="M2548" i="32"/>
  <c r="K2548" i="32"/>
  <c r="J2548" i="32"/>
  <c r="I2548" i="32"/>
  <c r="H2548" i="32"/>
  <c r="F2548" i="32"/>
  <c r="N2547" i="32"/>
  <c r="M2547" i="32"/>
  <c r="L2547" i="32"/>
  <c r="K2547" i="32"/>
  <c r="J2547" i="32"/>
  <c r="I2547" i="32"/>
  <c r="H2547" i="32"/>
  <c r="N2545" i="32"/>
  <c r="M2545" i="32"/>
  <c r="L2545" i="32"/>
  <c r="K2545" i="32"/>
  <c r="J2545" i="32"/>
  <c r="H2545" i="32"/>
  <c r="G2545" i="32"/>
  <c r="F2545" i="32"/>
  <c r="N2544" i="32"/>
  <c r="L2544" i="32"/>
  <c r="K2544" i="32"/>
  <c r="J2544" i="32"/>
  <c r="I2544" i="32"/>
  <c r="H2544" i="32"/>
  <c r="F2544" i="32"/>
  <c r="N2543" i="32"/>
  <c r="M2543" i="32"/>
  <c r="L2543" i="32"/>
  <c r="K2543" i="32"/>
  <c r="J2543" i="32"/>
  <c r="I2543" i="32"/>
  <c r="H2543" i="32"/>
  <c r="N2541" i="32"/>
  <c r="M2541" i="32"/>
  <c r="L2541" i="32"/>
  <c r="K2541" i="32"/>
  <c r="J2541" i="32"/>
  <c r="H2541" i="32"/>
  <c r="G2541" i="32"/>
  <c r="F2541" i="32"/>
  <c r="N2540" i="32"/>
  <c r="L2540" i="32"/>
  <c r="K2540" i="32"/>
  <c r="J2540" i="32"/>
  <c r="I2540" i="32"/>
  <c r="H2540" i="32"/>
  <c r="F2540" i="32"/>
  <c r="N2539" i="32"/>
  <c r="M2539" i="32"/>
  <c r="L2539" i="32"/>
  <c r="K2539" i="32"/>
  <c r="J2539" i="32"/>
  <c r="I2539" i="32"/>
  <c r="H2539" i="32"/>
  <c r="N2537" i="32"/>
  <c r="M2537" i="32"/>
  <c r="L2537" i="32"/>
  <c r="K2537" i="32"/>
  <c r="J2537" i="32"/>
  <c r="H2537" i="32"/>
  <c r="G2537" i="32"/>
  <c r="F2537" i="32"/>
  <c r="N2536" i="32"/>
  <c r="L2536" i="32"/>
  <c r="K2536" i="32"/>
  <c r="J2536" i="32"/>
  <c r="I2536" i="32"/>
  <c r="H2536" i="32"/>
  <c r="F2536" i="32"/>
  <c r="N2535" i="32"/>
  <c r="M2535" i="32"/>
  <c r="L2535" i="32"/>
  <c r="K2535" i="32"/>
  <c r="J2535" i="32"/>
  <c r="I2535" i="32"/>
  <c r="H2535" i="32"/>
  <c r="N2533" i="32"/>
  <c r="M2533" i="32"/>
  <c r="L2533" i="32"/>
  <c r="K2533" i="32"/>
  <c r="J2533" i="32"/>
  <c r="H2533" i="32"/>
  <c r="G2533" i="32"/>
  <c r="F2533" i="32"/>
  <c r="N2532" i="32"/>
  <c r="M2532" i="32"/>
  <c r="L2532" i="32"/>
  <c r="K2532" i="32"/>
  <c r="J2532" i="32"/>
  <c r="H2532" i="32"/>
  <c r="G2532" i="32"/>
  <c r="F2532" i="32"/>
  <c r="N2531" i="32"/>
  <c r="M2531" i="32"/>
  <c r="K2531" i="32"/>
  <c r="J2531" i="32"/>
  <c r="I2531" i="32"/>
  <c r="H2531" i="32"/>
  <c r="F2531" i="32"/>
  <c r="N2530" i="32"/>
  <c r="M2530" i="32"/>
  <c r="L2530" i="32"/>
  <c r="K2530" i="32"/>
  <c r="J2530" i="32"/>
  <c r="I2530" i="32"/>
  <c r="H2530" i="32"/>
  <c r="G2527" i="32"/>
  <c r="F2528" i="32"/>
  <c r="N2528" i="32"/>
  <c r="M2528" i="32"/>
  <c r="L2528" i="32"/>
  <c r="K2528" i="32"/>
  <c r="J2528" i="32"/>
  <c r="H2528" i="32"/>
  <c r="G2528" i="32"/>
  <c r="N2527" i="32"/>
  <c r="M2527" i="32"/>
  <c r="L2527" i="32"/>
  <c r="K2527" i="32"/>
  <c r="J2527" i="32"/>
  <c r="H2527" i="32"/>
  <c r="F2527" i="32"/>
  <c r="N2526" i="32"/>
  <c r="M2526" i="32"/>
  <c r="K2526" i="32"/>
  <c r="J2526" i="32"/>
  <c r="I2526" i="32"/>
  <c r="H2526" i="32"/>
  <c r="F2526" i="32"/>
  <c r="N2525" i="32"/>
  <c r="M2525" i="32"/>
  <c r="L2525" i="32"/>
  <c r="K2525" i="32"/>
  <c r="J2525" i="32"/>
  <c r="I2525" i="32"/>
  <c r="H2525" i="32"/>
  <c r="N2523" i="32"/>
  <c r="M2523" i="32"/>
  <c r="L2523" i="32"/>
  <c r="K2523" i="32"/>
  <c r="J2523" i="32"/>
  <c r="H2523" i="32"/>
  <c r="G2523" i="32"/>
  <c r="F2523" i="32"/>
  <c r="N2522" i="32"/>
  <c r="M2522" i="32"/>
  <c r="L2522" i="32"/>
  <c r="K2522" i="32"/>
  <c r="J2522" i="32"/>
  <c r="H2522" i="32"/>
  <c r="G2522" i="32"/>
  <c r="F2522" i="32"/>
  <c r="N2521" i="32"/>
  <c r="M2521" i="32"/>
  <c r="K2521" i="32"/>
  <c r="J2521" i="32"/>
  <c r="I2521" i="32"/>
  <c r="H2521" i="32"/>
  <c r="F2521" i="32"/>
  <c r="N2520" i="32"/>
  <c r="M2520" i="32"/>
  <c r="L2520" i="32"/>
  <c r="K2520" i="32"/>
  <c r="J2520" i="32"/>
  <c r="I2520" i="32"/>
  <c r="H2520" i="32"/>
  <c r="N2517" i="32"/>
  <c r="M2517" i="32"/>
  <c r="L2517" i="32"/>
  <c r="K2517" i="32"/>
  <c r="J2517" i="32"/>
  <c r="H2517" i="32"/>
  <c r="G2517" i="32"/>
  <c r="F2517" i="32"/>
  <c r="N2516" i="32"/>
  <c r="M2516" i="32"/>
  <c r="L2516" i="32"/>
  <c r="K2516" i="32"/>
  <c r="J2516" i="32"/>
  <c r="H2516" i="32"/>
  <c r="G2516" i="32"/>
  <c r="F2516" i="32"/>
  <c r="N2515" i="32"/>
  <c r="M2515" i="32"/>
  <c r="K2515" i="32"/>
  <c r="J2515" i="32"/>
  <c r="I2515" i="32"/>
  <c r="H2515" i="32"/>
  <c r="F2515" i="32"/>
  <c r="N2514" i="32"/>
  <c r="M2514" i="32"/>
  <c r="L2514" i="32"/>
  <c r="K2514" i="32"/>
  <c r="J2514" i="32"/>
  <c r="I2514" i="32"/>
  <c r="H2514" i="32"/>
  <c r="N2512" i="32"/>
  <c r="M2512" i="32"/>
  <c r="L2512" i="32"/>
  <c r="K2512" i="32"/>
  <c r="J2512" i="32"/>
  <c r="H2512" i="32"/>
  <c r="G2512" i="32"/>
  <c r="F2512" i="32"/>
  <c r="N2511" i="32"/>
  <c r="M2511" i="32"/>
  <c r="L2511" i="32"/>
  <c r="K2511" i="32"/>
  <c r="J2511" i="32"/>
  <c r="H2511" i="32"/>
  <c r="G2511" i="32"/>
  <c r="F2511" i="32"/>
  <c r="N2510" i="32"/>
  <c r="M2510" i="32"/>
  <c r="K2510" i="32"/>
  <c r="J2510" i="32"/>
  <c r="I2510" i="32"/>
  <c r="H2510" i="32"/>
  <c r="F2510" i="32"/>
  <c r="N2509" i="32"/>
  <c r="M2509" i="32"/>
  <c r="L2509" i="32"/>
  <c r="K2509" i="32"/>
  <c r="J2509" i="32"/>
  <c r="I2509" i="32"/>
  <c r="H2509" i="32"/>
  <c r="G2507" i="32"/>
  <c r="G2505" i="32"/>
  <c r="F2506" i="32"/>
  <c r="F2507" i="32"/>
  <c r="N2507" i="32"/>
  <c r="M2507" i="32"/>
  <c r="L2507" i="32"/>
  <c r="K2507" i="32"/>
  <c r="J2507" i="32"/>
  <c r="H2507" i="32"/>
  <c r="N2506" i="32"/>
  <c r="M2506" i="32"/>
  <c r="L2506" i="32"/>
  <c r="K2506" i="32"/>
  <c r="J2506" i="32"/>
  <c r="H2506" i="32"/>
  <c r="G2506" i="32"/>
  <c r="N2505" i="32"/>
  <c r="M2505" i="32"/>
  <c r="L2505" i="32"/>
  <c r="K2505" i="32"/>
  <c r="J2505" i="32"/>
  <c r="H2505" i="32"/>
  <c r="F2505" i="32"/>
  <c r="N2504" i="32"/>
  <c r="M2504" i="32"/>
  <c r="K2504" i="32"/>
  <c r="J2504" i="32"/>
  <c r="I2504" i="32"/>
  <c r="H2504" i="32"/>
  <c r="F2504" i="32"/>
  <c r="N2503" i="32"/>
  <c r="M2503" i="32"/>
  <c r="L2503" i="32"/>
  <c r="K2503" i="32"/>
  <c r="J2503" i="32"/>
  <c r="I2503" i="32"/>
  <c r="H2503" i="32"/>
  <c r="G2500" i="32"/>
  <c r="G2495" i="32"/>
  <c r="N2500" i="32"/>
  <c r="M2500" i="32"/>
  <c r="L2500" i="32"/>
  <c r="K2500" i="32"/>
  <c r="J2500" i="32"/>
  <c r="H2500" i="32"/>
  <c r="F2500" i="32"/>
  <c r="I2500" i="32" s="1"/>
  <c r="N2499" i="32"/>
  <c r="K2499" i="32"/>
  <c r="J2499" i="32"/>
  <c r="I2499" i="32"/>
  <c r="H2499" i="32"/>
  <c r="F2499" i="32"/>
  <c r="L2499" i="32" s="1"/>
  <c r="N2498" i="32"/>
  <c r="M2498" i="32"/>
  <c r="L2498" i="32"/>
  <c r="K2498" i="32"/>
  <c r="J2498" i="32"/>
  <c r="I2498" i="32"/>
  <c r="H2498" i="32"/>
  <c r="F2496" i="32"/>
  <c r="N2496" i="32"/>
  <c r="M2496" i="32"/>
  <c r="L2496" i="32"/>
  <c r="K2496" i="32"/>
  <c r="J2496" i="32"/>
  <c r="H2496" i="32"/>
  <c r="G2496" i="32"/>
  <c r="N2495" i="32"/>
  <c r="M2495" i="32"/>
  <c r="L2495" i="32"/>
  <c r="K2495" i="32"/>
  <c r="J2495" i="32"/>
  <c r="H2495" i="32"/>
  <c r="F2495" i="32"/>
  <c r="N2494" i="32"/>
  <c r="M2494" i="32"/>
  <c r="K2494" i="32"/>
  <c r="J2494" i="32"/>
  <c r="I2494" i="32"/>
  <c r="H2494" i="32"/>
  <c r="F2494" i="32"/>
  <c r="N2493" i="32"/>
  <c r="M2493" i="32"/>
  <c r="L2493" i="32"/>
  <c r="K2493" i="32"/>
  <c r="J2493" i="32"/>
  <c r="I2493" i="32"/>
  <c r="H2493" i="32"/>
  <c r="G2491" i="32"/>
  <c r="G2490" i="32"/>
  <c r="H2488" i="32"/>
  <c r="I2488" i="32"/>
  <c r="J2488" i="32"/>
  <c r="K2488" i="32"/>
  <c r="L2488" i="32"/>
  <c r="M2488" i="32"/>
  <c r="N2488" i="32"/>
  <c r="H2489" i="32"/>
  <c r="I2489" i="32"/>
  <c r="J2489" i="32"/>
  <c r="K2489" i="32"/>
  <c r="M2489" i="32"/>
  <c r="N2489" i="32"/>
  <c r="H2490" i="32"/>
  <c r="J2490" i="32"/>
  <c r="K2490" i="32"/>
  <c r="L2490" i="32"/>
  <c r="M2490" i="32"/>
  <c r="N2490" i="32"/>
  <c r="H2491" i="32"/>
  <c r="J2491" i="32"/>
  <c r="K2491" i="32"/>
  <c r="L2491" i="32"/>
  <c r="M2491" i="32"/>
  <c r="N2491" i="32"/>
  <c r="H2492" i="32"/>
  <c r="I2492" i="32"/>
  <c r="J2492" i="32"/>
  <c r="K2492" i="32"/>
  <c r="L2492" i="32"/>
  <c r="M2492" i="32"/>
  <c r="N2492" i="32"/>
  <c r="H2497" i="32"/>
  <c r="I2497" i="32"/>
  <c r="J2497" i="32"/>
  <c r="K2497" i="32"/>
  <c r="L2497" i="32"/>
  <c r="M2497" i="32"/>
  <c r="N2497" i="32"/>
  <c r="H2501" i="32"/>
  <c r="I2501" i="32"/>
  <c r="J2501" i="32"/>
  <c r="K2501" i="32"/>
  <c r="L2501" i="32"/>
  <c r="M2501" i="32"/>
  <c r="N2501" i="32"/>
  <c r="H2502" i="32"/>
  <c r="I2502" i="32"/>
  <c r="J2502" i="32"/>
  <c r="K2502" i="32"/>
  <c r="L2502" i="32"/>
  <c r="M2502" i="32"/>
  <c r="N2502" i="32"/>
  <c r="H2508" i="32"/>
  <c r="I2508" i="32"/>
  <c r="J2508" i="32"/>
  <c r="K2508" i="32"/>
  <c r="L2508" i="32"/>
  <c r="M2508" i="32"/>
  <c r="N2508" i="32"/>
  <c r="H2513" i="32"/>
  <c r="I2513" i="32"/>
  <c r="J2513" i="32"/>
  <c r="K2513" i="32"/>
  <c r="L2513" i="32"/>
  <c r="M2513" i="32"/>
  <c r="N2513" i="32"/>
  <c r="H2518" i="32"/>
  <c r="I2518" i="32"/>
  <c r="J2518" i="32"/>
  <c r="K2518" i="32"/>
  <c r="L2518" i="32"/>
  <c r="M2518" i="32"/>
  <c r="N2518" i="32"/>
  <c r="H2519" i="32"/>
  <c r="I2519" i="32"/>
  <c r="J2519" i="32"/>
  <c r="K2519" i="32"/>
  <c r="L2519" i="32"/>
  <c r="M2519" i="32"/>
  <c r="N2519" i="32"/>
  <c r="H2524" i="32"/>
  <c r="I2524" i="32"/>
  <c r="J2524" i="32"/>
  <c r="K2524" i="32"/>
  <c r="L2524" i="32"/>
  <c r="M2524" i="32"/>
  <c r="N2524" i="32"/>
  <c r="H2529" i="32"/>
  <c r="I2529" i="32"/>
  <c r="J2529" i="32"/>
  <c r="K2529" i="32"/>
  <c r="L2529" i="32"/>
  <c r="M2529" i="32"/>
  <c r="N2529" i="32"/>
  <c r="H2534" i="32"/>
  <c r="I2534" i="32"/>
  <c r="J2534" i="32"/>
  <c r="K2534" i="32"/>
  <c r="L2534" i="32"/>
  <c r="M2534" i="32"/>
  <c r="N2534" i="32"/>
  <c r="H2538" i="32"/>
  <c r="I2538" i="32"/>
  <c r="J2538" i="32"/>
  <c r="K2538" i="32"/>
  <c r="L2538" i="32"/>
  <c r="M2538" i="32"/>
  <c r="N2538" i="32"/>
  <c r="H2542" i="32"/>
  <c r="I2542" i="32"/>
  <c r="J2542" i="32"/>
  <c r="K2542" i="32"/>
  <c r="L2542" i="32"/>
  <c r="M2542" i="32"/>
  <c r="N2542" i="32"/>
  <c r="H2546" i="32"/>
  <c r="I2546" i="32"/>
  <c r="J2546" i="32"/>
  <c r="K2546" i="32"/>
  <c r="L2546" i="32"/>
  <c r="M2546" i="32"/>
  <c r="N2546" i="32"/>
  <c r="H2551" i="32"/>
  <c r="I2551" i="32"/>
  <c r="J2551" i="32"/>
  <c r="K2551" i="32"/>
  <c r="L2551" i="32"/>
  <c r="M2551" i="32"/>
  <c r="N2551" i="32"/>
  <c r="H2552" i="32"/>
  <c r="I2552" i="32"/>
  <c r="J2552" i="32"/>
  <c r="K2552" i="32"/>
  <c r="L2552" i="32"/>
  <c r="M2552" i="32"/>
  <c r="N2552" i="32"/>
  <c r="H2556" i="32"/>
  <c r="I2556" i="32"/>
  <c r="J2556" i="32"/>
  <c r="K2556" i="32"/>
  <c r="L2556" i="32"/>
  <c r="M2556" i="32"/>
  <c r="N2556" i="32"/>
  <c r="H2561" i="32"/>
  <c r="I2561" i="32"/>
  <c r="J2561" i="32"/>
  <c r="K2561" i="32"/>
  <c r="L2561" i="32"/>
  <c r="M2561" i="32"/>
  <c r="N2561" i="32"/>
  <c r="H2566" i="32"/>
  <c r="I2566" i="32"/>
  <c r="J2566" i="32"/>
  <c r="K2566" i="32"/>
  <c r="L2566" i="32"/>
  <c r="M2566" i="32"/>
  <c r="N2566" i="32"/>
  <c r="H2567" i="32"/>
  <c r="I2567" i="32"/>
  <c r="J2567" i="32"/>
  <c r="K2567" i="32"/>
  <c r="L2567" i="32"/>
  <c r="M2567" i="32"/>
  <c r="N2567" i="32"/>
  <c r="H2585" i="32"/>
  <c r="I2585" i="32"/>
  <c r="J2585" i="32"/>
  <c r="K2585" i="32"/>
  <c r="L2585" i="32"/>
  <c r="M2585" i="32"/>
  <c r="N2585" i="32"/>
  <c r="H2589" i="32"/>
  <c r="I2589" i="32"/>
  <c r="J2589" i="32"/>
  <c r="K2589" i="32"/>
  <c r="L2589" i="32"/>
  <c r="M2589" i="32"/>
  <c r="N2589" i="32"/>
  <c r="H2593" i="32"/>
  <c r="I2593" i="32"/>
  <c r="J2593" i="32"/>
  <c r="K2593" i="32"/>
  <c r="L2593" i="32"/>
  <c r="M2593" i="32"/>
  <c r="N2593" i="32"/>
  <c r="H2594" i="32"/>
  <c r="I2594" i="32"/>
  <c r="J2594" i="32"/>
  <c r="K2594" i="32"/>
  <c r="L2594" i="32"/>
  <c r="M2594" i="32"/>
  <c r="N2594" i="32"/>
  <c r="H2602" i="32"/>
  <c r="I2602" i="32"/>
  <c r="J2602" i="32"/>
  <c r="K2602" i="32"/>
  <c r="L2602" i="32"/>
  <c r="M2602" i="32"/>
  <c r="N2602" i="32"/>
  <c r="H2607" i="32"/>
  <c r="I2607" i="32"/>
  <c r="J2607" i="32"/>
  <c r="K2607" i="32"/>
  <c r="L2607" i="32"/>
  <c r="M2607" i="32"/>
  <c r="N2607" i="32"/>
  <c r="H2611" i="32"/>
  <c r="I2611" i="32"/>
  <c r="J2611" i="32"/>
  <c r="K2611" i="32"/>
  <c r="L2611" i="32"/>
  <c r="M2611" i="32"/>
  <c r="N2611" i="32"/>
  <c r="H2616" i="32"/>
  <c r="I2616" i="32"/>
  <c r="J2616" i="32"/>
  <c r="K2616" i="32"/>
  <c r="L2616" i="32"/>
  <c r="M2616" i="32"/>
  <c r="N2616" i="32"/>
  <c r="H2621" i="32"/>
  <c r="I2621" i="32"/>
  <c r="J2621" i="32"/>
  <c r="K2621" i="32"/>
  <c r="L2621" i="32"/>
  <c r="M2621" i="32"/>
  <c r="N2621" i="32"/>
  <c r="H2626" i="32"/>
  <c r="I2626" i="32"/>
  <c r="J2626" i="32"/>
  <c r="K2626" i="32"/>
  <c r="L2626" i="32"/>
  <c r="M2626" i="32"/>
  <c r="N2626" i="32"/>
  <c r="H2630" i="32"/>
  <c r="I2630" i="32"/>
  <c r="J2630" i="32"/>
  <c r="K2630" i="32"/>
  <c r="L2630" i="32"/>
  <c r="M2630" i="32"/>
  <c r="N2630" i="32"/>
  <c r="H2631" i="32"/>
  <c r="I2631" i="32"/>
  <c r="J2631" i="32"/>
  <c r="K2631" i="32"/>
  <c r="L2631" i="32"/>
  <c r="M2631" i="32"/>
  <c r="N2631" i="32"/>
  <c r="H2632" i="32"/>
  <c r="I2632" i="32"/>
  <c r="J2632" i="32"/>
  <c r="K2632" i="32"/>
  <c r="L2632" i="32"/>
  <c r="M2632" i="32"/>
  <c r="N2632" i="32"/>
  <c r="H2637" i="32"/>
  <c r="I2637" i="32"/>
  <c r="J2637" i="32"/>
  <c r="K2637" i="32"/>
  <c r="L2637" i="32"/>
  <c r="M2637" i="32"/>
  <c r="N2637" i="32"/>
  <c r="H2642" i="32"/>
  <c r="I2642" i="32"/>
  <c r="J2642" i="32"/>
  <c r="K2642" i="32"/>
  <c r="L2642" i="32"/>
  <c r="M2642" i="32"/>
  <c r="N2642" i="32"/>
  <c r="H2647" i="32"/>
  <c r="I2647" i="32"/>
  <c r="J2647" i="32"/>
  <c r="K2647" i="32"/>
  <c r="L2647" i="32"/>
  <c r="M2647" i="32"/>
  <c r="N2647" i="32"/>
  <c r="H2652" i="32"/>
  <c r="I2652" i="32"/>
  <c r="J2652" i="32"/>
  <c r="K2652" i="32"/>
  <c r="L2652" i="32"/>
  <c r="M2652" i="32"/>
  <c r="N2652" i="32"/>
  <c r="H2657" i="32"/>
  <c r="I2657" i="32"/>
  <c r="J2657" i="32"/>
  <c r="K2657" i="32"/>
  <c r="L2657" i="32"/>
  <c r="M2657" i="32"/>
  <c r="N2657" i="32"/>
  <c r="H2663" i="32"/>
  <c r="I2663" i="32"/>
  <c r="J2663" i="32"/>
  <c r="K2663" i="32"/>
  <c r="L2663" i="32"/>
  <c r="M2663" i="32"/>
  <c r="N2663" i="32"/>
  <c r="H2669" i="32"/>
  <c r="I2669" i="32"/>
  <c r="J2669" i="32"/>
  <c r="K2669" i="32"/>
  <c r="L2669" i="32"/>
  <c r="M2669" i="32"/>
  <c r="N2669" i="32"/>
  <c r="H2670" i="32"/>
  <c r="I2670" i="32"/>
  <c r="J2670" i="32"/>
  <c r="K2670" i="32"/>
  <c r="L2670" i="32"/>
  <c r="M2670" i="32"/>
  <c r="N2670" i="32"/>
  <c r="H2696" i="32"/>
  <c r="I2696" i="32"/>
  <c r="J2696" i="32"/>
  <c r="K2696" i="32"/>
  <c r="L2696" i="32"/>
  <c r="M2696" i="32"/>
  <c r="N2696" i="32"/>
  <c r="H2702" i="32"/>
  <c r="I2702" i="32"/>
  <c r="J2702" i="32"/>
  <c r="K2702" i="32"/>
  <c r="L2702" i="32"/>
  <c r="M2702" i="32"/>
  <c r="N2702" i="32"/>
  <c r="H2703" i="32"/>
  <c r="I2703" i="32"/>
  <c r="J2703" i="32"/>
  <c r="K2703" i="32"/>
  <c r="L2703" i="32"/>
  <c r="M2703" i="32"/>
  <c r="N2703" i="32"/>
  <c r="F2489" i="32"/>
  <c r="F2490" i="32"/>
  <c r="F2491" i="32"/>
  <c r="L2634" i="32" l="1"/>
  <c r="I2527" i="32"/>
  <c r="I2699" i="32"/>
  <c r="L2644" i="32"/>
  <c r="L2665" i="32"/>
  <c r="I2507" i="32"/>
  <c r="I2505" i="32"/>
  <c r="L2692" i="32"/>
  <c r="I2666" i="32"/>
  <c r="I2700" i="32"/>
  <c r="I2506" i="32"/>
  <c r="I2597" i="32"/>
  <c r="I2605" i="32"/>
  <c r="I2606" i="32"/>
  <c r="I2614" i="32"/>
  <c r="I2615" i="32"/>
  <c r="I2624" i="32"/>
  <c r="I2625" i="32"/>
  <c r="I2635" i="32"/>
  <c r="I2636" i="32"/>
  <c r="I2645" i="32"/>
  <c r="I2646" i="32"/>
  <c r="I2655" i="32"/>
  <c r="I2656" i="32"/>
  <c r="I2683" i="32"/>
  <c r="I2684" i="32"/>
  <c r="I2701" i="32"/>
  <c r="I2668" i="32"/>
  <c r="I2693" i="32"/>
  <c r="I2694" i="32"/>
  <c r="I2695" i="32"/>
  <c r="L2654" i="32"/>
  <c r="M2587" i="32"/>
  <c r="I2588" i="32"/>
  <c r="L2604" i="32"/>
  <c r="I2667" i="32"/>
  <c r="I2580" i="32"/>
  <c r="M2591" i="32"/>
  <c r="M2600" i="32"/>
  <c r="I2601" i="32"/>
  <c r="I2619" i="32"/>
  <c r="I2620" i="32"/>
  <c r="L2659" i="32"/>
  <c r="I2660" i="32"/>
  <c r="I2661" i="32"/>
  <c r="L2677" i="32"/>
  <c r="I2678" i="32"/>
  <c r="I2679" i="32"/>
  <c r="L2687" i="32"/>
  <c r="I2688" i="32"/>
  <c r="I2689" i="32"/>
  <c r="I2522" i="32"/>
  <c r="I2523" i="32"/>
  <c r="L2563" i="32"/>
  <c r="I2564" i="32"/>
  <c r="I2640" i="32"/>
  <c r="I2641" i="32"/>
  <c r="I2662" i="32"/>
  <c r="M2540" i="32"/>
  <c r="I2575" i="32"/>
  <c r="I2576" i="32"/>
  <c r="I2592" i="32"/>
  <c r="M2609" i="32"/>
  <c r="I2610" i="32"/>
  <c r="M2628" i="32"/>
  <c r="I2629" i="32"/>
  <c r="L2649" i="32"/>
  <c r="I2650" i="32"/>
  <c r="I2651" i="32"/>
  <c r="L2672" i="32"/>
  <c r="I2673" i="32"/>
  <c r="I2674" i="32"/>
  <c r="L2698" i="32"/>
  <c r="L2682" i="32"/>
  <c r="L2639" i="32"/>
  <c r="L2618" i="32"/>
  <c r="L2613" i="32"/>
  <c r="M2596" i="32"/>
  <c r="I2491" i="32"/>
  <c r="I2549" i="32"/>
  <c r="I2550" i="32"/>
  <c r="I2565" i="32"/>
  <c r="M2583" i="32"/>
  <c r="I2584" i="32"/>
  <c r="I2496" i="32"/>
  <c r="L2510" i="32"/>
  <c r="I2511" i="32"/>
  <c r="I2512" i="32"/>
  <c r="I2528" i="32"/>
  <c r="M2536" i="32"/>
  <c r="I2537" i="32"/>
  <c r="I2541" i="32"/>
  <c r="I2559" i="32"/>
  <c r="I2560" i="32"/>
  <c r="L2569" i="32"/>
  <c r="I2570" i="32"/>
  <c r="I2516" i="32"/>
  <c r="I2517" i="32"/>
  <c r="M2544" i="32"/>
  <c r="I2545" i="32"/>
  <c r="L2548" i="32"/>
  <c r="M2579" i="32"/>
  <c r="L2574" i="32"/>
  <c r="L2494" i="32"/>
  <c r="I2495" i="32"/>
  <c r="L2526" i="32"/>
  <c r="L2531" i="32"/>
  <c r="I2532" i="32"/>
  <c r="I2533" i="32"/>
  <c r="M2554" i="32"/>
  <c r="I2555" i="32"/>
  <c r="I2571" i="32"/>
  <c r="L2558" i="32"/>
  <c r="L2515" i="32"/>
  <c r="L2521" i="32"/>
  <c r="L2504" i="32"/>
  <c r="I2490" i="32"/>
  <c r="M2499" i="32"/>
  <c r="L2489" i="32"/>
  <c r="H10" i="32" l="1"/>
  <c r="I10" i="32"/>
  <c r="I2704" i="32" s="1"/>
  <c r="J10" i="32"/>
  <c r="J2704" i="32" s="1"/>
  <c r="K10" i="32"/>
  <c r="K2704" i="32" s="1"/>
  <c r="L10" i="32"/>
  <c r="L2704" i="32" s="1"/>
  <c r="M10" i="32"/>
  <c r="M2704" i="32" s="1"/>
  <c r="N10" i="32"/>
  <c r="N2704" i="32" s="1"/>
  <c r="K2706" i="32" l="1"/>
  <c r="N2706" i="32"/>
  <c r="J2706" i="32"/>
  <c r="M2706" i="32"/>
  <c r="I2706" i="32"/>
  <c r="L2706" i="32"/>
  <c r="H2704" i="32"/>
  <c r="H2706" i="32" s="1"/>
  <c r="H2707" i="32" l="1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11" i="6"/>
  <c r="K80" i="6" l="1"/>
  <c r="D574" i="2"/>
  <c r="F17" i="4" l="1"/>
  <c r="D208" i="2" l="1"/>
  <c r="D207" i="2"/>
  <c r="F207" i="2" s="1"/>
  <c r="D206" i="2"/>
  <c r="F206" i="2" s="1"/>
  <c r="D202" i="2"/>
  <c r="F202" i="2" s="1"/>
  <c r="D213" i="2"/>
  <c r="F213" i="2" s="1"/>
  <c r="D198" i="2"/>
  <c r="F198" i="2" s="1"/>
  <c r="D190" i="2"/>
  <c r="D199" i="5" l="1"/>
  <c r="F208" i="2"/>
  <c r="D196" i="5"/>
  <c r="D198" i="5"/>
  <c r="D192" i="5"/>
  <c r="D206" i="5"/>
  <c r="D187" i="5"/>
  <c r="F190" i="2"/>
  <c r="D175" i="5"/>
  <c r="M71" i="4"/>
  <c r="M72" i="4"/>
  <c r="M73" i="4"/>
  <c r="M74" i="4"/>
  <c r="M70" i="4"/>
  <c r="D213" i="5"/>
  <c r="D212" i="5"/>
  <c r="G434" i="5"/>
  <c r="G435" i="5"/>
  <c r="G436" i="5"/>
  <c r="G437" i="5"/>
  <c r="G438" i="5"/>
  <c r="G439" i="5"/>
  <c r="G440" i="5"/>
  <c r="G442" i="5"/>
  <c r="G433" i="5"/>
  <c r="G447" i="5"/>
  <c r="M77" i="4" l="1"/>
  <c r="D443" i="2"/>
  <c r="D435" i="2"/>
  <c r="D433" i="2"/>
  <c r="D434" i="2"/>
  <c r="D436" i="2"/>
  <c r="F436" i="2" s="1"/>
  <c r="D431" i="2"/>
  <c r="D462" i="5" s="1"/>
  <c r="D134" i="5"/>
  <c r="G31" i="5"/>
  <c r="G33" i="5"/>
  <c r="G34" i="5"/>
  <c r="D20" i="5"/>
  <c r="H446" i="5"/>
  <c r="H447" i="5"/>
  <c r="H445" i="5"/>
  <c r="H434" i="5"/>
  <c r="H435" i="5"/>
  <c r="H436" i="5"/>
  <c r="H437" i="5"/>
  <c r="H438" i="5"/>
  <c r="H439" i="5"/>
  <c r="H440" i="5"/>
  <c r="H441" i="5"/>
  <c r="H442" i="5"/>
  <c r="H433" i="5"/>
  <c r="H87" i="5"/>
  <c r="H80" i="5"/>
  <c r="H66" i="5"/>
  <c r="H61" i="5"/>
  <c r="H49" i="5"/>
  <c r="H37" i="5"/>
  <c r="H448" i="5" l="1"/>
  <c r="D105" i="2"/>
  <c r="D94" i="5" s="1"/>
  <c r="H443" i="5"/>
  <c r="F443" i="2"/>
  <c r="D482" i="5"/>
  <c r="D470" i="5"/>
  <c r="F433" i="2"/>
  <c r="D467" i="5"/>
  <c r="F435" i="2"/>
  <c r="D469" i="5"/>
  <c r="F434" i="2"/>
  <c r="D468" i="5"/>
  <c r="F431" i="2"/>
  <c r="D106" i="2"/>
  <c r="D95" i="5" s="1"/>
  <c r="D110" i="2"/>
  <c r="D221" i="2"/>
  <c r="D218" i="5" s="1"/>
  <c r="D220" i="2"/>
  <c r="D217" i="5" s="1"/>
  <c r="D212" i="2"/>
  <c r="D214" i="2" l="1"/>
  <c r="D208" i="5" s="1"/>
  <c r="D215" i="2"/>
  <c r="D209" i="5" s="1"/>
  <c r="D210" i="2"/>
  <c r="D205" i="5"/>
  <c r="F212" i="2"/>
  <c r="F106" i="2"/>
  <c r="F110" i="2"/>
  <c r="D100" i="5"/>
  <c r="D166" i="2"/>
  <c r="D165" i="2"/>
  <c r="D164" i="2"/>
  <c r="D158" i="2"/>
  <c r="D143" i="5" s="1"/>
  <c r="D156" i="2"/>
  <c r="D147" i="2"/>
  <c r="F146" i="2"/>
  <c r="D224" i="2" l="1"/>
  <c r="D222" i="5" s="1"/>
  <c r="F210" i="2"/>
  <c r="D202" i="5"/>
  <c r="F156" i="2"/>
  <c r="D142" i="5"/>
  <c r="F164" i="2"/>
  <c r="D148" i="5"/>
  <c r="F165" i="2"/>
  <c r="D149" i="5"/>
  <c r="F166" i="2"/>
  <c r="D150" i="5"/>
  <c r="F147" i="2"/>
  <c r="D135" i="5"/>
  <c r="D222" i="2"/>
  <c r="D219" i="5" s="1"/>
  <c r="D223" i="2"/>
  <c r="D220" i="5" s="1"/>
  <c r="D506" i="2"/>
  <c r="D505" i="2"/>
  <c r="F506" i="2" l="1"/>
  <c r="D549" i="5"/>
  <c r="F505" i="2"/>
  <c r="D548" i="5"/>
  <c r="D464" i="2"/>
  <c r="D421" i="2"/>
  <c r="D446" i="5" s="1"/>
  <c r="G446" i="5" s="1"/>
  <c r="D420" i="2"/>
  <c r="D445" i="5" s="1"/>
  <c r="G445" i="5" s="1"/>
  <c r="D414" i="2"/>
  <c r="D441" i="5" s="1"/>
  <c r="G441" i="5" s="1"/>
  <c r="G443" i="5" s="1"/>
  <c r="G448" i="5" l="1"/>
  <c r="F464" i="2"/>
  <c r="D508" i="5"/>
  <c r="D370" i="2"/>
  <c r="D369" i="2"/>
  <c r="D375" i="2"/>
  <c r="F421" i="2"/>
  <c r="F422" i="2"/>
  <c r="F420" i="2"/>
  <c r="F407" i="2"/>
  <c r="F408" i="2"/>
  <c r="F409" i="2"/>
  <c r="F410" i="2"/>
  <c r="F411" i="2"/>
  <c r="F412" i="2"/>
  <c r="F413" i="2"/>
  <c r="F414" i="2"/>
  <c r="F415" i="2"/>
  <c r="F406" i="2"/>
  <c r="F382" i="2"/>
  <c r="F383" i="2"/>
  <c r="F384" i="2"/>
  <c r="F385" i="2"/>
  <c r="F386" i="2"/>
  <c r="F388" i="2"/>
  <c r="F389" i="2"/>
  <c r="F390" i="2"/>
  <c r="F391" i="2"/>
  <c r="F392" i="2"/>
  <c r="F394" i="2"/>
  <c r="F395" i="2"/>
  <c r="F396" i="2"/>
  <c r="F398" i="2"/>
  <c r="F399" i="2"/>
  <c r="F400" i="2"/>
  <c r="F401" i="2"/>
  <c r="F403" i="2" s="1"/>
  <c r="F381" i="2"/>
  <c r="F417" i="2" l="1"/>
  <c r="F369" i="2"/>
  <c r="D390" i="5"/>
  <c r="F370" i="2"/>
  <c r="D392" i="5"/>
  <c r="F375" i="2"/>
  <c r="F377" i="2" s="1"/>
  <c r="D406" i="5"/>
  <c r="F424" i="2"/>
  <c r="D358" i="2"/>
  <c r="D346" i="2"/>
  <c r="D327" i="2"/>
  <c r="F327" i="2" s="1"/>
  <c r="D326" i="2"/>
  <c r="F326" i="2" s="1"/>
  <c r="D325" i="2"/>
  <c r="F325" i="2" s="1"/>
  <c r="D324" i="2"/>
  <c r="F324" i="2" s="1"/>
  <c r="D309" i="2"/>
  <c r="D297" i="2"/>
  <c r="D301" i="2"/>
  <c r="D300" i="2"/>
  <c r="F346" i="2" l="1"/>
  <c r="D366" i="5"/>
  <c r="F358" i="2"/>
  <c r="D379" i="5"/>
  <c r="F297" i="2"/>
  <c r="D309" i="5"/>
  <c r="F301" i="2"/>
  <c r="D320" i="5"/>
  <c r="F300" i="2"/>
  <c r="D318" i="5"/>
  <c r="F309" i="2"/>
  <c r="D327" i="5"/>
  <c r="D359" i="2"/>
  <c r="D353" i="2"/>
  <c r="D352" i="2"/>
  <c r="D351" i="2"/>
  <c r="D350" i="2"/>
  <c r="D349" i="2"/>
  <c r="D347" i="2"/>
  <c r="D345" i="2"/>
  <c r="D344" i="2"/>
  <c r="D343" i="2"/>
  <c r="D342" i="2"/>
  <c r="D340" i="2"/>
  <c r="D358" i="5" s="1"/>
  <c r="D333" i="2"/>
  <c r="D334" i="2"/>
  <c r="D328" i="2"/>
  <c r="D313" i="2"/>
  <c r="D312" i="2"/>
  <c r="D331" i="5" s="1"/>
  <c r="D307" i="2"/>
  <c r="D308" i="2"/>
  <c r="D310" i="2"/>
  <c r="D299" i="2"/>
  <c r="D315" i="5" s="1"/>
  <c r="D298" i="2"/>
  <c r="D314" i="5" s="1"/>
  <c r="D292" i="2"/>
  <c r="F292" i="2" s="1"/>
  <c r="D286" i="2"/>
  <c r="F286" i="2" s="1"/>
  <c r="D285" i="2"/>
  <c r="F285" i="2" s="1"/>
  <c r="F343" i="2" l="1"/>
  <c r="D362" i="5"/>
  <c r="F347" i="2"/>
  <c r="D367" i="5"/>
  <c r="F352" i="2"/>
  <c r="D375" i="5"/>
  <c r="F349" i="2"/>
  <c r="D369" i="5"/>
  <c r="F353" i="2"/>
  <c r="D376" i="5"/>
  <c r="F342" i="2"/>
  <c r="D360" i="5"/>
  <c r="F344" i="2"/>
  <c r="D363" i="5"/>
  <c r="F350" i="2"/>
  <c r="D370" i="5"/>
  <c r="F359" i="2"/>
  <c r="F361" i="2" s="1"/>
  <c r="D380" i="5"/>
  <c r="F345" i="2"/>
  <c r="D365" i="5"/>
  <c r="F351" i="2"/>
  <c r="D371" i="5"/>
  <c r="F307" i="2"/>
  <c r="D325" i="5"/>
  <c r="F310" i="2"/>
  <c r="D328" i="5"/>
  <c r="F313" i="2"/>
  <c r="D332" i="5"/>
  <c r="F333" i="2"/>
  <c r="D352" i="5"/>
  <c r="F334" i="2"/>
  <c r="D353" i="5"/>
  <c r="F308" i="2"/>
  <c r="D326" i="5"/>
  <c r="F328" i="2"/>
  <c r="D349" i="5"/>
  <c r="F312" i="2"/>
  <c r="F340" i="2"/>
  <c r="D341" i="2"/>
  <c r="F298" i="2"/>
  <c r="F299" i="2"/>
  <c r="F303" i="2" l="1"/>
  <c r="F341" i="2"/>
  <c r="F355" i="2" s="1"/>
  <c r="D359" i="5"/>
  <c r="F336" i="2"/>
  <c r="F315" i="2"/>
  <c r="H15" i="4" l="1"/>
  <c r="D291" i="2" l="1"/>
  <c r="F291" i="2" s="1"/>
  <c r="D290" i="2"/>
  <c r="F290" i="2" s="1"/>
  <c r="D289" i="2"/>
  <c r="F289" i="2" s="1"/>
  <c r="D288" i="2"/>
  <c r="F288" i="2" s="1"/>
  <c r="D287" i="2"/>
  <c r="F287" i="2" s="1"/>
  <c r="D284" i="2"/>
  <c r="F284" i="2" s="1"/>
  <c r="D283" i="2"/>
  <c r="F283" i="2" s="1"/>
  <c r="D282" i="2"/>
  <c r="F282" i="2" s="1"/>
  <c r="D281" i="2"/>
  <c r="F281" i="2" s="1"/>
  <c r="D280" i="2"/>
  <c r="F280" i="2" s="1"/>
  <c r="D279" i="2"/>
  <c r="D277" i="2"/>
  <c r="D477" i="2"/>
  <c r="D63" i="2"/>
  <c r="F63" i="2" l="1"/>
  <c r="D60" i="5"/>
  <c r="F477" i="2"/>
  <c r="D522" i="5"/>
  <c r="F277" i="2"/>
  <c r="D281" i="5"/>
  <c r="F279" i="2"/>
  <c r="D288" i="5"/>
  <c r="F105" i="2"/>
  <c r="F294" i="2" l="1"/>
  <c r="D225" i="2" l="1"/>
  <c r="D224" i="5" s="1"/>
  <c r="D149" i="2"/>
  <c r="D137" i="5" s="1"/>
  <c r="D367" i="2" l="1"/>
  <c r="D364" i="2"/>
  <c r="D368" i="2"/>
  <c r="D366" i="2"/>
  <c r="D365" i="2"/>
  <c r="F366" i="2" l="1"/>
  <c r="D386" i="5"/>
  <c r="F368" i="2"/>
  <c r="D389" i="5"/>
  <c r="F364" i="2"/>
  <c r="D383" i="5"/>
  <c r="F365" i="2"/>
  <c r="D385" i="5"/>
  <c r="F367" i="2"/>
  <c r="D387" i="5"/>
  <c r="F372" i="2" l="1"/>
  <c r="D511" i="2"/>
  <c r="D553" i="5" s="1"/>
  <c r="F225" i="2"/>
  <c r="D199" i="2"/>
  <c r="D188" i="5" s="1"/>
  <c r="D192" i="2"/>
  <c r="D178" i="5" s="1"/>
  <c r="D191" i="2"/>
  <c r="D176" i="5" s="1"/>
  <c r="D188" i="2"/>
  <c r="D173" i="5" s="1"/>
  <c r="D463" i="2" l="1"/>
  <c r="D204" i="2"/>
  <c r="D194" i="5" s="1"/>
  <c r="D200" i="2"/>
  <c r="D189" i="5" s="1"/>
  <c r="D186" i="2"/>
  <c r="D171" i="5" s="1"/>
  <c r="D228" i="2"/>
  <c r="D201" i="2"/>
  <c r="D191" i="5" s="1"/>
  <c r="D209" i="2"/>
  <c r="D200" i="5" s="1"/>
  <c r="D203" i="2"/>
  <c r="D193" i="5" s="1"/>
  <c r="D465" i="2"/>
  <c r="D460" i="2"/>
  <c r="D232" i="2"/>
  <c r="D235" i="2"/>
  <c r="D196" i="2"/>
  <c r="D184" i="5" s="1"/>
  <c r="D234" i="2"/>
  <c r="D238" i="2"/>
  <c r="D237" i="2"/>
  <c r="D233" i="2"/>
  <c r="D236" i="2"/>
  <c r="D476" i="2"/>
  <c r="D475" i="2"/>
  <c r="D470" i="2"/>
  <c r="D461" i="2"/>
  <c r="D462" i="2"/>
  <c r="D459" i="2"/>
  <c r="D458" i="2"/>
  <c r="D187" i="2"/>
  <c r="D172" i="5" s="1"/>
  <c r="D194" i="2"/>
  <c r="D179" i="5" s="1"/>
  <c r="D189" i="2"/>
  <c r="D174" i="5" s="1"/>
  <c r="D184" i="2"/>
  <c r="D169" i="5" s="1"/>
  <c r="D182" i="2"/>
  <c r="D167" i="5" s="1"/>
  <c r="D181" i="2"/>
  <c r="D166" i="5" s="1"/>
  <c r="D180" i="2"/>
  <c r="D165" i="5" s="1"/>
  <c r="F460" i="2" l="1"/>
  <c r="D504" i="5"/>
  <c r="F465" i="2"/>
  <c r="D509" i="5"/>
  <c r="F236" i="2"/>
  <c r="D244" i="5"/>
  <c r="F238" i="2"/>
  <c r="D246" i="5"/>
  <c r="F232" i="2"/>
  <c r="D233" i="5"/>
  <c r="F459" i="2"/>
  <c r="D503" i="5"/>
  <c r="F470" i="2"/>
  <c r="F472" i="2" s="1"/>
  <c r="D514" i="5"/>
  <c r="F233" i="2"/>
  <c r="D237" i="5"/>
  <c r="F234" i="2"/>
  <c r="D240" i="5"/>
  <c r="F228" i="2"/>
  <c r="D228" i="5"/>
  <c r="F462" i="2"/>
  <c r="D506" i="5"/>
  <c r="F475" i="2"/>
  <c r="D519" i="5"/>
  <c r="F237" i="2"/>
  <c r="D245" i="5"/>
  <c r="F463" i="2"/>
  <c r="D507" i="5"/>
  <c r="F458" i="2"/>
  <c r="D502" i="5"/>
  <c r="F461" i="2"/>
  <c r="D505" i="5"/>
  <c r="F476" i="2"/>
  <c r="D520" i="5"/>
  <c r="F235" i="2"/>
  <c r="D241" i="5"/>
  <c r="D229" i="2"/>
  <c r="F181" i="2"/>
  <c r="F182" i="2"/>
  <c r="F184" i="2"/>
  <c r="F186" i="2"/>
  <c r="F187" i="2"/>
  <c r="F188" i="2"/>
  <c r="F189" i="2"/>
  <c r="F191" i="2"/>
  <c r="F192" i="2"/>
  <c r="F194" i="2"/>
  <c r="F196" i="2"/>
  <c r="F199" i="2"/>
  <c r="F200" i="2"/>
  <c r="F201" i="2"/>
  <c r="F203" i="2"/>
  <c r="F204" i="2"/>
  <c r="F209" i="2"/>
  <c r="F214" i="2"/>
  <c r="F215" i="2"/>
  <c r="F217" i="2"/>
  <c r="F218" i="2"/>
  <c r="F220" i="2"/>
  <c r="F221" i="2"/>
  <c r="F222" i="2"/>
  <c r="F223" i="2"/>
  <c r="F224" i="2"/>
  <c r="F180" i="2"/>
  <c r="D160" i="2"/>
  <c r="D145" i="5" s="1"/>
  <c r="D159" i="2"/>
  <c r="D144" i="5" s="1"/>
  <c r="D173" i="2"/>
  <c r="F173" i="2" s="1"/>
  <c r="D174" i="2"/>
  <c r="F174" i="2" s="1"/>
  <c r="F158" i="2"/>
  <c r="D107" i="2"/>
  <c r="D26" i="2"/>
  <c r="F240" i="2" l="1"/>
  <c r="F467" i="2"/>
  <c r="F479" i="2"/>
  <c r="F229" i="2"/>
  <c r="F230" i="2" s="1"/>
  <c r="D229" i="5"/>
  <c r="F26" i="2"/>
  <c r="D21" i="5"/>
  <c r="F107" i="2"/>
  <c r="D97" i="5"/>
  <c r="D183" i="2"/>
  <c r="D109" i="2"/>
  <c r="D111" i="2"/>
  <c r="F159" i="2"/>
  <c r="F160" i="2"/>
  <c r="D162" i="2" l="1"/>
  <c r="D147" i="5" s="1"/>
  <c r="F183" i="2"/>
  <c r="D168" i="5"/>
  <c r="G168" i="5" s="1"/>
  <c r="F109" i="2"/>
  <c r="D99" i="5"/>
  <c r="G99" i="5" s="1"/>
  <c r="F111" i="2"/>
  <c r="D101" i="5"/>
  <c r="G101" i="5" s="1"/>
  <c r="D93" i="2"/>
  <c r="H554" i="5"/>
  <c r="G554" i="5"/>
  <c r="H553" i="5"/>
  <c r="G553" i="5"/>
  <c r="G552" i="5"/>
  <c r="H551" i="5"/>
  <c r="G551" i="5"/>
  <c r="H550" i="5"/>
  <c r="G550" i="5"/>
  <c r="H549" i="5"/>
  <c r="G549" i="5"/>
  <c r="H548" i="5"/>
  <c r="G548" i="5"/>
  <c r="H547" i="5"/>
  <c r="H546" i="5"/>
  <c r="H540" i="5"/>
  <c r="H539" i="5"/>
  <c r="H538" i="5"/>
  <c r="H537" i="5"/>
  <c r="H536" i="5"/>
  <c r="H534" i="5"/>
  <c r="H533" i="5"/>
  <c r="H532" i="5"/>
  <c r="H531" i="5"/>
  <c r="H530" i="5"/>
  <c r="H529" i="5"/>
  <c r="H528" i="5"/>
  <c r="H526" i="5"/>
  <c r="H522" i="5"/>
  <c r="G522" i="5"/>
  <c r="H521" i="5"/>
  <c r="G521" i="5"/>
  <c r="H520" i="5"/>
  <c r="G520" i="5"/>
  <c r="H519" i="5"/>
  <c r="G519" i="5"/>
  <c r="H515" i="5"/>
  <c r="G515" i="5"/>
  <c r="H514" i="5"/>
  <c r="G514" i="5"/>
  <c r="H513" i="5"/>
  <c r="G513" i="5"/>
  <c r="H509" i="5"/>
  <c r="G509" i="5"/>
  <c r="H508" i="5"/>
  <c r="G508" i="5"/>
  <c r="H507" i="5"/>
  <c r="G507" i="5"/>
  <c r="H506" i="5"/>
  <c r="G506" i="5"/>
  <c r="H505" i="5"/>
  <c r="G505" i="5"/>
  <c r="H504" i="5"/>
  <c r="G504" i="5"/>
  <c r="H503" i="5"/>
  <c r="G503" i="5"/>
  <c r="H502" i="5"/>
  <c r="G502" i="5"/>
  <c r="H498" i="5"/>
  <c r="H497" i="5"/>
  <c r="G497" i="5"/>
  <c r="H496" i="5"/>
  <c r="H495" i="5"/>
  <c r="H494" i="5"/>
  <c r="H493" i="5"/>
  <c r="H492" i="5"/>
  <c r="G492" i="5"/>
  <c r="H491" i="5"/>
  <c r="G491" i="5"/>
  <c r="H486" i="5"/>
  <c r="G486" i="5"/>
  <c r="H485" i="5"/>
  <c r="G485" i="5"/>
  <c r="H484" i="5"/>
  <c r="G484" i="5"/>
  <c r="H483" i="5"/>
  <c r="G483" i="5"/>
  <c r="H482" i="5"/>
  <c r="G482" i="5"/>
  <c r="H481" i="5"/>
  <c r="G481" i="5"/>
  <c r="H480" i="5"/>
  <c r="G480" i="5"/>
  <c r="H479" i="5"/>
  <c r="G479" i="5"/>
  <c r="H477" i="5"/>
  <c r="H476" i="5"/>
  <c r="H475" i="5"/>
  <c r="H474" i="5"/>
  <c r="G474" i="5"/>
  <c r="H473" i="5"/>
  <c r="G473" i="5"/>
  <c r="H471" i="5"/>
  <c r="H470" i="5"/>
  <c r="G470" i="5"/>
  <c r="H469" i="5"/>
  <c r="G469" i="5"/>
  <c r="H468" i="5"/>
  <c r="G468" i="5"/>
  <c r="H467" i="5"/>
  <c r="G467" i="5"/>
  <c r="H466" i="5"/>
  <c r="G466" i="5"/>
  <c r="H465" i="5"/>
  <c r="G465" i="5"/>
  <c r="H464" i="5"/>
  <c r="G464" i="5"/>
  <c r="H463" i="5"/>
  <c r="G463" i="5"/>
  <c r="H462" i="5"/>
  <c r="G462" i="5"/>
  <c r="H461" i="5"/>
  <c r="G461" i="5"/>
  <c r="H460" i="5"/>
  <c r="G460" i="5"/>
  <c r="H459" i="5"/>
  <c r="G459" i="5"/>
  <c r="H458" i="5"/>
  <c r="G458" i="5"/>
  <c r="H457" i="5"/>
  <c r="G457" i="5"/>
  <c r="H456" i="5"/>
  <c r="G456" i="5"/>
  <c r="H455" i="5"/>
  <c r="G455" i="5"/>
  <c r="H454" i="5"/>
  <c r="G454" i="5"/>
  <c r="H453" i="5"/>
  <c r="G453" i="5"/>
  <c r="H452" i="5"/>
  <c r="G452" i="5"/>
  <c r="H430" i="5"/>
  <c r="G430" i="5"/>
  <c r="H429" i="5"/>
  <c r="G429" i="5"/>
  <c r="H428" i="5"/>
  <c r="G428" i="5"/>
  <c r="H427" i="5"/>
  <c r="G427" i="5"/>
  <c r="H425" i="5"/>
  <c r="G425" i="5"/>
  <c r="H424" i="5"/>
  <c r="G424" i="5"/>
  <c r="H423" i="5"/>
  <c r="G423" i="5"/>
  <c r="H421" i="5"/>
  <c r="G421" i="5"/>
  <c r="H420" i="5"/>
  <c r="G420" i="5"/>
  <c r="H419" i="5"/>
  <c r="G419" i="5"/>
  <c r="H418" i="5"/>
  <c r="G418" i="5"/>
  <c r="H417" i="5"/>
  <c r="G417" i="5"/>
  <c r="H415" i="5"/>
  <c r="G415" i="5"/>
  <c r="H414" i="5"/>
  <c r="G414" i="5"/>
  <c r="H413" i="5"/>
  <c r="G413" i="5"/>
  <c r="H412" i="5"/>
  <c r="G412" i="5"/>
  <c r="H411" i="5"/>
  <c r="G411" i="5"/>
  <c r="H410" i="5"/>
  <c r="G410" i="5"/>
  <c r="H406" i="5"/>
  <c r="G406" i="5"/>
  <c r="H405" i="5"/>
  <c r="G405" i="5"/>
  <c r="H404" i="5"/>
  <c r="G404" i="5"/>
  <c r="H403" i="5"/>
  <c r="G403" i="5"/>
  <c r="H401" i="5"/>
  <c r="G401" i="5"/>
  <c r="H400" i="5"/>
  <c r="G400" i="5"/>
  <c r="H399" i="5"/>
  <c r="G399" i="5"/>
  <c r="H398" i="5"/>
  <c r="G398" i="5"/>
  <c r="H395" i="5"/>
  <c r="G395" i="5"/>
  <c r="H394" i="5"/>
  <c r="G394" i="5"/>
  <c r="H393" i="5"/>
  <c r="G393" i="5"/>
  <c r="H392" i="5"/>
  <c r="G392" i="5"/>
  <c r="H391" i="5"/>
  <c r="G391" i="5"/>
  <c r="H390" i="5"/>
  <c r="G390" i="5"/>
  <c r="H389" i="5"/>
  <c r="G389" i="5"/>
  <c r="H388" i="5"/>
  <c r="G388" i="5"/>
  <c r="H387" i="5"/>
  <c r="G387" i="5"/>
  <c r="H386" i="5"/>
  <c r="G386" i="5"/>
  <c r="H385" i="5"/>
  <c r="G385" i="5"/>
  <c r="H384" i="5"/>
  <c r="G384" i="5"/>
  <c r="H383" i="5"/>
  <c r="G383" i="5"/>
  <c r="H380" i="5"/>
  <c r="G380" i="5"/>
  <c r="H379" i="5"/>
  <c r="G379" i="5"/>
  <c r="H376" i="5"/>
  <c r="G376" i="5"/>
  <c r="H375" i="5"/>
  <c r="G375" i="5"/>
  <c r="H374" i="5"/>
  <c r="G374" i="5"/>
  <c r="H373" i="5"/>
  <c r="G373" i="5"/>
  <c r="H372" i="5"/>
  <c r="G372" i="5"/>
  <c r="H371" i="5"/>
  <c r="G371" i="5"/>
  <c r="H370" i="5"/>
  <c r="G370" i="5"/>
  <c r="H369" i="5"/>
  <c r="G369" i="5"/>
  <c r="H367" i="5"/>
  <c r="G367" i="5"/>
  <c r="H366" i="5"/>
  <c r="G366" i="5"/>
  <c r="H365" i="5"/>
  <c r="G365" i="5"/>
  <c r="H364" i="5"/>
  <c r="G364" i="5"/>
  <c r="H363" i="5"/>
  <c r="G363" i="5"/>
  <c r="H362" i="5"/>
  <c r="G362" i="5"/>
  <c r="H361" i="5"/>
  <c r="G361" i="5"/>
  <c r="H360" i="5"/>
  <c r="G360" i="5"/>
  <c r="H359" i="5"/>
  <c r="G359" i="5"/>
  <c r="H358" i="5"/>
  <c r="G358" i="5"/>
  <c r="H354" i="5"/>
  <c r="G354" i="5"/>
  <c r="H353" i="5"/>
  <c r="G353" i="5"/>
  <c r="H352" i="5"/>
  <c r="G352" i="5"/>
  <c r="H349" i="5"/>
  <c r="G349" i="5"/>
  <c r="H348" i="5"/>
  <c r="G348" i="5"/>
  <c r="H347" i="5"/>
  <c r="G347" i="5"/>
  <c r="H346" i="5"/>
  <c r="G346" i="5"/>
  <c r="H345" i="5"/>
  <c r="G345" i="5"/>
  <c r="H343" i="5"/>
  <c r="G343" i="5"/>
  <c r="H342" i="5"/>
  <c r="G342" i="5"/>
  <c r="H340" i="5"/>
  <c r="G340" i="5"/>
  <c r="H339" i="5"/>
  <c r="G339" i="5"/>
  <c r="H338" i="5"/>
  <c r="G338" i="5"/>
  <c r="H337" i="5"/>
  <c r="G337" i="5"/>
  <c r="H333" i="5"/>
  <c r="G333" i="5"/>
  <c r="H332" i="5"/>
  <c r="G332" i="5"/>
  <c r="H331" i="5"/>
  <c r="G331" i="5"/>
  <c r="H330" i="5"/>
  <c r="G330" i="5"/>
  <c r="H328" i="5"/>
  <c r="G328" i="5"/>
  <c r="H327" i="5"/>
  <c r="G327" i="5"/>
  <c r="H326" i="5"/>
  <c r="G326" i="5"/>
  <c r="H325" i="5"/>
  <c r="G325" i="5"/>
  <c r="H324" i="5"/>
  <c r="G324" i="5"/>
  <c r="H320" i="5"/>
  <c r="G320" i="5"/>
  <c r="H319" i="5"/>
  <c r="G319" i="5"/>
  <c r="H318" i="5"/>
  <c r="G318" i="5"/>
  <c r="H317" i="5"/>
  <c r="G317" i="5"/>
  <c r="H316" i="5"/>
  <c r="G316" i="5"/>
  <c r="H315" i="5"/>
  <c r="G315" i="5"/>
  <c r="H314" i="5"/>
  <c r="G314" i="5"/>
  <c r="H313" i="5"/>
  <c r="G313" i="5"/>
  <c r="H312" i="5"/>
  <c r="G312" i="5"/>
  <c r="H311" i="5"/>
  <c r="G311" i="5"/>
  <c r="H310" i="5"/>
  <c r="G310" i="5"/>
  <c r="H309" i="5"/>
  <c r="G309" i="5"/>
  <c r="H308" i="5"/>
  <c r="G308" i="5"/>
  <c r="H307" i="5"/>
  <c r="G307" i="5"/>
  <c r="H306" i="5"/>
  <c r="G306" i="5"/>
  <c r="H303" i="5"/>
  <c r="H304" i="5" s="1"/>
  <c r="G303" i="5"/>
  <c r="G304" i="5" s="1"/>
  <c r="H301" i="5"/>
  <c r="G301" i="5"/>
  <c r="H300" i="5"/>
  <c r="G300" i="5"/>
  <c r="H299" i="5"/>
  <c r="G299" i="5"/>
  <c r="H298" i="5"/>
  <c r="G298" i="5"/>
  <c r="H297" i="5"/>
  <c r="G297" i="5"/>
  <c r="H296" i="5"/>
  <c r="G296" i="5"/>
  <c r="H295" i="5"/>
  <c r="G295" i="5"/>
  <c r="H294" i="5"/>
  <c r="G294" i="5"/>
  <c r="H293" i="5"/>
  <c r="G293" i="5"/>
  <c r="H292" i="5"/>
  <c r="G292" i="5"/>
  <c r="H291" i="5"/>
  <c r="G291" i="5"/>
  <c r="H290" i="5"/>
  <c r="G290" i="5"/>
  <c r="H289" i="5"/>
  <c r="G289" i="5"/>
  <c r="H288" i="5"/>
  <c r="G288" i="5"/>
  <c r="H287" i="5"/>
  <c r="G287" i="5"/>
  <c r="H286" i="5"/>
  <c r="G286" i="5"/>
  <c r="H285" i="5"/>
  <c r="G285" i="5"/>
  <c r="H284" i="5"/>
  <c r="G284" i="5"/>
  <c r="H283" i="5"/>
  <c r="G283" i="5"/>
  <c r="H281" i="5"/>
  <c r="G281" i="5"/>
  <c r="H278" i="5"/>
  <c r="H277" i="5"/>
  <c r="H276" i="5"/>
  <c r="H275" i="5"/>
  <c r="H274" i="5"/>
  <c r="H273" i="5"/>
  <c r="H272" i="5"/>
  <c r="H271" i="5"/>
  <c r="H270" i="5"/>
  <c r="H269" i="5"/>
  <c r="G269" i="5"/>
  <c r="H268" i="5"/>
  <c r="H267" i="5"/>
  <c r="H266" i="5"/>
  <c r="H265" i="5"/>
  <c r="H264" i="5"/>
  <c r="H263" i="5"/>
  <c r="H261" i="5"/>
  <c r="H258" i="5"/>
  <c r="H257" i="5"/>
  <c r="G257" i="5"/>
  <c r="H256" i="5"/>
  <c r="H255" i="5"/>
  <c r="H254" i="5"/>
  <c r="H253" i="5"/>
  <c r="H252" i="5"/>
  <c r="H246" i="5"/>
  <c r="G246" i="5"/>
  <c r="H245" i="5"/>
  <c r="G245" i="5"/>
  <c r="H244" i="5"/>
  <c r="G244" i="5"/>
  <c r="H243" i="5"/>
  <c r="H242" i="5"/>
  <c r="H241" i="5"/>
  <c r="G241" i="5"/>
  <c r="H240" i="5"/>
  <c r="G240" i="5"/>
  <c r="H239" i="5"/>
  <c r="H238" i="5"/>
  <c r="H237" i="5"/>
  <c r="G237" i="5"/>
  <c r="H236" i="5"/>
  <c r="H235" i="5"/>
  <c r="H234" i="5"/>
  <c r="H233" i="5"/>
  <c r="G233" i="5"/>
  <c r="H230" i="5"/>
  <c r="G230" i="5"/>
  <c r="H229" i="5"/>
  <c r="G229" i="5"/>
  <c r="H228" i="5"/>
  <c r="G228" i="5"/>
  <c r="H227" i="5"/>
  <c r="G227" i="5"/>
  <c r="H224" i="5"/>
  <c r="G224" i="5"/>
  <c r="H223" i="5"/>
  <c r="G223" i="5"/>
  <c r="H222" i="5"/>
  <c r="G222" i="5"/>
  <c r="H221" i="5"/>
  <c r="G221" i="5"/>
  <c r="H220" i="5"/>
  <c r="G220" i="5"/>
  <c r="H219" i="5"/>
  <c r="G219" i="5"/>
  <c r="H218" i="5"/>
  <c r="G218" i="5"/>
  <c r="H217" i="5"/>
  <c r="G217" i="5"/>
  <c r="H216" i="5"/>
  <c r="G216" i="5"/>
  <c r="H215" i="5"/>
  <c r="G215" i="5"/>
  <c r="H213" i="5"/>
  <c r="G213" i="5"/>
  <c r="H212" i="5"/>
  <c r="G212" i="5"/>
  <c r="H210" i="5"/>
  <c r="G210" i="5"/>
  <c r="H209" i="5"/>
  <c r="G209" i="5"/>
  <c r="H208" i="5"/>
  <c r="G208" i="5"/>
  <c r="H207" i="5"/>
  <c r="G207" i="5"/>
  <c r="H206" i="5"/>
  <c r="G206" i="5"/>
  <c r="H205" i="5"/>
  <c r="G205" i="5"/>
  <c r="H204" i="5"/>
  <c r="G204" i="5"/>
  <c r="H202" i="5"/>
  <c r="G202" i="5"/>
  <c r="H201" i="5"/>
  <c r="G201" i="5"/>
  <c r="H200" i="5"/>
  <c r="G200" i="5"/>
  <c r="H199" i="5"/>
  <c r="G199" i="5"/>
  <c r="H198" i="5"/>
  <c r="G198" i="5"/>
  <c r="H197" i="5"/>
  <c r="G197" i="5"/>
  <c r="H196" i="5"/>
  <c r="G196" i="5"/>
  <c r="H194" i="5"/>
  <c r="G194" i="5"/>
  <c r="H193" i="5"/>
  <c r="G193" i="5"/>
  <c r="H192" i="5"/>
  <c r="G192" i="5"/>
  <c r="H191" i="5"/>
  <c r="G191" i="5"/>
  <c r="H190" i="5"/>
  <c r="G190" i="5"/>
  <c r="H189" i="5"/>
  <c r="G189" i="5"/>
  <c r="H188" i="5"/>
  <c r="G188" i="5"/>
  <c r="H187" i="5"/>
  <c r="G187" i="5"/>
  <c r="H185" i="5"/>
  <c r="G185" i="5"/>
  <c r="H184" i="5"/>
  <c r="G184" i="5"/>
  <c r="H182" i="5"/>
  <c r="G182" i="5"/>
  <c r="H181" i="5"/>
  <c r="G181" i="5"/>
  <c r="H179" i="5"/>
  <c r="G179" i="5"/>
  <c r="H178" i="5"/>
  <c r="G178" i="5"/>
  <c r="H176" i="5"/>
  <c r="G176" i="5"/>
  <c r="H175" i="5"/>
  <c r="G175" i="5"/>
  <c r="H174" i="5"/>
  <c r="G174" i="5"/>
  <c r="H173" i="5"/>
  <c r="G173" i="5"/>
  <c r="H172" i="5"/>
  <c r="G172" i="5"/>
  <c r="H171" i="5"/>
  <c r="G171" i="5"/>
  <c r="H169" i="5"/>
  <c r="G169" i="5"/>
  <c r="H168" i="5"/>
  <c r="H167" i="5"/>
  <c r="G167" i="5"/>
  <c r="H166" i="5"/>
  <c r="G166" i="5"/>
  <c r="H165" i="5"/>
  <c r="G165" i="5"/>
  <c r="H161" i="5"/>
  <c r="H160" i="5"/>
  <c r="G160" i="5"/>
  <c r="H159" i="5"/>
  <c r="H158" i="5"/>
  <c r="G158" i="5"/>
  <c r="H157" i="5"/>
  <c r="G157" i="5"/>
  <c r="H156" i="5"/>
  <c r="H155" i="5"/>
  <c r="H154" i="5"/>
  <c r="H153" i="5"/>
  <c r="H152" i="5"/>
  <c r="H150" i="5"/>
  <c r="G150" i="5"/>
  <c r="H149" i="5"/>
  <c r="G149" i="5"/>
  <c r="H148" i="5"/>
  <c r="G148" i="5"/>
  <c r="H147" i="5"/>
  <c r="H146" i="5"/>
  <c r="H145" i="5"/>
  <c r="G145" i="5"/>
  <c r="H144" i="5"/>
  <c r="G144" i="5"/>
  <c r="H143" i="5"/>
  <c r="G143" i="5"/>
  <c r="H142" i="5"/>
  <c r="G142" i="5"/>
  <c r="H137" i="5"/>
  <c r="G137" i="5"/>
  <c r="H136" i="5"/>
  <c r="H135" i="5"/>
  <c r="G135" i="5"/>
  <c r="H134" i="5"/>
  <c r="G134" i="5"/>
  <c r="H133" i="5"/>
  <c r="H132" i="5"/>
  <c r="H131" i="5"/>
  <c r="G131" i="5"/>
  <c r="H130" i="5"/>
  <c r="H129" i="5"/>
  <c r="H128" i="5"/>
  <c r="H127" i="5"/>
  <c r="H126" i="5"/>
  <c r="H125" i="5"/>
  <c r="H124" i="5"/>
  <c r="H123" i="5"/>
  <c r="H122" i="5"/>
  <c r="H118" i="5"/>
  <c r="H117" i="5"/>
  <c r="H116" i="5"/>
  <c r="H115" i="5"/>
  <c r="H114" i="5"/>
  <c r="H113" i="5"/>
  <c r="H112" i="5"/>
  <c r="H111" i="5"/>
  <c r="H110" i="5"/>
  <c r="H109" i="5"/>
  <c r="H103" i="5"/>
  <c r="G103" i="5"/>
  <c r="H102" i="5"/>
  <c r="G102" i="5"/>
  <c r="H101" i="5"/>
  <c r="H100" i="5"/>
  <c r="G100" i="5"/>
  <c r="H99" i="5"/>
  <c r="H98" i="5"/>
  <c r="H97" i="5"/>
  <c r="G97" i="5"/>
  <c r="H96" i="5"/>
  <c r="G96" i="5"/>
  <c r="H95" i="5"/>
  <c r="G95" i="5"/>
  <c r="H94" i="5"/>
  <c r="G94" i="5"/>
  <c r="H93" i="5"/>
  <c r="H90" i="5"/>
  <c r="H89" i="5"/>
  <c r="G60" i="5"/>
  <c r="H26" i="5"/>
  <c r="H25" i="5"/>
  <c r="G25" i="5"/>
  <c r="H24" i="5"/>
  <c r="G24" i="5"/>
  <c r="H23" i="5"/>
  <c r="G23" i="5"/>
  <c r="H22" i="5"/>
  <c r="G22" i="5"/>
  <c r="H21" i="5"/>
  <c r="G21" i="5"/>
  <c r="H20" i="5"/>
  <c r="H19" i="5"/>
  <c r="H18" i="5"/>
  <c r="H17" i="5"/>
  <c r="H16" i="5"/>
  <c r="H15" i="5"/>
  <c r="H523" i="5" l="1"/>
  <c r="H302" i="5"/>
  <c r="H334" i="5"/>
  <c r="H355" i="5"/>
  <c r="H407" i="5"/>
  <c r="H431" i="5"/>
  <c r="H104" i="5"/>
  <c r="H231" i="5"/>
  <c r="H321" i="5"/>
  <c r="F226" i="2"/>
  <c r="G321" i="5"/>
  <c r="H247" i="5"/>
  <c r="H259" i="5"/>
  <c r="H119" i="5"/>
  <c r="H559" i="5" s="1"/>
  <c r="G334" i="5"/>
  <c r="G247" i="5"/>
  <c r="F93" i="2"/>
  <c r="D86" i="5"/>
  <c r="G86" i="5" s="1"/>
  <c r="G350" i="5"/>
  <c r="G231" i="5"/>
  <c r="H541" i="5"/>
  <c r="H91" i="5"/>
  <c r="H138" i="5"/>
  <c r="H560" i="5" s="1"/>
  <c r="G381" i="5"/>
  <c r="H27" i="5"/>
  <c r="H557" i="5" s="1"/>
  <c r="H162" i="5"/>
  <c r="H225" i="5"/>
  <c r="H279" i="5"/>
  <c r="H350" i="5"/>
  <c r="H377" i="5"/>
  <c r="H381" i="5"/>
  <c r="H396" i="5"/>
  <c r="G523" i="5"/>
  <c r="G431" i="5"/>
  <c r="G407" i="5"/>
  <c r="G377" i="5"/>
  <c r="G302" i="5"/>
  <c r="F162" i="2"/>
  <c r="G147" i="5"/>
  <c r="H487" i="5"/>
  <c r="G510" i="5"/>
  <c r="G516" i="5"/>
  <c r="H555" i="5"/>
  <c r="H564" i="5" s="1"/>
  <c r="G225" i="5"/>
  <c r="G396" i="5"/>
  <c r="H499" i="5"/>
  <c r="H510" i="5"/>
  <c r="H516" i="5"/>
  <c r="G355" i="5"/>
  <c r="H106" i="5" l="1"/>
  <c r="H558" i="5" s="1"/>
  <c r="H248" i="5"/>
  <c r="H561" i="5" s="1"/>
  <c r="H449" i="5"/>
  <c r="H562" i="5" s="1"/>
  <c r="H542" i="5"/>
  <c r="H563" i="5" l="1"/>
  <c r="H566" i="5" s="1"/>
  <c r="H568" i="5" s="1"/>
  <c r="H569" i="5" s="1"/>
  <c r="H570" i="5" s="1"/>
  <c r="E575" i="5" s="1"/>
  <c r="F483" i="2" l="1"/>
  <c r="G528" i="5"/>
  <c r="F484" i="2"/>
  <c r="G529" i="5"/>
  <c r="F488" i="2"/>
  <c r="G533" i="5"/>
  <c r="F493" i="2"/>
  <c r="G538" i="5"/>
  <c r="F492" i="2"/>
  <c r="G537" i="5"/>
  <c r="F489" i="2"/>
  <c r="G534" i="5"/>
  <c r="F494" i="2"/>
  <c r="G539" i="5"/>
  <c r="F487" i="2"/>
  <c r="G532" i="5"/>
  <c r="F485" i="2"/>
  <c r="G530" i="5"/>
  <c r="F481" i="2"/>
  <c r="D526" i="5"/>
  <c r="G526" i="5" s="1"/>
  <c r="F486" i="2"/>
  <c r="G531" i="5"/>
  <c r="F491" i="2"/>
  <c r="G536" i="5"/>
  <c r="F495" i="2"/>
  <c r="G540" i="5"/>
  <c r="F497" i="2" l="1"/>
  <c r="G541" i="5"/>
  <c r="D82" i="2" l="1"/>
  <c r="D75" i="5" s="1"/>
  <c r="G75" i="5" s="1"/>
  <c r="D81" i="2" l="1"/>
  <c r="D74" i="5" s="1"/>
  <c r="G74" i="5" s="1"/>
  <c r="D35" i="2"/>
  <c r="D35" i="5" s="1"/>
  <c r="G35" i="5" s="1"/>
  <c r="D80" i="2" l="1"/>
  <c r="D73" i="5" s="1"/>
  <c r="G73" i="5" s="1"/>
  <c r="D78" i="2"/>
  <c r="D71" i="5" s="1"/>
  <c r="G71" i="5" s="1"/>
  <c r="D79" i="2" l="1"/>
  <c r="D72" i="5" s="1"/>
  <c r="G72" i="5" s="1"/>
  <c r="D77" i="2"/>
  <c r="D70" i="5" s="1"/>
  <c r="G70" i="5" s="1"/>
  <c r="F82" i="2" l="1"/>
  <c r="D62" i="2"/>
  <c r="D48" i="2"/>
  <c r="F62" i="2" l="1"/>
  <c r="D58" i="5"/>
  <c r="G58" i="5" s="1"/>
  <c r="F48" i="2"/>
  <c r="D46" i="5"/>
  <c r="G46" i="5" s="1"/>
  <c r="D27" i="2"/>
  <c r="G20" i="5"/>
  <c r="D26" i="5" l="1"/>
  <c r="G26" i="5" s="1"/>
  <c r="F141" i="2"/>
  <c r="F144" i="2"/>
  <c r="F145" i="2"/>
  <c r="F149" i="2"/>
  <c r="D140" i="2" l="1"/>
  <c r="D135" i="2"/>
  <c r="D453" i="2"/>
  <c r="D498" i="5" s="1"/>
  <c r="G498" i="5" s="1"/>
  <c r="D20" i="2"/>
  <c r="D139" i="2"/>
  <c r="D142" i="2" l="1"/>
  <c r="D137" i="2"/>
  <c r="D129" i="5"/>
  <c r="G129" i="5" s="1"/>
  <c r="D15" i="5"/>
  <c r="G15" i="5" s="1"/>
  <c r="D125" i="5"/>
  <c r="G125" i="5" s="1"/>
  <c r="D130" i="5"/>
  <c r="G130" i="5" s="1"/>
  <c r="D161" i="2"/>
  <c r="D146" i="5" s="1"/>
  <c r="D138" i="2"/>
  <c r="D172" i="2"/>
  <c r="D171" i="2"/>
  <c r="D143" i="2"/>
  <c r="D133" i="5" s="1"/>
  <c r="D176" i="2"/>
  <c r="D452" i="2"/>
  <c r="D136" i="2"/>
  <c r="D169" i="2"/>
  <c r="D170" i="2"/>
  <c r="D168" i="2"/>
  <c r="D175" i="2"/>
  <c r="F453" i="2"/>
  <c r="D133" i="2"/>
  <c r="F140" i="2"/>
  <c r="F25" i="2"/>
  <c r="F27" i="2"/>
  <c r="F20" i="2"/>
  <c r="F135" i="2"/>
  <c r="F175" i="2" l="1"/>
  <c r="D159" i="5"/>
  <c r="G159" i="5" s="1"/>
  <c r="D126" i="5"/>
  <c r="G126" i="5" s="1"/>
  <c r="F168" i="2"/>
  <c r="G152" i="5"/>
  <c r="F452" i="2"/>
  <c r="D496" i="5"/>
  <c r="G496" i="5" s="1"/>
  <c r="D128" i="5"/>
  <c r="G128" i="5" s="1"/>
  <c r="D123" i="5"/>
  <c r="G123" i="5" s="1"/>
  <c r="F170" i="2"/>
  <c r="D154" i="5"/>
  <c r="G154" i="5" s="1"/>
  <c r="F176" i="2"/>
  <c r="D161" i="5"/>
  <c r="G161" i="5" s="1"/>
  <c r="F171" i="2"/>
  <c r="D155" i="5"/>
  <c r="G155" i="5" s="1"/>
  <c r="D132" i="5"/>
  <c r="G132" i="5" s="1"/>
  <c r="F169" i="2"/>
  <c r="D153" i="5"/>
  <c r="G153" i="5" s="1"/>
  <c r="D127" i="5"/>
  <c r="G127" i="5" s="1"/>
  <c r="F172" i="2"/>
  <c r="D156" i="5"/>
  <c r="G156" i="5" s="1"/>
  <c r="D108" i="2"/>
  <c r="F161" i="2"/>
  <c r="G146" i="5"/>
  <c r="F143" i="2"/>
  <c r="G133" i="5"/>
  <c r="F511" i="2"/>
  <c r="F513" i="2" s="1"/>
  <c r="F142" i="2"/>
  <c r="F139" i="2"/>
  <c r="F138" i="2"/>
  <c r="F136" i="2"/>
  <c r="F133" i="2"/>
  <c r="F137" i="2"/>
  <c r="F177" i="2" l="1"/>
  <c r="F242" i="2" s="1"/>
  <c r="G162" i="5"/>
  <c r="G248" i="5" s="1"/>
  <c r="G561" i="5" s="1"/>
  <c r="F108" i="2"/>
  <c r="D98" i="5"/>
  <c r="G98" i="5" s="1"/>
  <c r="D21" i="2"/>
  <c r="D22" i="2"/>
  <c r="D23" i="2"/>
  <c r="D24" i="2"/>
  <c r="D19" i="5" s="1"/>
  <c r="D126" i="2"/>
  <c r="D117" i="5" s="1"/>
  <c r="G117" i="5" s="1"/>
  <c r="D134" i="2"/>
  <c r="D251" i="2"/>
  <c r="D246" i="2"/>
  <c r="D252" i="5" s="1"/>
  <c r="G252" i="5" s="1"/>
  <c r="D247" i="2"/>
  <c r="D253" i="5" s="1"/>
  <c r="G253" i="5" s="1"/>
  <c r="D248" i="2"/>
  <c r="D254" i="5" s="1"/>
  <c r="G254" i="5" s="1"/>
  <c r="D249" i="2"/>
  <c r="D255" i="5" s="1"/>
  <c r="G255" i="5" s="1"/>
  <c r="D250" i="2"/>
  <c r="D256" i="5" s="1"/>
  <c r="G256" i="5" s="1"/>
  <c r="D256" i="2"/>
  <c r="D261" i="5" s="1"/>
  <c r="G261" i="5" s="1"/>
  <c r="D258" i="2"/>
  <c r="D263" i="5" s="1"/>
  <c r="G263" i="5" s="1"/>
  <c r="D259" i="2"/>
  <c r="D264" i="5" s="1"/>
  <c r="G264" i="5" s="1"/>
  <c r="D260" i="2"/>
  <c r="D265" i="5" s="1"/>
  <c r="G265" i="5" s="1"/>
  <c r="D261" i="2"/>
  <c r="D266" i="5" s="1"/>
  <c r="G266" i="5" s="1"/>
  <c r="D262" i="2"/>
  <c r="D267" i="5" s="1"/>
  <c r="G267" i="5" s="1"/>
  <c r="D263" i="2"/>
  <c r="D268" i="5" s="1"/>
  <c r="G268" i="5" s="1"/>
  <c r="D264" i="2"/>
  <c r="D270" i="5" s="1"/>
  <c r="G270" i="5" s="1"/>
  <c r="D265" i="2"/>
  <c r="D271" i="5" s="1"/>
  <c r="G271" i="5" s="1"/>
  <c r="D266" i="2"/>
  <c r="D272" i="5" s="1"/>
  <c r="G272" i="5" s="1"/>
  <c r="D267" i="2"/>
  <c r="D273" i="5" s="1"/>
  <c r="G273" i="5" s="1"/>
  <c r="D268" i="2"/>
  <c r="D274" i="5" s="1"/>
  <c r="G274" i="5" s="1"/>
  <c r="D437" i="2" l="1"/>
  <c r="D439" i="2"/>
  <c r="D440" i="2"/>
  <c r="D124" i="5"/>
  <c r="G124" i="5" s="1"/>
  <c r="D17" i="5"/>
  <c r="G17" i="5" s="1"/>
  <c r="D16" i="5"/>
  <c r="G16" i="5" s="1"/>
  <c r="F251" i="2"/>
  <c r="D258" i="5"/>
  <c r="G258" i="5" s="1"/>
  <c r="G259" i="5" s="1"/>
  <c r="D122" i="5"/>
  <c r="G122" i="5" s="1"/>
  <c r="D18" i="5"/>
  <c r="G18" i="5" s="1"/>
  <c r="D450" i="2"/>
  <c r="D449" i="2"/>
  <c r="D441" i="2"/>
  <c r="G19" i="5"/>
  <c r="F24" i="2"/>
  <c r="D269" i="2"/>
  <c r="D275" i="5" s="1"/>
  <c r="G275" i="5" s="1"/>
  <c r="D271" i="2"/>
  <c r="D277" i="5" s="1"/>
  <c r="G277" i="5" s="1"/>
  <c r="D270" i="2"/>
  <c r="D276" i="5" s="1"/>
  <c r="G276" i="5" s="1"/>
  <c r="F23" i="2"/>
  <c r="F21" i="2"/>
  <c r="F22" i="2"/>
  <c r="F126" i="2"/>
  <c r="F132" i="2"/>
  <c r="F134" i="2"/>
  <c r="D451" i="2"/>
  <c r="D118" i="2" l="1"/>
  <c r="D109" i="5" s="1"/>
  <c r="G109" i="5" s="1"/>
  <c r="F450" i="2"/>
  <c r="D494" i="5"/>
  <c r="G494" i="5" s="1"/>
  <c r="F440" i="2"/>
  <c r="D476" i="5"/>
  <c r="G476" i="5" s="1"/>
  <c r="F449" i="2"/>
  <c r="D493" i="5"/>
  <c r="G493" i="5" s="1"/>
  <c r="F439" i="2"/>
  <c r="D475" i="5"/>
  <c r="G475" i="5" s="1"/>
  <c r="G27" i="5"/>
  <c r="G557" i="5" s="1"/>
  <c r="F451" i="2"/>
  <c r="D495" i="5"/>
  <c r="G495" i="5" s="1"/>
  <c r="F437" i="2"/>
  <c r="D471" i="5"/>
  <c r="G471" i="5" s="1"/>
  <c r="F441" i="2"/>
  <c r="D477" i="5"/>
  <c r="G477" i="5" s="1"/>
  <c r="F28" i="2"/>
  <c r="D125" i="2"/>
  <c r="D116" i="5" s="1"/>
  <c r="G116" i="5" s="1"/>
  <c r="D148" i="2"/>
  <c r="D136" i="5" s="1"/>
  <c r="D127" i="2"/>
  <c r="D119" i="2"/>
  <c r="D110" i="5" s="1"/>
  <c r="G110" i="5" s="1"/>
  <c r="D123" i="2"/>
  <c r="D114" i="5" s="1"/>
  <c r="G114" i="5" s="1"/>
  <c r="D120" i="2"/>
  <c r="D111" i="5" s="1"/>
  <c r="G111" i="5" s="1"/>
  <c r="D121" i="2"/>
  <c r="D112" i="5" s="1"/>
  <c r="G112" i="5" s="1"/>
  <c r="D122" i="2"/>
  <c r="D113" i="5" s="1"/>
  <c r="G113" i="5" s="1"/>
  <c r="D124" i="2"/>
  <c r="D115" i="5" s="1"/>
  <c r="G115" i="5" s="1"/>
  <c r="D504" i="2" l="1"/>
  <c r="F455" i="2"/>
  <c r="F445" i="2"/>
  <c r="G487" i="5"/>
  <c r="G499" i="5"/>
  <c r="F127" i="2"/>
  <c r="D118" i="5"/>
  <c r="G118" i="5" s="1"/>
  <c r="G119" i="5" s="1"/>
  <c r="G559" i="5" s="1"/>
  <c r="D503" i="2"/>
  <c r="D546" i="5" s="1"/>
  <c r="G546" i="5" s="1"/>
  <c r="D99" i="2"/>
  <c r="D98" i="2"/>
  <c r="D89" i="5" s="1"/>
  <c r="F148" i="2"/>
  <c r="F151" i="2" s="1"/>
  <c r="G136" i="5"/>
  <c r="G138" i="5" s="1"/>
  <c r="G560" i="5" s="1"/>
  <c r="F118" i="2"/>
  <c r="F120" i="2"/>
  <c r="F119" i="2"/>
  <c r="F124" i="2"/>
  <c r="F122" i="2"/>
  <c r="F121" i="2"/>
  <c r="F123" i="2"/>
  <c r="F125" i="2"/>
  <c r="D272" i="2"/>
  <c r="D278" i="5" s="1"/>
  <c r="G278" i="5" s="1"/>
  <c r="G279" i="5" s="1"/>
  <c r="G449" i="5" s="1"/>
  <c r="G562" i="5" s="1"/>
  <c r="D319" i="2"/>
  <c r="D320" i="2"/>
  <c r="D321" i="2"/>
  <c r="D322" i="2"/>
  <c r="F504" i="2" l="1"/>
  <c r="D547" i="5"/>
  <c r="G547" i="5" s="1"/>
  <c r="G542" i="5"/>
  <c r="G563" i="5" s="1"/>
  <c r="F129" i="2"/>
  <c r="F499" i="2"/>
  <c r="G555" i="5"/>
  <c r="G564" i="5" s="1"/>
  <c r="D90" i="5"/>
  <c r="G90" i="5" s="1"/>
  <c r="G89" i="5"/>
  <c r="F503" i="2"/>
  <c r="F508" i="2" s="1"/>
  <c r="F514" i="2" s="1"/>
  <c r="F99" i="2"/>
  <c r="F98" i="2"/>
  <c r="D92" i="2" l="1"/>
  <c r="D85" i="5" s="1"/>
  <c r="G85" i="5" s="1"/>
  <c r="F101" i="2"/>
  <c r="G91" i="5"/>
  <c r="D60" i="2"/>
  <c r="D56" i="5" s="1"/>
  <c r="G56" i="5" s="1"/>
  <c r="D57" i="2"/>
  <c r="D53" i="5" s="1"/>
  <c r="G53" i="5" s="1"/>
  <c r="F57" i="2" l="1"/>
  <c r="F60" i="2"/>
  <c r="F322" i="2" l="1"/>
  <c r="F321" i="2"/>
  <c r="F320" i="2"/>
  <c r="F319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6" i="2"/>
  <c r="F250" i="2"/>
  <c r="F249" i="2"/>
  <c r="F248" i="2"/>
  <c r="F247" i="2"/>
  <c r="F246" i="2"/>
  <c r="F330" i="2" l="1"/>
  <c r="F253" i="2"/>
  <c r="F274" i="2"/>
  <c r="F35" i="2"/>
  <c r="F426" i="2" l="1"/>
  <c r="D91" i="2" l="1"/>
  <c r="D84" i="5" s="1"/>
  <c r="D83" i="2"/>
  <c r="F79" i="2"/>
  <c r="F92" i="2"/>
  <c r="F83" i="2" l="1"/>
  <c r="D76" i="5"/>
  <c r="G76" i="5" s="1"/>
  <c r="F91" i="2"/>
  <c r="F95" i="2" s="1"/>
  <c r="G84" i="5"/>
  <c r="G87" i="5" s="1"/>
  <c r="F81" i="2"/>
  <c r="D59" i="2" l="1"/>
  <c r="D55" i="5" s="1"/>
  <c r="G55" i="5" s="1"/>
  <c r="F59" i="2" l="1"/>
  <c r="D85" i="2" l="1"/>
  <c r="F85" i="2" l="1"/>
  <c r="D79" i="5"/>
  <c r="G79" i="5" s="1"/>
  <c r="D76" i="2" l="1"/>
  <c r="D69" i="5" s="1"/>
  <c r="G69" i="5" s="1"/>
  <c r="G80" i="5" s="1"/>
  <c r="D56" i="2"/>
  <c r="D52" i="5" s="1"/>
  <c r="G52" i="5" s="1"/>
  <c r="G61" i="5" s="1"/>
  <c r="F78" i="2"/>
  <c r="F80" i="2"/>
  <c r="F56" i="2" l="1"/>
  <c r="F65" i="2" s="1"/>
  <c r="D47" i="2" l="1"/>
  <c r="D45" i="5" s="1"/>
  <c r="G45" i="5" s="1"/>
  <c r="F76" i="2"/>
  <c r="D49" i="2" l="1"/>
  <c r="D69" i="2"/>
  <c r="D64" i="5" s="1"/>
  <c r="G64" i="5" s="1"/>
  <c r="D50" i="2"/>
  <c r="D70" i="2"/>
  <c r="D65" i="5" s="1"/>
  <c r="G65" i="5" s="1"/>
  <c r="F77" i="2"/>
  <c r="F87" i="2" s="1"/>
  <c r="F50" i="2" l="1"/>
  <c r="D48" i="5"/>
  <c r="G48" i="5" s="1"/>
  <c r="F49" i="2"/>
  <c r="D47" i="5"/>
  <c r="G47" i="5" s="1"/>
  <c r="F70" i="2"/>
  <c r="F69" i="2"/>
  <c r="F47" i="2"/>
  <c r="D44" i="2" l="1"/>
  <c r="D42" i="5" s="1"/>
  <c r="G42" i="5" s="1"/>
  <c r="D42" i="2"/>
  <c r="D40" i="5" s="1"/>
  <c r="G40" i="5" s="1"/>
  <c r="D41" i="2"/>
  <c r="D39" i="5" s="1"/>
  <c r="G39" i="5" s="1"/>
  <c r="D45" i="2"/>
  <c r="D43" i="5" s="1"/>
  <c r="G43" i="5" s="1"/>
  <c r="D31" i="2" l="1"/>
  <c r="D30" i="5" s="1"/>
  <c r="G30" i="5" s="1"/>
  <c r="F41" i="2"/>
  <c r="F42" i="2"/>
  <c r="F45" i="2" l="1"/>
  <c r="F31" i="2"/>
  <c r="F44" i="2"/>
  <c r="D33" i="2" l="1"/>
  <c r="D32" i="5" s="1"/>
  <c r="G32" i="5" s="1"/>
  <c r="D36" i="2"/>
  <c r="D36" i="5" s="1"/>
  <c r="G36" i="5" s="1"/>
  <c r="G37" i="5" l="1"/>
  <c r="F33" i="2"/>
  <c r="F36" i="2"/>
  <c r="F38" i="2" l="1"/>
  <c r="D46" i="2" l="1"/>
  <c r="F46" i="2" l="1"/>
  <c r="F52" i="2" s="1"/>
  <c r="D44" i="5"/>
  <c r="G44" i="5" s="1"/>
  <c r="G49" i="5" s="1"/>
  <c r="D68" i="2"/>
  <c r="D63" i="5" s="1"/>
  <c r="G63" i="5" s="1"/>
  <c r="G66" i="5" s="1"/>
  <c r="F68" i="2" l="1"/>
  <c r="F72" i="2" s="1"/>
  <c r="E14" i="4"/>
  <c r="D104" i="2"/>
  <c r="F104" i="2" l="1"/>
  <c r="D93" i="5"/>
  <c r="G93" i="5" s="1"/>
  <c r="G104" i="5" s="1"/>
  <c r="G106" i="5" s="1"/>
  <c r="G558" i="5" l="1"/>
  <c r="G566" i="5" s="1"/>
  <c r="G568" i="5" s="1"/>
  <c r="G569" i="5" s="1"/>
  <c r="G570" i="5" s="1"/>
  <c r="F113" i="2"/>
  <c r="F115" i="2" s="1"/>
  <c r="F516" i="2" s="1"/>
  <c r="F517" i="2" s="1"/>
  <c r="F518" i="2" s="1"/>
  <c r="G578" i="5" l="1"/>
  <c r="E576" i="5"/>
  <c r="E578" i="5" s="1"/>
  <c r="C12" i="4"/>
  <c r="C14" i="4" s="1"/>
  <c r="F14" i="4" s="1"/>
  <c r="F16" i="4" s="1"/>
  <c r="F18" i="4" s="1"/>
  <c r="G579" i="5"/>
  <c r="G582" i="5" l="1"/>
  <c r="H11" i="4"/>
  <c r="F12" i="4"/>
</calcChain>
</file>

<file path=xl/sharedStrings.xml><?xml version="1.0" encoding="utf-8"?>
<sst xmlns="http://schemas.openxmlformats.org/spreadsheetml/2006/main" count="7125" uniqueCount="1953">
  <si>
    <t>Prix N°</t>
  </si>
  <si>
    <t xml:space="preserve">     DESIGNATIONS</t>
  </si>
  <si>
    <t>Nombre</t>
  </si>
  <si>
    <t>DIMENSIONS</t>
  </si>
  <si>
    <t>Unité</t>
  </si>
  <si>
    <t xml:space="preserve">   DES OUVRAGES</t>
  </si>
  <si>
    <t>LONG</t>
  </si>
  <si>
    <t>LARG</t>
  </si>
  <si>
    <t>HAUT</t>
  </si>
  <si>
    <t xml:space="preserve"> +</t>
  </si>
  <si>
    <t xml:space="preserve">  -</t>
  </si>
  <si>
    <t>PARTIELLES</t>
  </si>
  <si>
    <t>TOTALES</t>
  </si>
  <si>
    <t>REPORTS</t>
  </si>
  <si>
    <t>m3</t>
  </si>
  <si>
    <t xml:space="preserve"> </t>
  </si>
  <si>
    <t>U</t>
  </si>
  <si>
    <t>ml</t>
  </si>
  <si>
    <t xml:space="preserve">LOT N°100: GROS ŒUVRES </t>
  </si>
  <si>
    <t>Kg</t>
  </si>
  <si>
    <t>m²</t>
  </si>
  <si>
    <t>ROYAUME DU MAROC</t>
  </si>
  <si>
    <t>N°</t>
  </si>
  <si>
    <t>DISEGNATIONS</t>
  </si>
  <si>
    <t xml:space="preserve">Quantité </t>
  </si>
  <si>
    <t xml:space="preserve">Prix </t>
  </si>
  <si>
    <t xml:space="preserve">Prix TOTAL </t>
  </si>
  <si>
    <t>Unitaire</t>
  </si>
  <si>
    <t>ML</t>
  </si>
  <si>
    <t>Total HT</t>
  </si>
  <si>
    <t>TVA de 20%</t>
  </si>
  <si>
    <t>Total  TTC</t>
  </si>
  <si>
    <t>Marché N°: 193/DGDM/E/14/AT</t>
  </si>
  <si>
    <t>Remblais en terres provenants des fouilles</t>
  </si>
  <si>
    <t xml:space="preserve">Gros béton </t>
  </si>
  <si>
    <t>Béton de propreté</t>
  </si>
  <si>
    <t xml:space="preserve">Aciers à haute adhérence en fondation </t>
  </si>
  <si>
    <t>111.1</t>
  </si>
  <si>
    <t>106.3</t>
  </si>
  <si>
    <t>106.2</t>
  </si>
  <si>
    <t>106.1</t>
  </si>
  <si>
    <t>103.2</t>
  </si>
  <si>
    <t>102 .1</t>
  </si>
  <si>
    <t>Tout- venant d'apport sous dallage de 40 cm</t>
  </si>
  <si>
    <t xml:space="preserve">Forme en béton armé de 13cm </t>
  </si>
  <si>
    <t>110.1</t>
  </si>
  <si>
    <t xml:space="preserve">Buses en PVC type assainissement </t>
  </si>
  <si>
    <t>SECTION ( C ) - CANALISATION ET REGARDS :</t>
  </si>
  <si>
    <t>106.4</t>
  </si>
  <si>
    <t>117.1</t>
  </si>
  <si>
    <t>117.2</t>
  </si>
  <si>
    <t>117.3</t>
  </si>
  <si>
    <t>117.5</t>
  </si>
  <si>
    <t>120.2</t>
  </si>
  <si>
    <t>TOTAL SECTION ( A )  HT</t>
  </si>
  <si>
    <t>TOTAL SECTION ( B )  HT</t>
  </si>
  <si>
    <t>TOTAL SECTION ( C )  HT</t>
  </si>
  <si>
    <t>TOTAL SECTION ( D )  HT</t>
  </si>
  <si>
    <t>TOTAL SECTION ( E )  HT</t>
  </si>
  <si>
    <t>DIRECTION DES REALISATIONS</t>
  </si>
  <si>
    <r>
      <t>Film polyane de 12</t>
    </r>
    <r>
      <rPr>
        <sz val="14"/>
        <rFont val="Calibri"/>
        <family val="2"/>
      </rPr>
      <t>µ</t>
    </r>
  </si>
  <si>
    <t>AU CENTRE SPORTIF DES FAR A MAAMOURA</t>
  </si>
  <si>
    <t xml:space="preserve">SITUATION DES TRAVAUX DE MISE A NIVEAU DE LA SECTION FOOTBALL </t>
  </si>
  <si>
    <t>ATTRIBUTAIRE :  SOCIETE ROUANDI SARL</t>
  </si>
  <si>
    <t>112.1</t>
  </si>
  <si>
    <t xml:space="preserve"> ADMINISTRATION  </t>
  </si>
  <si>
    <t>DE LA DEFENSE NATIONALE</t>
  </si>
  <si>
    <t>ET DES AFFAIRES FINANCIERES</t>
  </si>
  <si>
    <t xml:space="preserve">DIVISION DU GENIE ET DU </t>
  </si>
  <si>
    <t>DOMAINE MILITAIRE</t>
  </si>
  <si>
    <t>117.4</t>
  </si>
  <si>
    <t>117.6</t>
  </si>
  <si>
    <t>121.2</t>
  </si>
  <si>
    <t>SOCIETE ROUANDI SARL AU</t>
  </si>
  <si>
    <t>Projet :  Travaux de mise à niveau de la Section Football au Centre Sportif des FAR</t>
  </si>
  <si>
    <t xml:space="preserve"> à Maamoura.</t>
  </si>
  <si>
    <t>Nature des dépenses</t>
  </si>
  <si>
    <t>Dépenses faites</t>
  </si>
  <si>
    <t xml:space="preserve">Retenue de garantie </t>
  </si>
  <si>
    <t>Reste</t>
  </si>
  <si>
    <t>* Travaux terminés</t>
  </si>
  <si>
    <t>…………………………..</t>
  </si>
  <si>
    <t>…………………………….</t>
  </si>
  <si>
    <t>……………………</t>
  </si>
  <si>
    <t>* Travaux non terminés</t>
  </si>
  <si>
    <t>* Revision des prix</t>
  </si>
  <si>
    <t>Totaux</t>
  </si>
  <si>
    <t>* A déduire les dépenses imputées sur les exercices antérieur:</t>
  </si>
  <si>
    <t>* Reste à payer sur l'exercice en cours</t>
  </si>
  <si>
    <t>* A déduire le montant des acomptes délivrés sur les exercices en cours</t>
  </si>
  <si>
    <t>* Montant de décompte à délivrer</t>
  </si>
  <si>
    <t>Arrêté le présent décompte à la somme de : ( Dhs )</t>
  </si>
  <si>
    <t>Quatre millions deux cent vingt trois mille cinq cent cinquante neuf Dirhams , 04 Cts</t>
  </si>
  <si>
    <t>ARCHITECTE</t>
  </si>
  <si>
    <t>B.E.T</t>
  </si>
  <si>
    <t xml:space="preserve">                        ENTREPRISE</t>
  </si>
  <si>
    <t>ADMINISTRATION</t>
  </si>
  <si>
    <t>Arreté par nous sous ordonnateur à la somme de :</t>
  </si>
  <si>
    <t>TOTALE SECTION ( F )  HT</t>
  </si>
  <si>
    <t>Béton armé en infrastructure :</t>
  </si>
  <si>
    <t>BRANCHEMENTS MT :</t>
  </si>
  <si>
    <t>POSTES DE TRANSFORMATION :</t>
  </si>
  <si>
    <t>Ens</t>
  </si>
  <si>
    <t>TERRE TECHNIQUE :</t>
  </si>
  <si>
    <t>SECTION ( B ) - BETONS ET ACIERS EN INFRASTRASTRUCTURE :</t>
  </si>
  <si>
    <t>SECTION  ( A ) - TERRASSEMENTS :</t>
  </si>
  <si>
    <t xml:space="preserve">Fouille en pleine masse </t>
  </si>
  <si>
    <t xml:space="preserve">Fouilles en puits et tranchées dans terrains toutes natures </t>
  </si>
  <si>
    <t>Dans tous terrains sauf la roche</t>
  </si>
  <si>
    <t>103.1</t>
  </si>
  <si>
    <t>Remblais d'apport en tout-venant</t>
  </si>
  <si>
    <t>Béton armé en infrastructure</t>
  </si>
  <si>
    <t>Semelles isoleés ou filantes</t>
  </si>
  <si>
    <t xml:space="preserve">Longrines et chainages </t>
  </si>
  <si>
    <t>Maçonnerie de moellons en fondation</t>
  </si>
  <si>
    <t>Arase étanche</t>
  </si>
  <si>
    <t>Buse en PVC type Diam,200 mm</t>
  </si>
  <si>
    <t xml:space="preserve">Regards en béton armé </t>
  </si>
  <si>
    <t>50x50 cm</t>
  </si>
  <si>
    <t xml:space="preserve">Caniveaux </t>
  </si>
  <si>
    <t xml:space="preserve">En béton armé de 30cm </t>
  </si>
  <si>
    <t xml:space="preserve">Béton armé en superstructure </t>
  </si>
  <si>
    <t xml:space="preserve">Pour Poteaux et raidisseurs </t>
  </si>
  <si>
    <t xml:space="preserve">Pour Poutres et chainages </t>
  </si>
  <si>
    <t xml:space="preserve">Pour dalles pleines </t>
  </si>
  <si>
    <t xml:space="preserve">Pour escaliers </t>
  </si>
  <si>
    <t xml:space="preserve">Pour acrotére </t>
  </si>
  <si>
    <t xml:space="preserve">Aciers à haute adhérence en élévation </t>
  </si>
  <si>
    <t xml:space="preserve">Plancher Préfabriqué PPB  </t>
  </si>
  <si>
    <t>de 15+5 cm :</t>
  </si>
  <si>
    <t xml:space="preserve">Double cloison en briques creuses </t>
  </si>
  <si>
    <t xml:space="preserve">de 2x8 T </t>
  </si>
  <si>
    <t xml:space="preserve">Cloison simple en briques creuses de 8T </t>
  </si>
  <si>
    <t>500.1</t>
  </si>
  <si>
    <t>BRANCHEMENTS MT</t>
  </si>
  <si>
    <t>500.1.1</t>
  </si>
  <si>
    <t xml:space="preserve">Dalette couvre-joint </t>
  </si>
  <si>
    <t>500.1.2</t>
  </si>
  <si>
    <t>500.1.3</t>
  </si>
  <si>
    <t>500.1.4</t>
  </si>
  <si>
    <t>500.1.5</t>
  </si>
  <si>
    <t>Liaison moyenne tension 3x1x240mm²</t>
  </si>
  <si>
    <t>Boites d'extrémités ( jeu de trois )</t>
  </si>
  <si>
    <t>Boites de jonction ( jeu de trois )</t>
  </si>
  <si>
    <t>Regard MT/BT avec tampon en fonte</t>
  </si>
  <si>
    <t>Tranchée normale avec deux buses annelées doubles parois D200 mm</t>
  </si>
  <si>
    <t>500.2</t>
  </si>
  <si>
    <t>500.2.1</t>
  </si>
  <si>
    <t>500.2.2</t>
  </si>
  <si>
    <t>500.2.2.1</t>
  </si>
  <si>
    <t>Plan d'aménagement du local - schémas unifilaires</t>
  </si>
  <si>
    <t>EQUIPEMENTS MOYENNE TENSION MERLIN GERIN</t>
  </si>
  <si>
    <t>Cellule interrupteur MT arrivée et départ</t>
  </si>
  <si>
    <t>Cellule protection transformateur</t>
  </si>
  <si>
    <t>Ensemble de liaison M.T</t>
  </si>
  <si>
    <t>Transformateur de puissance 250 KVA</t>
  </si>
  <si>
    <t>Ensemble de liaison B.T</t>
  </si>
  <si>
    <t>Batterie de condensateur fixe</t>
  </si>
  <si>
    <t>Disjoncteur général basse tension</t>
  </si>
  <si>
    <t>Equipements de sécurité du poste de transformation</t>
  </si>
  <si>
    <t>Pièces de rechange</t>
  </si>
  <si>
    <t>Verrouillage</t>
  </si>
  <si>
    <t>Eclairage et prise du poste transormation</t>
  </si>
  <si>
    <t>Mise à la terre du poste de transformation</t>
  </si>
  <si>
    <t>Dispositif de détection et signalisation de défaut des câbles MT</t>
  </si>
  <si>
    <t>Menuiserie métallique du postes de transformation</t>
  </si>
  <si>
    <t>Génie civil du poste de transformation</t>
  </si>
  <si>
    <t>500.7</t>
  </si>
  <si>
    <t>TERRE TECHNIQUE</t>
  </si>
  <si>
    <t>500.7.1</t>
  </si>
  <si>
    <t>Mise à la terre</t>
  </si>
  <si>
    <t>500.7.1.1</t>
  </si>
  <si>
    <t>500.7.1.2</t>
  </si>
  <si>
    <t>500.7.1.3</t>
  </si>
  <si>
    <t>500.7.1.4</t>
  </si>
  <si>
    <t>Mise à la terre BLOCS HEBERGEMENTS</t>
  </si>
  <si>
    <t>Mise à la terre COMPLEXE RESTAURATION</t>
  </si>
  <si>
    <t>Mise à la terre ACCUEIL DES TOURNOIS ET GRADINS</t>
  </si>
  <si>
    <t>Mise à la terre POSTE DE POLICE</t>
  </si>
  <si>
    <t xml:space="preserve">B.E.T   </t>
  </si>
  <si>
    <t xml:space="preserve">ARCHITECTE   </t>
  </si>
  <si>
    <t xml:space="preserve">ENTREPRISE    </t>
  </si>
  <si>
    <t xml:space="preserve">DIRECTEUR DE CHANTIER    </t>
  </si>
  <si>
    <t>110.2</t>
  </si>
  <si>
    <t>111.2</t>
  </si>
  <si>
    <t>Buse en PVC type Diam,300 mm</t>
  </si>
  <si>
    <t>80x80 cm</t>
  </si>
  <si>
    <t>ALIMENTATION :</t>
  </si>
  <si>
    <t>EVACUATION :</t>
  </si>
  <si>
    <t>Ø 125</t>
  </si>
  <si>
    <t>Ø 110 &amp; 100</t>
  </si>
  <si>
    <t>Ø 75</t>
  </si>
  <si>
    <t>SECTION  ( D ) - DALLAGES :</t>
  </si>
  <si>
    <t>SECTION  ( E ) - BETON ET ACIER EN SUPERSTRUCTURE :</t>
  </si>
  <si>
    <t>SECTION  ( F ) - MACONNERIE - CLOISONNEMENT :</t>
  </si>
  <si>
    <t>SECTION  ( G ) - ENDUITS :</t>
  </si>
  <si>
    <t>SECTION  ( H ) - OUVRAGES DIVERS :</t>
  </si>
  <si>
    <t xml:space="preserve">SOUS LOT N° 100 : GROS ŒUVRES : </t>
  </si>
  <si>
    <t>Forme de pente</t>
  </si>
  <si>
    <t>Chape de Lissage</t>
  </si>
  <si>
    <t xml:space="preserve">Gorges sous solins </t>
  </si>
  <si>
    <t>Etanchéité bicouches</t>
  </si>
  <si>
    <t xml:space="preserve">Etanchéité des relevés </t>
  </si>
  <si>
    <t xml:space="preserve">Protection de l'étanchétié  </t>
  </si>
  <si>
    <t xml:space="preserve">Protection de l'étanchétié des relevée </t>
  </si>
  <si>
    <t xml:space="preserve">Etanchéité verticale </t>
  </si>
  <si>
    <t xml:space="preserve">Gargouilles et manchons </t>
  </si>
  <si>
    <t>SOUS LOT N° 100  HT</t>
  </si>
  <si>
    <t>SOUS LOT N° 200  HT</t>
  </si>
  <si>
    <t xml:space="preserve">SOUS LOT N° 200 : ETANCHEITE : </t>
  </si>
  <si>
    <t xml:space="preserve">SOUS LOT N° 300 : REVETEMENT DES SOLS ET MURS : </t>
  </si>
  <si>
    <t>Revêtement en briquette traditionnelle</t>
  </si>
  <si>
    <t>SOUS LOT N° 300  HT</t>
  </si>
  <si>
    <t>500.1.7</t>
  </si>
  <si>
    <t>Déblaiement et rabattement de câble moyenne tension</t>
  </si>
  <si>
    <t>ENS</t>
  </si>
  <si>
    <t xml:space="preserve">LOT N° 500 : ELECTRICITE - LUSTRERIE - COURANT FORT - COURANT FAIBLE : </t>
  </si>
  <si>
    <t>SOUS LOT N° 500  HT</t>
  </si>
  <si>
    <t xml:space="preserve">LOT N° 600 : PLOMBERIE-SANITAIRE , PROTECTION INCENDIE , PRODUCTION D'EAU CHAUDE SANITAIRE VENTILATION : </t>
  </si>
  <si>
    <t>Calorifuge marque " ARMAFLEXE "</t>
  </si>
  <si>
    <t>601.6</t>
  </si>
  <si>
    <t>601.7</t>
  </si>
  <si>
    <t>601.7.3</t>
  </si>
  <si>
    <t>Distribution en polyéthyléne réticulé "GRIFLEXE"</t>
  </si>
  <si>
    <t>Ø 16/20</t>
  </si>
  <si>
    <t>601.7.4</t>
  </si>
  <si>
    <t>Ø 13/16</t>
  </si>
  <si>
    <t>601.8</t>
  </si>
  <si>
    <t>Coffrets de distribution</t>
  </si>
  <si>
    <t>602.1</t>
  </si>
  <si>
    <t>Tuyauterie en PVC</t>
  </si>
  <si>
    <t>602.1.3</t>
  </si>
  <si>
    <t>602.1.4</t>
  </si>
  <si>
    <t>602.1.5</t>
  </si>
  <si>
    <t>SOUS LOT N° 600  HT</t>
  </si>
  <si>
    <t>Enduits intérieur sur murs et plafonds</t>
  </si>
  <si>
    <t>Enduits extérieurs</t>
  </si>
  <si>
    <t>Appuis de fénetre</t>
  </si>
  <si>
    <t>Souche en Terrasse</t>
  </si>
  <si>
    <t>500.2.2.2</t>
  </si>
  <si>
    <t>500.2.2.3</t>
  </si>
  <si>
    <t>500.2.2.4</t>
  </si>
  <si>
    <t>500.2.2.5</t>
  </si>
  <si>
    <t>500.2.2.6</t>
  </si>
  <si>
    <t>500.2.2.8</t>
  </si>
  <si>
    <t>500.2.2.9</t>
  </si>
  <si>
    <t>500.2.2.10</t>
  </si>
  <si>
    <t>500.2.2.11</t>
  </si>
  <si>
    <t>500.2.2.12</t>
  </si>
  <si>
    <t>500.2.2.13</t>
  </si>
  <si>
    <t>500.2.2.14</t>
  </si>
  <si>
    <t>500.2.2.15</t>
  </si>
  <si>
    <t>500.2.2.16</t>
  </si>
  <si>
    <t xml:space="preserve">Poteaux </t>
  </si>
  <si>
    <t xml:space="preserve">Voiles en fondation </t>
  </si>
  <si>
    <t>Etanchéité Légere</t>
  </si>
  <si>
    <t>702.1</t>
  </si>
  <si>
    <t>*</t>
  </si>
  <si>
    <t>Revetement sol en granito poli demi blanc</t>
  </si>
  <si>
    <t>M²</t>
  </si>
  <si>
    <t>Revetement sol en mignonette lavée</t>
  </si>
  <si>
    <t xml:space="preserve">Plinthe et retombée en granito poli </t>
  </si>
  <si>
    <t>Plinthe et retombée en mignonette lavée</t>
  </si>
  <si>
    <t xml:space="preserve">Revetement sol en carreau grés cérame </t>
  </si>
  <si>
    <t>Es</t>
  </si>
  <si>
    <t xml:space="preserve">SOUS LOT N° 50 : DEMOLITIONS ET DEPOSES  : </t>
  </si>
  <si>
    <t>50.01</t>
  </si>
  <si>
    <t xml:space="preserve">Démolition de maçonnerie de tout nature </t>
  </si>
  <si>
    <t>50.02</t>
  </si>
  <si>
    <t>50.03</t>
  </si>
  <si>
    <t>50.04</t>
  </si>
  <si>
    <t>50.05</t>
  </si>
  <si>
    <t>50.06</t>
  </si>
  <si>
    <t>50.12</t>
  </si>
  <si>
    <t xml:space="preserve">Démolition de revétment de tout nature </t>
  </si>
  <si>
    <t>Dépose et repose de menuiserie</t>
  </si>
  <si>
    <t>Dépose et repose de luminaire et tableaux</t>
  </si>
  <si>
    <t>Dépose de sanitaire</t>
  </si>
  <si>
    <t>Dépose de tuyauterie et évacuation</t>
  </si>
  <si>
    <t>Démolition de plateforme</t>
  </si>
  <si>
    <t>TOTAL SOUS LOT N°50  HT</t>
  </si>
  <si>
    <t>Plinthe en carreau grés cérame</t>
  </si>
  <si>
    <t>Revetment Mural en carreau grés cérame</t>
  </si>
  <si>
    <t xml:space="preserve">Revetement en Marbre local </t>
  </si>
  <si>
    <t>Marches et contre marches en marbre local</t>
  </si>
  <si>
    <t xml:space="preserve">Bande de 40cm en marbre local </t>
  </si>
  <si>
    <t xml:space="preserve">Plinthe en marbre local </t>
  </si>
  <si>
    <t xml:space="preserve">Paillasse en marbre local </t>
  </si>
  <si>
    <t xml:space="preserve">Plinthe en carreau grés cérame antiderapant </t>
  </si>
  <si>
    <t xml:space="preserve">Couvre-joint </t>
  </si>
  <si>
    <t>Revetment sol en carreau grés cérame antiderapant</t>
  </si>
  <si>
    <t>Revetement en marbre local :</t>
  </si>
  <si>
    <t xml:space="preserve">Bais des Fenetre </t>
  </si>
  <si>
    <t xml:space="preserve">MENUISERIE BOIS / </t>
  </si>
  <si>
    <t>401.2.4</t>
  </si>
  <si>
    <t>401.5</t>
  </si>
  <si>
    <t>401.5.1</t>
  </si>
  <si>
    <t>401.5.2</t>
  </si>
  <si>
    <t>401.5.3</t>
  </si>
  <si>
    <t>401.5.4</t>
  </si>
  <si>
    <t>401.5.5</t>
  </si>
  <si>
    <t>401.5.8</t>
  </si>
  <si>
    <t>401.7</t>
  </si>
  <si>
    <t xml:space="preserve">SOUS LOT N° 400: MENUISERIE BOIS ,ALUMINIUM,METALLIQUEET FERRONNERIE : </t>
  </si>
  <si>
    <t>TOTALE MENUISERIE BOIS  HT</t>
  </si>
  <si>
    <t>Plinthe en marbre local :</t>
  </si>
  <si>
    <t>401.2</t>
  </si>
  <si>
    <t xml:space="preserve">  Porte en bois isoplane </t>
  </si>
  <si>
    <t xml:space="preserve">  Placard </t>
  </si>
  <si>
    <t xml:space="preserve">  Fenetre vitrée en bois </t>
  </si>
  <si>
    <t>M³</t>
  </si>
  <si>
    <t>SOUS LOT N° 400  HT</t>
  </si>
  <si>
    <t xml:space="preserve">SOUS LOT N° 700: PEINTURE - PLATRERIE  : </t>
  </si>
  <si>
    <t xml:space="preserve">PLATRERIE </t>
  </si>
  <si>
    <t xml:space="preserve">Faux-plafond en staff lisse avec joint creux : </t>
  </si>
  <si>
    <t>SOUS LOT N° 700  HT</t>
  </si>
  <si>
    <t>602.2</t>
  </si>
  <si>
    <t>602.4</t>
  </si>
  <si>
    <t xml:space="preserve">Siphon de Sol </t>
  </si>
  <si>
    <t xml:space="preserve">Gargouille en plomb </t>
  </si>
  <si>
    <t xml:space="preserve">Siphon de sol </t>
  </si>
  <si>
    <t>Ml</t>
  </si>
  <si>
    <r>
      <t>porte en bois isoplane (</t>
    </r>
    <r>
      <rPr>
        <b/>
        <sz val="12"/>
        <rFont val="Arial"/>
        <family val="2"/>
      </rPr>
      <t>PB 1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94x220</t>
    </r>
    <r>
      <rPr>
        <sz val="12"/>
        <rFont val="Arial"/>
        <family val="2"/>
      </rPr>
      <t xml:space="preserve"> cm HC ) </t>
    </r>
  </si>
  <si>
    <r>
      <rPr>
        <b/>
        <sz val="12"/>
        <rFont val="Arial"/>
        <family val="2"/>
      </rPr>
      <t>PL1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110x260</t>
    </r>
    <r>
      <rPr>
        <sz val="12"/>
        <rFont val="Arial"/>
        <family val="2"/>
      </rPr>
      <t xml:space="preserve"> cm HC</t>
    </r>
  </si>
  <si>
    <r>
      <rPr>
        <b/>
        <sz val="12"/>
        <rFont val="Arial"/>
        <family val="2"/>
      </rPr>
      <t>PL2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120x260</t>
    </r>
    <r>
      <rPr>
        <sz val="12"/>
        <rFont val="Arial"/>
        <family val="2"/>
      </rPr>
      <t xml:space="preserve"> cm HC</t>
    </r>
  </si>
  <si>
    <r>
      <rPr>
        <b/>
        <sz val="12"/>
        <rFont val="Arial"/>
        <family val="2"/>
      </rPr>
      <t>PL3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180x260</t>
    </r>
    <r>
      <rPr>
        <sz val="12"/>
        <rFont val="Arial"/>
        <family val="2"/>
      </rPr>
      <t xml:space="preserve"> cm HC</t>
    </r>
  </si>
  <si>
    <r>
      <rPr>
        <b/>
        <sz val="12"/>
        <rFont val="Arial"/>
        <family val="2"/>
      </rPr>
      <t>PL4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260x260</t>
    </r>
    <r>
      <rPr>
        <sz val="12"/>
        <rFont val="Arial"/>
        <family val="2"/>
      </rPr>
      <t xml:space="preserve"> cm HC</t>
    </r>
  </si>
  <si>
    <r>
      <rPr>
        <b/>
        <sz val="12"/>
        <rFont val="Arial"/>
        <family val="2"/>
      </rPr>
      <t>PL5</t>
    </r>
    <r>
      <rPr>
        <sz val="12"/>
        <rFont val="Arial"/>
        <family val="2"/>
      </rPr>
      <t xml:space="preserve"> de</t>
    </r>
    <r>
      <rPr>
        <b/>
        <sz val="12"/>
        <rFont val="Arial"/>
        <family val="2"/>
      </rPr>
      <t xml:space="preserve"> 330x260</t>
    </r>
    <r>
      <rPr>
        <sz val="12"/>
        <rFont val="Arial"/>
        <family val="2"/>
      </rPr>
      <t xml:space="preserve"> cm HC</t>
    </r>
  </si>
  <si>
    <r>
      <rPr>
        <b/>
        <sz val="12"/>
        <rFont val="Arial"/>
        <family val="2"/>
      </rPr>
      <t>PL8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130x100</t>
    </r>
    <r>
      <rPr>
        <sz val="12"/>
        <rFont val="Arial"/>
        <family val="2"/>
      </rPr>
      <t xml:space="preserve"> cm HC</t>
    </r>
  </si>
  <si>
    <t>Ventilation</t>
  </si>
  <si>
    <t>606-1</t>
  </si>
  <si>
    <t>Ventouse d'extraction circulaire de 30 à 60 m3/h</t>
  </si>
  <si>
    <t>606-2</t>
  </si>
  <si>
    <t>Ventilateur de VMC ''France AIR''</t>
  </si>
  <si>
    <t>606-2-1</t>
  </si>
  <si>
    <t>de 600 m3/h</t>
  </si>
  <si>
    <t>606-2-2</t>
  </si>
  <si>
    <t>de 540 m3/h</t>
  </si>
  <si>
    <t>606-2-3</t>
  </si>
  <si>
    <t>de 480 m3/h</t>
  </si>
  <si>
    <t>606-2-4</t>
  </si>
  <si>
    <t>de 270 m3/h</t>
  </si>
  <si>
    <t>606-2-5</t>
  </si>
  <si>
    <t>de 240 m3/h</t>
  </si>
  <si>
    <t>606-2-6</t>
  </si>
  <si>
    <t>de 150 m3/h</t>
  </si>
  <si>
    <t>606-2-7</t>
  </si>
  <si>
    <t>de 120 m3/h</t>
  </si>
  <si>
    <t>606-3</t>
  </si>
  <si>
    <t>Gaine circulaire</t>
  </si>
  <si>
    <t>606-3-1</t>
  </si>
  <si>
    <t>606-3-2</t>
  </si>
  <si>
    <t xml:space="preserve">de diam 250 </t>
  </si>
  <si>
    <t>de diam 200</t>
  </si>
  <si>
    <t>606-3-3</t>
  </si>
  <si>
    <t>de diam 160</t>
  </si>
  <si>
    <t>606-3-4</t>
  </si>
  <si>
    <t>de diam 125</t>
  </si>
  <si>
    <t>606-3-5</t>
  </si>
  <si>
    <t>de diam 100</t>
  </si>
  <si>
    <t xml:space="preserve"> PEINTURE :</t>
  </si>
  <si>
    <t>701-1</t>
  </si>
  <si>
    <t>Peinture vinylique sur murs et plafonds intérieurs</t>
  </si>
  <si>
    <t>701-2</t>
  </si>
  <si>
    <t>Peinture vinylique extérieure</t>
  </si>
  <si>
    <t xml:space="preserve">ADMINISTRATION DE LA DEFENSE NATIONALE </t>
  </si>
  <si>
    <t>DIRECTION DES REALISATION.</t>
  </si>
  <si>
    <t>DIVISION DU GENIE ET DU DOMAINE MILITAIRE</t>
  </si>
  <si>
    <t>Projet :  Travaux de mise à niveau de la Section Football au Centre Sportif des FAR à Maamoura ,Lot unique n°1.</t>
  </si>
  <si>
    <r>
      <t>ATTACHEMENT RECAPITULATIF N° : 02 des ouvrages exécutés en date du :</t>
    </r>
    <r>
      <rPr>
        <sz val="10"/>
        <rFont val="Arial"/>
        <family val="2"/>
      </rPr>
      <t>……………….</t>
    </r>
  </si>
  <si>
    <t>Prix TOTAL Exucete</t>
  </si>
  <si>
    <t>Prix TOTAL Marché</t>
  </si>
  <si>
    <t xml:space="preserve">Exucete </t>
  </si>
  <si>
    <t>Marché</t>
  </si>
  <si>
    <t xml:space="preserve">LOT N° 50: DEMOLITIONS ET DEPOSES : </t>
  </si>
  <si>
    <t>50 .1</t>
  </si>
  <si>
    <t>Démolition de maçonnerie de tout nature :</t>
  </si>
  <si>
    <t>50 .2</t>
  </si>
  <si>
    <t>Démolition de revetement  de tout nature :</t>
  </si>
  <si>
    <t>M2</t>
  </si>
  <si>
    <t>50 .3</t>
  </si>
  <si>
    <t>Dépose et repose de menuiserie :</t>
  </si>
  <si>
    <t>50 .4</t>
  </si>
  <si>
    <t>Dépose et repose de luminaire et tableaux  :</t>
  </si>
  <si>
    <t>50 .5</t>
  </si>
  <si>
    <t>Dépose de sanitaire :</t>
  </si>
  <si>
    <t>50 .6</t>
  </si>
  <si>
    <t>Dépose de tuyauterie et évacuation :</t>
  </si>
  <si>
    <t>50 .7</t>
  </si>
  <si>
    <t>Réfection fenétre :</t>
  </si>
  <si>
    <t>50 .8</t>
  </si>
  <si>
    <t>Réfection Volet roulant : :</t>
  </si>
  <si>
    <t>50 .9</t>
  </si>
  <si>
    <t>Réfection porte :</t>
  </si>
  <si>
    <t>50 .10</t>
  </si>
  <si>
    <t>Dépose de couverture métallique :</t>
  </si>
  <si>
    <t>50 .11</t>
  </si>
  <si>
    <t>Dépose de candélabre :</t>
  </si>
  <si>
    <t>50 .12</t>
  </si>
  <si>
    <t>Démolition de plateforme :</t>
  </si>
  <si>
    <t xml:space="preserve">TOTALE LOT N° 50 HT </t>
  </si>
  <si>
    <t>SECTION  ( A ) - TERRASSEMENT :</t>
  </si>
  <si>
    <t>Fouilles en pleine masse dans tous terrains</t>
  </si>
  <si>
    <t>M3</t>
  </si>
  <si>
    <r>
      <t xml:space="preserve"> </t>
    </r>
    <r>
      <rPr>
        <b/>
        <sz val="10"/>
        <rFont val="Arial"/>
        <family val="2"/>
      </rPr>
      <t>Dans tout terrains sauf la roche</t>
    </r>
  </si>
  <si>
    <t>102 .2</t>
  </si>
  <si>
    <t xml:space="preserve"> Dans terrains rocheux</t>
  </si>
  <si>
    <t xml:space="preserve">Remblais d'apport </t>
  </si>
  <si>
    <t xml:space="preserve"> en tout-venant</t>
  </si>
  <si>
    <t xml:space="preserve"> en terres provenants des fouilles</t>
  </si>
  <si>
    <t>TOTALE SECTION ( A )  HT</t>
  </si>
  <si>
    <t xml:space="preserve">  semelles isoleés ou filantes</t>
  </si>
  <si>
    <t xml:space="preserve">  Fut de poteaux </t>
  </si>
  <si>
    <t xml:space="preserve">  longrines et chainages </t>
  </si>
  <si>
    <t xml:space="preserve">  Voiles en fondation </t>
  </si>
  <si>
    <t>Maconnerie de moellons en fondation</t>
  </si>
  <si>
    <t>Arase Etanche</t>
  </si>
  <si>
    <t>TOTALE SECTION ( B )  HT</t>
  </si>
  <si>
    <t xml:space="preserve">Buses en PVC type assinissement </t>
  </si>
  <si>
    <t xml:space="preserve"> Diam,200 mm</t>
  </si>
  <si>
    <t xml:space="preserve"> Diam,300 mm</t>
  </si>
  <si>
    <t>Regardes en béton armé</t>
  </si>
  <si>
    <t xml:space="preserve"> de 50x50 cm</t>
  </si>
  <si>
    <t xml:space="preserve"> de 80x80 cm</t>
  </si>
  <si>
    <t xml:space="preserve">Caniveaux En béton armé </t>
  </si>
  <si>
    <t xml:space="preserve"> de 30cm </t>
  </si>
  <si>
    <t>112.2</t>
  </si>
  <si>
    <t>de 30cm avec grille inox</t>
  </si>
  <si>
    <t>Fosse à graisse</t>
  </si>
  <si>
    <t>TOTALE SECTION ( C )  HT</t>
  </si>
  <si>
    <t>SECTION  ( D ) - DALLAGES  :</t>
  </si>
  <si>
    <r>
      <t>Film polyane de 12</t>
    </r>
    <r>
      <rPr>
        <sz val="10"/>
        <rFont val="Calibri"/>
        <family val="2"/>
      </rPr>
      <t>µ</t>
    </r>
  </si>
  <si>
    <t>TOTALE SECTION ( D )  HT</t>
  </si>
  <si>
    <t>SECTION  ( E ) - BETON ET ACIER EN SUPERSTRUCTURE  :</t>
  </si>
  <si>
    <t>Béton armé en superstructure :</t>
  </si>
  <si>
    <r>
      <t xml:space="preserve"> </t>
    </r>
    <r>
      <rPr>
        <b/>
        <sz val="10"/>
        <rFont val="Arial"/>
        <family val="2"/>
      </rPr>
      <t>Pour Poteaux et raidisseurs</t>
    </r>
    <r>
      <rPr>
        <sz val="10"/>
        <rFont val="Arial"/>
        <family val="2"/>
      </rPr>
      <t xml:space="preserve"> :</t>
    </r>
  </si>
  <si>
    <r>
      <t xml:space="preserve"> </t>
    </r>
    <r>
      <rPr>
        <b/>
        <sz val="10"/>
        <rFont val="Arial"/>
        <family val="2"/>
      </rPr>
      <t>Pour Poutres et chainages</t>
    </r>
    <r>
      <rPr>
        <sz val="10"/>
        <rFont val="Arial"/>
        <family val="2"/>
      </rPr>
      <t xml:space="preserve"> :</t>
    </r>
  </si>
  <si>
    <r>
      <t xml:space="preserve"> </t>
    </r>
    <r>
      <rPr>
        <b/>
        <sz val="10"/>
        <rFont val="Arial"/>
        <family val="2"/>
      </rPr>
      <t>Pour dalles Pleines</t>
    </r>
    <r>
      <rPr>
        <sz val="10"/>
        <rFont val="Arial"/>
        <family val="2"/>
      </rPr>
      <t xml:space="preserve"> :</t>
    </r>
  </si>
  <si>
    <r>
      <t xml:space="preserve"> </t>
    </r>
    <r>
      <rPr>
        <b/>
        <sz val="10"/>
        <rFont val="Arial"/>
        <family val="2"/>
      </rPr>
      <t xml:space="preserve">Pour Voiles </t>
    </r>
    <r>
      <rPr>
        <sz val="10"/>
        <rFont val="Arial"/>
        <family val="2"/>
      </rPr>
      <t xml:space="preserve"> :</t>
    </r>
  </si>
  <si>
    <r>
      <t xml:space="preserve"> </t>
    </r>
    <r>
      <rPr>
        <b/>
        <sz val="10"/>
        <rFont val="Arial"/>
        <family val="2"/>
      </rPr>
      <t>Pour Escaliers</t>
    </r>
    <r>
      <rPr>
        <sz val="10"/>
        <rFont val="Arial"/>
        <family val="2"/>
      </rPr>
      <t xml:space="preserve"> :</t>
    </r>
  </si>
  <si>
    <r>
      <t xml:space="preserve"> </t>
    </r>
    <r>
      <rPr>
        <b/>
        <sz val="10"/>
        <rFont val="Arial"/>
        <family val="2"/>
      </rPr>
      <t>Pour Acrotére</t>
    </r>
    <r>
      <rPr>
        <sz val="10"/>
        <rFont val="Arial"/>
        <family val="2"/>
      </rPr>
      <t xml:space="preserve"> :</t>
    </r>
  </si>
  <si>
    <t xml:space="preserve">Aciers à haute adhérence en élévation : </t>
  </si>
  <si>
    <t xml:space="preserve">Dalette couvre-joint : </t>
  </si>
  <si>
    <t>Plancher Préfabriqué PPB   :</t>
  </si>
  <si>
    <t>120.1</t>
  </si>
  <si>
    <t xml:space="preserve"> de 20+5 cm :</t>
  </si>
  <si>
    <t xml:space="preserve"> de 15+5 cm :</t>
  </si>
  <si>
    <t>TOTALE SECTION ( E )  HT</t>
  </si>
  <si>
    <t>SECTION  ( F ) - MACONNERIE - CLOISONNEMENT   :</t>
  </si>
  <si>
    <t xml:space="preserve">Double cloison en briques creuses  : </t>
  </si>
  <si>
    <t>121.1</t>
  </si>
  <si>
    <t xml:space="preserve"> De 8T+6T : </t>
  </si>
  <si>
    <t xml:space="preserve"> De 2x8T : </t>
  </si>
  <si>
    <t xml:space="preserve">Cloison simple en briques creuses de 8T : </t>
  </si>
  <si>
    <t xml:space="preserve">Mur de Clausra en brique creuse céramique : </t>
  </si>
  <si>
    <t>SECTION  ( G ) - ENDUITS    :</t>
  </si>
  <si>
    <t>Enduits intérieurs sur murs et plafonds :</t>
  </si>
  <si>
    <t xml:space="preserve">enduits extérieurs : </t>
  </si>
  <si>
    <t>TOTALE SECTION (G )  HT</t>
  </si>
  <si>
    <t>SECTION  ( H ) - OUVRAGES DIVERS  :</t>
  </si>
  <si>
    <t>Appuis de fenétre :</t>
  </si>
  <si>
    <t>Renformis en béton :</t>
  </si>
  <si>
    <t>Dallettes en béton :</t>
  </si>
  <si>
    <t>Passe-Plats :</t>
  </si>
  <si>
    <t>Comptoir :</t>
  </si>
  <si>
    <t>Souche en terrasse :</t>
  </si>
  <si>
    <t>Traitement de joint de dilatation :</t>
  </si>
  <si>
    <t>Dalle flottante :</t>
  </si>
  <si>
    <t>Trottoir périphérique de 80 cm de large :</t>
  </si>
  <si>
    <t>Pose de couverture métallique :</t>
  </si>
  <si>
    <t>Pose de candélabre :</t>
  </si>
  <si>
    <t>TOTALE SECTION  ( H )  HT</t>
  </si>
  <si>
    <t xml:space="preserve">TOTALE LOT N° 100 HT </t>
  </si>
  <si>
    <t xml:space="preserve">LOT N° 200: ETANCHEITE : </t>
  </si>
  <si>
    <t>Forme de pente :</t>
  </si>
  <si>
    <t>Chape de Lissage :</t>
  </si>
  <si>
    <t>Gorges sous solins :</t>
  </si>
  <si>
    <t>Etanchéité bicouches :</t>
  </si>
  <si>
    <t>Etanchéité des relevés :</t>
  </si>
  <si>
    <t>Protection de l'étanchétié  :</t>
  </si>
  <si>
    <t>Protection de l'étanchétié des relevée :</t>
  </si>
  <si>
    <t>Etanchéité verticale :</t>
  </si>
  <si>
    <t>Etanchéité légére :</t>
  </si>
  <si>
    <t>Gargouilles et manchons :</t>
  </si>
  <si>
    <t xml:space="preserve">TOTALE LOT N° 200 HT </t>
  </si>
  <si>
    <t xml:space="preserve">LOT N° 300: REVETEMENT DES SOLS ET MURS : </t>
  </si>
  <si>
    <t>Revetement sol en granito poli blanc :</t>
  </si>
  <si>
    <t xml:space="preserve">Revetement sol en mignonette lavée : </t>
  </si>
  <si>
    <t>Plinthe et retombée en granito poli :</t>
  </si>
  <si>
    <t>Plinthe et retombée en mignonette lavée :</t>
  </si>
  <si>
    <t>Revetement sol en carreau grés cérame :</t>
  </si>
  <si>
    <t>Plinthe en carreau grés cérame :</t>
  </si>
  <si>
    <t>Revetement mural en carreau grés cérame :</t>
  </si>
  <si>
    <t xml:space="preserve">Marches et contre marches en marbre local : </t>
  </si>
  <si>
    <t>Bande de 40cm en marbre local :</t>
  </si>
  <si>
    <t>Paillasse en marbre locale :</t>
  </si>
  <si>
    <t>Revetement sol en carreau grés cérame antiderapant  :</t>
  </si>
  <si>
    <t>Plinthe en carreau grés cérame antiderapant  :</t>
  </si>
  <si>
    <t>Revetement en briquette traditionnelle :</t>
  </si>
  <si>
    <t>Couvre-joint :</t>
  </si>
  <si>
    <t xml:space="preserve">TOTALE LOT N° 300 HT </t>
  </si>
  <si>
    <t xml:space="preserve">LOT N° 400: MENUISERIE BOIS ,ALUMINIUM,METALLIQUEET FERRONNERIE : </t>
  </si>
  <si>
    <t>401.1.1</t>
  </si>
  <si>
    <r>
      <t xml:space="preserve">porte en bois à lames ( double porte à lame PDB1de </t>
    </r>
    <r>
      <rPr>
        <b/>
        <sz val="10"/>
        <rFont val="Arial"/>
        <family val="2"/>
      </rPr>
      <t>150x220</t>
    </r>
    <r>
      <rPr>
        <sz val="10"/>
        <rFont val="Arial"/>
        <family val="2"/>
      </rPr>
      <t xml:space="preserve"> cm HC )</t>
    </r>
  </si>
  <si>
    <t>401.2.1</t>
  </si>
  <si>
    <r>
      <t xml:space="preserve">porte en bois isoplane ( </t>
    </r>
    <r>
      <rPr>
        <b/>
        <sz val="10"/>
        <rFont val="Arial"/>
        <family val="2"/>
      </rPr>
      <t>DPB1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200x220</t>
    </r>
    <r>
      <rPr>
        <sz val="10"/>
        <rFont val="Arial"/>
        <family val="2"/>
      </rPr>
      <t xml:space="preserve"> cm HC ) </t>
    </r>
  </si>
  <si>
    <t>401.2.2</t>
  </si>
  <si>
    <r>
      <t xml:space="preserve">porte en bois isoplane ( </t>
    </r>
    <r>
      <rPr>
        <b/>
        <sz val="10"/>
        <rFont val="Arial"/>
        <family val="2"/>
      </rPr>
      <t>DPB2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160x220</t>
    </r>
    <r>
      <rPr>
        <sz val="10"/>
        <rFont val="Arial"/>
        <family val="2"/>
      </rPr>
      <t xml:space="preserve"> cm HC ) </t>
    </r>
  </si>
  <si>
    <t>401.2.3</t>
  </si>
  <si>
    <r>
      <t xml:space="preserve">porte en bois isoplane ( </t>
    </r>
    <r>
      <rPr>
        <b/>
        <sz val="10"/>
        <rFont val="Arial"/>
        <family val="2"/>
      </rPr>
      <t>DPB3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140x220</t>
    </r>
    <r>
      <rPr>
        <sz val="10"/>
        <rFont val="Arial"/>
        <family val="2"/>
      </rPr>
      <t xml:space="preserve"> cm HC ) </t>
    </r>
  </si>
  <si>
    <r>
      <t xml:space="preserve">porte en bois isoplane ( </t>
    </r>
    <r>
      <rPr>
        <b/>
        <sz val="10"/>
        <rFont val="Arial"/>
        <family val="2"/>
      </rPr>
      <t>PB 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94x220</t>
    </r>
    <r>
      <rPr>
        <sz val="10"/>
        <rFont val="Arial"/>
        <family val="2"/>
      </rPr>
      <t xml:space="preserve"> cm HC ) </t>
    </r>
  </si>
  <si>
    <t>401.2.5</t>
  </si>
  <si>
    <r>
      <t xml:space="preserve">porte en bois isoplane ( </t>
    </r>
    <r>
      <rPr>
        <b/>
        <sz val="10"/>
        <rFont val="Arial"/>
        <family val="2"/>
      </rPr>
      <t>PB 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84x220</t>
    </r>
    <r>
      <rPr>
        <sz val="10"/>
        <rFont val="Arial"/>
        <family val="2"/>
      </rPr>
      <t xml:space="preserve"> cm HC ) </t>
    </r>
  </si>
  <si>
    <t>401.3.1</t>
  </si>
  <si>
    <r>
      <t>porte en bois isoplane va-et-vient  (</t>
    </r>
    <r>
      <rPr>
        <b/>
        <sz val="10"/>
        <rFont val="Arial"/>
        <family val="2"/>
      </rPr>
      <t xml:space="preserve"> DPVVB1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190x220</t>
    </r>
    <r>
      <rPr>
        <sz val="10"/>
        <rFont val="Arial"/>
        <family val="2"/>
      </rPr>
      <t xml:space="preserve"> cm HC ) </t>
    </r>
  </si>
  <si>
    <t>401.3.2</t>
  </si>
  <si>
    <r>
      <t xml:space="preserve">porte en bois isoplane va-et-vient  ( </t>
    </r>
    <r>
      <rPr>
        <b/>
        <sz val="10"/>
        <rFont val="Arial"/>
        <family val="2"/>
      </rPr>
      <t>DPVVB2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140x220</t>
    </r>
    <r>
      <rPr>
        <sz val="10"/>
        <rFont val="Arial"/>
        <family val="2"/>
      </rPr>
      <t xml:space="preserve"> cm HC ) </t>
    </r>
  </si>
  <si>
    <t>401.4</t>
  </si>
  <si>
    <r>
      <t xml:space="preserve">Portillon va-et-vient ( </t>
    </r>
    <r>
      <rPr>
        <b/>
        <sz val="10"/>
        <rFont val="Arial"/>
        <family val="2"/>
      </rPr>
      <t>PVV1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120x150</t>
    </r>
    <r>
      <rPr>
        <sz val="10"/>
        <rFont val="Arial"/>
        <family val="2"/>
      </rPr>
      <t xml:space="preserve"> cm HC )</t>
    </r>
  </si>
  <si>
    <t xml:space="preserve">Placard </t>
  </si>
  <si>
    <r>
      <rPr>
        <b/>
        <sz val="10"/>
        <rFont val="Arial"/>
        <family val="2"/>
      </rPr>
      <t>PL1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110x260</t>
    </r>
    <r>
      <rPr>
        <sz val="10"/>
        <rFont val="Arial"/>
        <family val="2"/>
      </rPr>
      <t xml:space="preserve"> cm HC</t>
    </r>
  </si>
  <si>
    <r>
      <rPr>
        <b/>
        <sz val="10"/>
        <rFont val="Arial"/>
        <family val="2"/>
      </rPr>
      <t>PL2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120x260</t>
    </r>
    <r>
      <rPr>
        <sz val="10"/>
        <rFont val="Arial"/>
        <family val="2"/>
      </rPr>
      <t xml:space="preserve"> cm HC</t>
    </r>
  </si>
  <si>
    <r>
      <rPr>
        <b/>
        <sz val="10"/>
        <rFont val="Arial"/>
        <family val="2"/>
      </rPr>
      <t>PL3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180x260</t>
    </r>
    <r>
      <rPr>
        <sz val="10"/>
        <rFont val="Arial"/>
        <family val="2"/>
      </rPr>
      <t xml:space="preserve"> cm HC</t>
    </r>
  </si>
  <si>
    <r>
      <rPr>
        <b/>
        <sz val="10"/>
        <rFont val="Arial"/>
        <family val="2"/>
      </rPr>
      <t>PL4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260x260</t>
    </r>
    <r>
      <rPr>
        <sz val="10"/>
        <rFont val="Arial"/>
        <family val="2"/>
      </rPr>
      <t xml:space="preserve"> cm HC</t>
    </r>
  </si>
  <si>
    <r>
      <rPr>
        <b/>
        <sz val="10"/>
        <rFont val="Arial"/>
        <family val="2"/>
      </rPr>
      <t>PL5</t>
    </r>
    <r>
      <rPr>
        <sz val="10"/>
        <rFont val="Arial"/>
        <family val="2"/>
      </rPr>
      <t xml:space="preserve"> de</t>
    </r>
    <r>
      <rPr>
        <b/>
        <sz val="10"/>
        <rFont val="Arial"/>
        <family val="2"/>
      </rPr>
      <t xml:space="preserve"> 330x260</t>
    </r>
    <r>
      <rPr>
        <sz val="10"/>
        <rFont val="Arial"/>
        <family val="2"/>
      </rPr>
      <t xml:space="preserve"> cm HC</t>
    </r>
  </si>
  <si>
    <t>401.5.6</t>
  </si>
  <si>
    <r>
      <rPr>
        <b/>
        <sz val="10"/>
        <rFont val="Arial"/>
        <family val="2"/>
      </rPr>
      <t>PL6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310x220</t>
    </r>
    <r>
      <rPr>
        <sz val="10"/>
        <rFont val="Arial"/>
        <family val="2"/>
      </rPr>
      <t xml:space="preserve"> cm HC</t>
    </r>
  </si>
  <si>
    <t>401.5.7</t>
  </si>
  <si>
    <r>
      <rPr>
        <b/>
        <sz val="10"/>
        <rFont val="Arial"/>
        <family val="2"/>
      </rPr>
      <t>PL7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240x220</t>
    </r>
    <r>
      <rPr>
        <sz val="10"/>
        <rFont val="Arial"/>
        <family val="2"/>
      </rPr>
      <t xml:space="preserve"> cm HC</t>
    </r>
  </si>
  <si>
    <r>
      <rPr>
        <b/>
        <sz val="10"/>
        <rFont val="Arial"/>
        <family val="2"/>
      </rPr>
      <t>PL8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130x100</t>
    </r>
    <r>
      <rPr>
        <sz val="10"/>
        <rFont val="Arial"/>
        <family val="2"/>
      </rPr>
      <t xml:space="preserve"> cm HC</t>
    </r>
  </si>
  <si>
    <t>401.6</t>
  </si>
  <si>
    <t xml:space="preserve">placard sous paillasse PSP1 </t>
  </si>
  <si>
    <t xml:space="preserve">Fenetre vitrée en bois </t>
  </si>
  <si>
    <t xml:space="preserve">MENUISERIE ALUMINIUM  / </t>
  </si>
  <si>
    <t>402.1.1</t>
  </si>
  <si>
    <t>402.1.2</t>
  </si>
  <si>
    <t>402.1.3</t>
  </si>
  <si>
    <t>402.1.4</t>
  </si>
  <si>
    <t>402.1.5</t>
  </si>
  <si>
    <t>402.2.1</t>
  </si>
  <si>
    <t>402.2.2</t>
  </si>
  <si>
    <t>402.2.3</t>
  </si>
  <si>
    <t>402.2.4</t>
  </si>
  <si>
    <t>402.2.5</t>
  </si>
  <si>
    <t>402.2.6</t>
  </si>
  <si>
    <t>402.3</t>
  </si>
  <si>
    <r>
      <t xml:space="preserve">Porte-fenetre ouvrante vitrée ( </t>
    </r>
    <r>
      <rPr>
        <b/>
        <sz val="10"/>
        <rFont val="Arial"/>
        <family val="2"/>
      </rPr>
      <t>PFOalu1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450x240</t>
    </r>
    <r>
      <rPr>
        <sz val="10"/>
        <rFont val="Arial"/>
        <family val="2"/>
      </rPr>
      <t xml:space="preserve"> cm HC)</t>
    </r>
  </si>
  <si>
    <t>402.4.1</t>
  </si>
  <si>
    <r>
      <t xml:space="preserve">Porte-fenetre coulissante vitrée avec volet roulant                                                ( </t>
    </r>
    <r>
      <rPr>
        <b/>
        <sz val="10"/>
        <rFont val="Arial"/>
        <family val="2"/>
      </rPr>
      <t>PFCVRalu1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140x240</t>
    </r>
    <r>
      <rPr>
        <sz val="10"/>
        <rFont val="Arial"/>
        <family val="2"/>
      </rPr>
      <t xml:space="preserve"> cm HC)</t>
    </r>
  </si>
  <si>
    <t>402.4.2</t>
  </si>
  <si>
    <r>
      <t xml:space="preserve">Porte-fenetre coulissante vitrée avec volet roulant                                                ( </t>
    </r>
    <r>
      <rPr>
        <b/>
        <sz val="10"/>
        <rFont val="Arial"/>
        <family val="2"/>
      </rPr>
      <t>PFCVRalu2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220X220</t>
    </r>
    <r>
      <rPr>
        <sz val="10"/>
        <rFont val="Arial"/>
        <family val="2"/>
      </rPr>
      <t xml:space="preserve"> cm HC)</t>
    </r>
  </si>
  <si>
    <t>402.4.3</t>
  </si>
  <si>
    <r>
      <t xml:space="preserve">Porte-fenetre coulissante vitrée avec volet roulant                                                ( </t>
    </r>
    <r>
      <rPr>
        <b/>
        <sz val="10"/>
        <rFont val="Arial"/>
        <family val="2"/>
      </rPr>
      <t>PFCVRalu3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190X220</t>
    </r>
    <r>
      <rPr>
        <sz val="10"/>
        <rFont val="Arial"/>
        <family val="2"/>
      </rPr>
      <t xml:space="preserve"> cm HC)</t>
    </r>
  </si>
  <si>
    <t>402.5.1</t>
  </si>
  <si>
    <r>
      <t xml:space="preserve">fenetre coulissante vitrée avec volet roulant                                                ( </t>
    </r>
    <r>
      <rPr>
        <b/>
        <sz val="10"/>
        <rFont val="Arial"/>
        <family val="2"/>
      </rPr>
      <t>FCVRalu1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140X150</t>
    </r>
    <r>
      <rPr>
        <sz val="10"/>
        <rFont val="Arial"/>
        <family val="2"/>
      </rPr>
      <t xml:space="preserve"> cm HC)</t>
    </r>
  </si>
  <si>
    <t>402.5.2</t>
  </si>
  <si>
    <r>
      <t xml:space="preserve">fenetre coulissante vitrée avec volet roulant                                                ( </t>
    </r>
    <r>
      <rPr>
        <b/>
        <sz val="10"/>
        <rFont val="Arial"/>
        <family val="2"/>
      </rPr>
      <t>FCVRalu2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120X220</t>
    </r>
    <r>
      <rPr>
        <sz val="10"/>
        <rFont val="Arial"/>
        <family val="2"/>
      </rPr>
      <t xml:space="preserve"> cm HC)</t>
    </r>
  </si>
  <si>
    <t>402.6.1</t>
  </si>
  <si>
    <r>
      <t xml:space="preserve">fenetre coulissante vitrée ( </t>
    </r>
    <r>
      <rPr>
        <b/>
        <sz val="10"/>
        <rFont val="Arial"/>
        <family val="2"/>
      </rPr>
      <t>FCalu1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260X260</t>
    </r>
    <r>
      <rPr>
        <sz val="10"/>
        <rFont val="Arial"/>
        <family val="2"/>
      </rPr>
      <t xml:space="preserve"> cm HC)</t>
    </r>
  </si>
  <si>
    <t>402.6.2</t>
  </si>
  <si>
    <r>
      <t xml:space="preserve">fenetre coulissante vitrée ( </t>
    </r>
    <r>
      <rPr>
        <b/>
        <sz val="10"/>
        <rFont val="Arial"/>
        <family val="2"/>
      </rPr>
      <t>FCalu2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150X260</t>
    </r>
    <r>
      <rPr>
        <sz val="10"/>
        <rFont val="Arial"/>
        <family val="2"/>
      </rPr>
      <t xml:space="preserve"> cm HC)</t>
    </r>
  </si>
  <si>
    <t>402.6.3</t>
  </si>
  <si>
    <r>
      <t xml:space="preserve">fenetre coulissante vitrée ( </t>
    </r>
    <r>
      <rPr>
        <b/>
        <sz val="10"/>
        <rFont val="Arial"/>
        <family val="2"/>
      </rPr>
      <t>FCalu3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140X220</t>
    </r>
    <r>
      <rPr>
        <sz val="10"/>
        <rFont val="Arial"/>
        <family val="2"/>
      </rPr>
      <t xml:space="preserve"> cm HC)</t>
    </r>
  </si>
  <si>
    <t>402.6.4</t>
  </si>
  <si>
    <r>
      <t xml:space="preserve">fenetre coulissante vitrée ( </t>
    </r>
    <r>
      <rPr>
        <b/>
        <sz val="10"/>
        <rFont val="Arial"/>
        <family val="2"/>
      </rPr>
      <t>FCalu4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300X210</t>
    </r>
    <r>
      <rPr>
        <sz val="10"/>
        <rFont val="Arial"/>
        <family val="2"/>
      </rPr>
      <t xml:space="preserve"> cm HC)</t>
    </r>
  </si>
  <si>
    <t>402.6.5</t>
  </si>
  <si>
    <r>
      <t xml:space="preserve">fenetre coulissante vitrée ( </t>
    </r>
    <r>
      <rPr>
        <b/>
        <sz val="10"/>
        <rFont val="Arial"/>
        <family val="2"/>
      </rPr>
      <t>FCalu5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150X210</t>
    </r>
    <r>
      <rPr>
        <sz val="10"/>
        <rFont val="Arial"/>
        <family val="2"/>
      </rPr>
      <t xml:space="preserve"> cm HC)</t>
    </r>
  </si>
  <si>
    <t>402.6.6</t>
  </si>
  <si>
    <r>
      <t xml:space="preserve">fenetre coulissante vitrée ( </t>
    </r>
    <r>
      <rPr>
        <b/>
        <sz val="10"/>
        <rFont val="Arial"/>
        <family val="2"/>
      </rPr>
      <t>FCalu6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320X150</t>
    </r>
    <r>
      <rPr>
        <sz val="10"/>
        <rFont val="Arial"/>
        <family val="2"/>
      </rPr>
      <t xml:space="preserve"> cm HC)</t>
    </r>
  </si>
  <si>
    <t>402.6.7</t>
  </si>
  <si>
    <r>
      <t xml:space="preserve">fenetre coulissante vitrée ( </t>
    </r>
    <r>
      <rPr>
        <b/>
        <sz val="10"/>
        <rFont val="Arial"/>
        <family val="2"/>
      </rPr>
      <t>FCalu7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200X150</t>
    </r>
    <r>
      <rPr>
        <sz val="10"/>
        <rFont val="Arial"/>
        <family val="2"/>
      </rPr>
      <t xml:space="preserve"> cm HC)</t>
    </r>
  </si>
  <si>
    <t>402.6.8</t>
  </si>
  <si>
    <r>
      <t xml:space="preserve">fenetre coulissante vitrée ( </t>
    </r>
    <r>
      <rPr>
        <b/>
        <sz val="10"/>
        <rFont val="Arial"/>
        <family val="2"/>
      </rPr>
      <t>FCalu8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140X150</t>
    </r>
    <r>
      <rPr>
        <sz val="10"/>
        <rFont val="Arial"/>
        <family val="2"/>
      </rPr>
      <t xml:space="preserve"> cm HC)</t>
    </r>
  </si>
  <si>
    <t>402.7.1</t>
  </si>
  <si>
    <r>
      <t xml:space="preserve">fenetre Ouvrante vitrée ( </t>
    </r>
    <r>
      <rPr>
        <b/>
        <sz val="10"/>
        <rFont val="Arial"/>
        <family val="2"/>
      </rPr>
      <t>Falu1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60x200</t>
    </r>
    <r>
      <rPr>
        <sz val="10"/>
        <rFont val="Arial"/>
        <family val="2"/>
      </rPr>
      <t xml:space="preserve"> cm HC)</t>
    </r>
  </si>
  <si>
    <t>402.7.2</t>
  </si>
  <si>
    <r>
      <t xml:space="preserve">fenetre Ouvrante vitrée ( </t>
    </r>
    <r>
      <rPr>
        <b/>
        <sz val="10"/>
        <rFont val="Arial"/>
        <family val="2"/>
      </rPr>
      <t>Falu2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40x200</t>
    </r>
    <r>
      <rPr>
        <sz val="10"/>
        <rFont val="Arial"/>
        <family val="2"/>
      </rPr>
      <t xml:space="preserve"> cm HC)</t>
    </r>
  </si>
  <si>
    <t>402.7.3</t>
  </si>
  <si>
    <r>
      <t xml:space="preserve">fenetre Ouvrante vitrée ( </t>
    </r>
    <r>
      <rPr>
        <b/>
        <sz val="10"/>
        <rFont val="Arial"/>
        <family val="2"/>
      </rPr>
      <t>Falu3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120X170</t>
    </r>
    <r>
      <rPr>
        <sz val="10"/>
        <rFont val="Arial"/>
        <family val="2"/>
      </rPr>
      <t xml:space="preserve"> cm HC)</t>
    </r>
  </si>
  <si>
    <t>402.7.4</t>
  </si>
  <si>
    <r>
      <t xml:space="preserve">fenetre Ouvrante vitrée ( </t>
    </r>
    <r>
      <rPr>
        <b/>
        <sz val="10"/>
        <rFont val="Arial"/>
        <family val="2"/>
      </rPr>
      <t>Falu4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40X170</t>
    </r>
    <r>
      <rPr>
        <sz val="10"/>
        <rFont val="Arial"/>
        <family val="2"/>
      </rPr>
      <t xml:space="preserve"> cm HC)</t>
    </r>
  </si>
  <si>
    <t>402.7.5</t>
  </si>
  <si>
    <r>
      <t xml:space="preserve">fenetre Ouvrante vitrée ( </t>
    </r>
    <r>
      <rPr>
        <b/>
        <sz val="10"/>
        <rFont val="Arial"/>
        <family val="2"/>
      </rPr>
      <t>Falu5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200X150</t>
    </r>
    <r>
      <rPr>
        <sz val="10"/>
        <rFont val="Arial"/>
        <family val="2"/>
      </rPr>
      <t xml:space="preserve"> cm HC)</t>
    </r>
  </si>
  <si>
    <t>402.7.6</t>
  </si>
  <si>
    <r>
      <t xml:space="preserve">fenetre Ouvrante vitrée ( </t>
    </r>
    <r>
      <rPr>
        <b/>
        <sz val="10"/>
        <rFont val="Arial"/>
        <family val="2"/>
      </rPr>
      <t>Falu6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120X150</t>
    </r>
    <r>
      <rPr>
        <sz val="10"/>
        <rFont val="Arial"/>
        <family val="2"/>
      </rPr>
      <t xml:space="preserve"> cm HC)</t>
    </r>
  </si>
  <si>
    <t>402.7.7</t>
  </si>
  <si>
    <r>
      <t xml:space="preserve">fenetre Ouvrante vitrée ( </t>
    </r>
    <r>
      <rPr>
        <b/>
        <sz val="10"/>
        <rFont val="Arial"/>
        <family val="2"/>
      </rPr>
      <t>Falu7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60X150</t>
    </r>
    <r>
      <rPr>
        <sz val="10"/>
        <rFont val="Arial"/>
        <family val="2"/>
      </rPr>
      <t xml:space="preserve"> cm HC)</t>
    </r>
  </si>
  <si>
    <t>402.8.1</t>
  </si>
  <si>
    <r>
      <t xml:space="preserve">fenetre Fixe vitrée ( </t>
    </r>
    <r>
      <rPr>
        <b/>
        <sz val="10"/>
        <rFont val="Arial"/>
        <family val="2"/>
      </rPr>
      <t>FFalu1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240x440</t>
    </r>
    <r>
      <rPr>
        <sz val="10"/>
        <rFont val="Arial"/>
        <family val="2"/>
      </rPr>
      <t xml:space="preserve"> cm HC)</t>
    </r>
  </si>
  <si>
    <t>402.8.2</t>
  </si>
  <si>
    <r>
      <t xml:space="preserve">fenetre Fixe vitrée ( </t>
    </r>
    <r>
      <rPr>
        <b/>
        <sz val="10"/>
        <rFont val="Arial"/>
        <family val="2"/>
      </rPr>
      <t>FFalu2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200x440</t>
    </r>
    <r>
      <rPr>
        <sz val="10"/>
        <rFont val="Arial"/>
        <family val="2"/>
      </rPr>
      <t xml:space="preserve"> cm HC)</t>
    </r>
  </si>
  <si>
    <t>402.8.3</t>
  </si>
  <si>
    <r>
      <t xml:space="preserve">fenetre Fixe vitrée ( </t>
    </r>
    <r>
      <rPr>
        <b/>
        <sz val="10"/>
        <rFont val="Arial"/>
        <family val="2"/>
      </rPr>
      <t>FFalu3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460x260</t>
    </r>
    <r>
      <rPr>
        <sz val="10"/>
        <rFont val="Arial"/>
        <family val="2"/>
      </rPr>
      <t xml:space="preserve"> cm HC)</t>
    </r>
  </si>
  <si>
    <t>402.8.4</t>
  </si>
  <si>
    <r>
      <t xml:space="preserve">fenetre Fixe vitrée ( </t>
    </r>
    <r>
      <rPr>
        <b/>
        <sz val="10"/>
        <rFont val="Arial"/>
        <family val="2"/>
      </rPr>
      <t>FFalu4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190x250</t>
    </r>
    <r>
      <rPr>
        <sz val="10"/>
        <rFont val="Arial"/>
        <family val="2"/>
      </rPr>
      <t xml:space="preserve"> cm HC)</t>
    </r>
  </si>
  <si>
    <t>402.8.5</t>
  </si>
  <si>
    <r>
      <t xml:space="preserve">fenetre Fixe vitrée ( </t>
    </r>
    <r>
      <rPr>
        <b/>
        <sz val="10"/>
        <rFont val="Arial"/>
        <family val="2"/>
      </rPr>
      <t>FFalu5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40x250</t>
    </r>
    <r>
      <rPr>
        <sz val="10"/>
        <rFont val="Arial"/>
        <family val="2"/>
      </rPr>
      <t xml:space="preserve"> cm HC)</t>
    </r>
  </si>
  <si>
    <t>402.8.6</t>
  </si>
  <si>
    <r>
      <t xml:space="preserve">fenetre Fixe vitrée ( </t>
    </r>
    <r>
      <rPr>
        <b/>
        <sz val="10"/>
        <rFont val="Arial"/>
        <family val="2"/>
      </rPr>
      <t>FFalu6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40x130</t>
    </r>
    <r>
      <rPr>
        <sz val="10"/>
        <rFont val="Arial"/>
        <family val="2"/>
      </rPr>
      <t xml:space="preserve"> cm HC)</t>
    </r>
  </si>
  <si>
    <t>402.8.7</t>
  </si>
  <si>
    <r>
      <t xml:space="preserve">fenetre Fixe vitrée ( </t>
    </r>
    <r>
      <rPr>
        <b/>
        <sz val="10"/>
        <rFont val="Arial"/>
        <family val="2"/>
      </rPr>
      <t>FFalu7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690x90</t>
    </r>
    <r>
      <rPr>
        <sz val="10"/>
        <rFont val="Arial"/>
        <family val="2"/>
      </rPr>
      <t xml:space="preserve"> cm HC)</t>
    </r>
  </si>
  <si>
    <t>402.9.1</t>
  </si>
  <si>
    <r>
      <t xml:space="preserve">baie vitrée bord à bord ( </t>
    </r>
    <r>
      <rPr>
        <b/>
        <sz val="10"/>
        <rFont val="Arial"/>
        <family val="2"/>
      </rPr>
      <t>BVbbalu1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460x240</t>
    </r>
    <r>
      <rPr>
        <sz val="10"/>
        <rFont val="Arial"/>
        <family val="2"/>
      </rPr>
      <t xml:space="preserve"> cm HC)</t>
    </r>
  </si>
  <si>
    <t>402.9.2</t>
  </si>
  <si>
    <r>
      <t xml:space="preserve">baie vitrée bord à bord ( </t>
    </r>
    <r>
      <rPr>
        <b/>
        <sz val="10"/>
        <rFont val="Arial"/>
        <family val="2"/>
      </rPr>
      <t>BVbbalu2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450x240</t>
    </r>
    <r>
      <rPr>
        <sz val="10"/>
        <rFont val="Arial"/>
        <family val="2"/>
      </rPr>
      <t xml:space="preserve"> cm HC)</t>
    </r>
  </si>
  <si>
    <t>402.10.1</t>
  </si>
  <si>
    <r>
      <t xml:space="preserve">chassis Aluminium vitrée  ( </t>
    </r>
    <r>
      <rPr>
        <b/>
        <sz val="10"/>
        <rFont val="Arial"/>
        <family val="2"/>
      </rPr>
      <t>CHalu1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640x60</t>
    </r>
    <r>
      <rPr>
        <sz val="10"/>
        <rFont val="Arial"/>
        <family val="2"/>
      </rPr>
      <t xml:space="preserve"> cm HC)</t>
    </r>
  </si>
  <si>
    <t>402.10.2</t>
  </si>
  <si>
    <r>
      <t xml:space="preserve">chassis Aluminium vitrée  ( </t>
    </r>
    <r>
      <rPr>
        <b/>
        <sz val="10"/>
        <rFont val="Arial"/>
        <family val="2"/>
      </rPr>
      <t>CHalu2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460x60</t>
    </r>
    <r>
      <rPr>
        <sz val="10"/>
        <rFont val="Arial"/>
        <family val="2"/>
      </rPr>
      <t xml:space="preserve"> cm HC)</t>
    </r>
  </si>
  <si>
    <t>402.10.3</t>
  </si>
  <si>
    <r>
      <t xml:space="preserve">chassis Aluminium vitrée  ( </t>
    </r>
    <r>
      <rPr>
        <b/>
        <sz val="10"/>
        <rFont val="Arial"/>
        <family val="2"/>
      </rPr>
      <t>CHalu3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290x60</t>
    </r>
    <r>
      <rPr>
        <sz val="10"/>
        <rFont val="Arial"/>
        <family val="2"/>
      </rPr>
      <t xml:space="preserve"> cm HC)</t>
    </r>
  </si>
  <si>
    <t>402.10.4</t>
  </si>
  <si>
    <r>
      <t xml:space="preserve">chassis Aluminium vitrée  ( </t>
    </r>
    <r>
      <rPr>
        <b/>
        <sz val="10"/>
        <rFont val="Arial"/>
        <family val="2"/>
      </rPr>
      <t>CHalu4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250x60</t>
    </r>
    <r>
      <rPr>
        <sz val="10"/>
        <rFont val="Arial"/>
        <family val="2"/>
      </rPr>
      <t xml:space="preserve"> cm HC)</t>
    </r>
  </si>
  <si>
    <t>402.10.5</t>
  </si>
  <si>
    <r>
      <t xml:space="preserve">chassis Aluminium vitrée  ( </t>
    </r>
    <r>
      <rPr>
        <b/>
        <sz val="10"/>
        <rFont val="Arial"/>
        <family val="2"/>
      </rPr>
      <t>CHalu5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180x60</t>
    </r>
    <r>
      <rPr>
        <sz val="10"/>
        <rFont val="Arial"/>
        <family val="2"/>
      </rPr>
      <t xml:space="preserve"> cm HC)</t>
    </r>
  </si>
  <si>
    <t>402.10.6</t>
  </si>
  <si>
    <r>
      <t xml:space="preserve">chassis Aluminium vitrée  ( </t>
    </r>
    <r>
      <rPr>
        <b/>
        <sz val="10"/>
        <rFont val="Arial"/>
        <family val="2"/>
      </rPr>
      <t>CHalu6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160x60</t>
    </r>
    <r>
      <rPr>
        <sz val="10"/>
        <rFont val="Arial"/>
        <family val="2"/>
      </rPr>
      <t xml:space="preserve"> cm HC)</t>
    </r>
  </si>
  <si>
    <t>402.10.7</t>
  </si>
  <si>
    <r>
      <t xml:space="preserve">chassis Aluminium vitrée  ( </t>
    </r>
    <r>
      <rPr>
        <b/>
        <sz val="10"/>
        <rFont val="Arial"/>
        <family val="2"/>
      </rPr>
      <t>CHalu7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80x60</t>
    </r>
    <r>
      <rPr>
        <sz val="10"/>
        <rFont val="Arial"/>
        <family val="2"/>
      </rPr>
      <t xml:space="preserve"> cm HC)</t>
    </r>
  </si>
  <si>
    <t>402.10.8</t>
  </si>
  <si>
    <r>
      <t xml:space="preserve">chassis Aluminium vitrée  ( </t>
    </r>
    <r>
      <rPr>
        <b/>
        <sz val="10"/>
        <rFont val="Arial"/>
        <family val="2"/>
      </rPr>
      <t>CHalu8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60x60</t>
    </r>
    <r>
      <rPr>
        <sz val="10"/>
        <rFont val="Arial"/>
        <family val="2"/>
      </rPr>
      <t xml:space="preserve"> cm HC)</t>
    </r>
  </si>
  <si>
    <t>402.11.1</t>
  </si>
  <si>
    <t xml:space="preserve">volet roulant en aluminium </t>
  </si>
  <si>
    <t>402.11.2</t>
  </si>
  <si>
    <t xml:space="preserve">cloison vitrée de séparation </t>
  </si>
  <si>
    <t>TOTALE MENUISERIE ALUMINIUM  HT</t>
  </si>
  <si>
    <t xml:space="preserve">MENUISERIE METALLIQUE &amp; FERRONNERIE / </t>
  </si>
  <si>
    <t>403.1</t>
  </si>
  <si>
    <r>
      <t xml:space="preserve">Porte métallique persiennée </t>
    </r>
    <r>
      <rPr>
        <b/>
        <sz val="10"/>
        <rFont val="Arial"/>
        <family val="2"/>
      </rPr>
      <t>PMPr1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100x220</t>
    </r>
  </si>
  <si>
    <t>403.2</t>
  </si>
  <si>
    <t>Garde-corps métallique inox</t>
  </si>
  <si>
    <t>403.3</t>
  </si>
  <si>
    <t>Main courante en inox</t>
  </si>
  <si>
    <t>403.4</t>
  </si>
  <si>
    <t xml:space="preserve">Porte-manteau en inox </t>
  </si>
  <si>
    <t>TOTALE MENUISERIE METALLIQUE  HT</t>
  </si>
  <si>
    <t>DIVERS /</t>
  </si>
  <si>
    <t>404.1</t>
  </si>
  <si>
    <t xml:space="preserve">Miroir biseauté de 6mm </t>
  </si>
  <si>
    <t>404.2</t>
  </si>
  <si>
    <t>Ensemble poignée béquille double en inox</t>
  </si>
  <si>
    <t>404.3</t>
  </si>
  <si>
    <t>Serrure de sureté</t>
  </si>
  <si>
    <t>404.4</t>
  </si>
  <si>
    <t xml:space="preserve">Canon cylindrique en inox </t>
  </si>
  <si>
    <t>404.5</t>
  </si>
  <si>
    <t>Paumelle porte</t>
  </si>
  <si>
    <t>404.6</t>
  </si>
  <si>
    <t>Paumelle porte placard</t>
  </si>
  <si>
    <t>404.7</t>
  </si>
  <si>
    <t>Paumelle fenétre</t>
  </si>
  <si>
    <t>404.8</t>
  </si>
  <si>
    <t>Paumelle chassis</t>
  </si>
  <si>
    <t>404.9</t>
  </si>
  <si>
    <t>Verrou encastré à onglet</t>
  </si>
  <si>
    <t>404.10</t>
  </si>
  <si>
    <t>Serrure en applique</t>
  </si>
  <si>
    <t>404.11</t>
  </si>
  <si>
    <t>Serrure de placard</t>
  </si>
  <si>
    <t>404.12</t>
  </si>
  <si>
    <t>Crémone à tringle</t>
  </si>
  <si>
    <t>404.13</t>
  </si>
  <si>
    <t>Loqueteau à ressort</t>
  </si>
  <si>
    <t>404.14</t>
  </si>
  <si>
    <t>Buttoir</t>
  </si>
  <si>
    <t>TOTALE DIVERS  HT</t>
  </si>
  <si>
    <t xml:space="preserve">TOTALE LOT N° 400 HT </t>
  </si>
  <si>
    <t>LOT N° 500: ELECTRICITE-LUSTRERIE COURANT FORT-COURANT FAIBLE</t>
  </si>
  <si>
    <t>BRANCHEMENT MT</t>
  </si>
  <si>
    <t>500.1.6</t>
  </si>
  <si>
    <t>Traversée sous chaussée</t>
  </si>
  <si>
    <t>TOTALE BRANCHEMENT MT  HT</t>
  </si>
  <si>
    <t xml:space="preserve">POSTE DE TRANSFORMATION </t>
  </si>
  <si>
    <t>500.2.2.7</t>
  </si>
  <si>
    <t>Armoire de correction automatique</t>
  </si>
  <si>
    <t>TOTALE POSTE DE TRANSFORMATION   HT</t>
  </si>
  <si>
    <t>500.3</t>
  </si>
  <si>
    <t>PROTECTION ELECTRIQUE / TABLEAUX GENERAL BASSE TENSION / MARQUE : PRISMAPLUS, MERLIN GERIN</t>
  </si>
  <si>
    <t>500.3.1</t>
  </si>
  <si>
    <t>Tableau général basse tension normal : TGBT GENERAL</t>
  </si>
  <si>
    <t>500.3.2</t>
  </si>
  <si>
    <t>Tableau électrique secondaire HAGER - MERLIN GERIN</t>
  </si>
  <si>
    <t>500.3.2.1</t>
  </si>
  <si>
    <t>Tableau général basse tension : TGBT REHABILITATION</t>
  </si>
  <si>
    <t>500.3.2.2</t>
  </si>
  <si>
    <t>Tableau de protection TP :RDC1 REHABILITATION</t>
  </si>
  <si>
    <t>500.3.2.3</t>
  </si>
  <si>
    <t>Tableau de protection TP :RDC2 REHABILITATION</t>
  </si>
  <si>
    <t>500.3.2.4</t>
  </si>
  <si>
    <t>Tableau de protection TP :RDC3 REHABILITATION</t>
  </si>
  <si>
    <t>500.3.2.5</t>
  </si>
  <si>
    <t>Tableau de protection TP :ETAGE REHABILITATION</t>
  </si>
  <si>
    <t>500.3.2.6</t>
  </si>
  <si>
    <t>Tableau de protection TP :HEBERGEMENT 1 RDC</t>
  </si>
  <si>
    <t>500.3.2.7</t>
  </si>
  <si>
    <t>Tableau de protection TP :HEBERGEMENT 1 ETAGE</t>
  </si>
  <si>
    <t>500.3.2.8</t>
  </si>
  <si>
    <t>Tableau de protection TP :HEBERGEMENT 2 RDC</t>
  </si>
  <si>
    <t>500.3.2.9</t>
  </si>
  <si>
    <t>Tableau de protection TP :HEBERGEMENT 2 ETAGE</t>
  </si>
  <si>
    <t>500.3.2.10</t>
  </si>
  <si>
    <t>Tableau de protection TP :HEBERGEMENT 3 RDC</t>
  </si>
  <si>
    <t>500.3.2.11</t>
  </si>
  <si>
    <t>Tableau de protection TP :HEBERGEMENT 3 ETAGE</t>
  </si>
  <si>
    <t>500.3.2.12</t>
  </si>
  <si>
    <t>Tableau de protection TP :POSTE DE POLICE RDC</t>
  </si>
  <si>
    <t>500.3.2.13</t>
  </si>
  <si>
    <t>Tableau de protection TP :POSTE DE POLICE ETAGE</t>
  </si>
  <si>
    <t>500.3.2.14</t>
  </si>
  <si>
    <t>Tableau de protection TP :RESTAURATION</t>
  </si>
  <si>
    <t>500.3.2.15</t>
  </si>
  <si>
    <t>Tableau de protection TP :ACCEUIL DES TOURNOI RDC</t>
  </si>
  <si>
    <t>500.3.2.16</t>
  </si>
  <si>
    <t>Tableau de protection TP :ACCEUIL DES TOURNOI ETAGE</t>
  </si>
  <si>
    <t>500.3.2.17</t>
  </si>
  <si>
    <t>Tableau de protection TP :GRADIN RDC</t>
  </si>
  <si>
    <t>500.3.2.18</t>
  </si>
  <si>
    <t>Tableau de protection TP :GRADIN ETAGE</t>
  </si>
  <si>
    <t>500.3.2.19</t>
  </si>
  <si>
    <t>Tableau de protection TP :EXTERIEUR</t>
  </si>
  <si>
    <t>TOTALE DE TABLEAUX GENERAL BASSE TENSION   HT</t>
  </si>
  <si>
    <t>500.4</t>
  </si>
  <si>
    <t>Coffret de distribution 2 arrivées et deux départ marque : OGE</t>
  </si>
  <si>
    <t>TOTALE Coffret de distribution 2 arrivées et deux départ   HT</t>
  </si>
  <si>
    <t>500.5</t>
  </si>
  <si>
    <t>CABLES BASSE TENSION DE DISTRIBUTION</t>
  </si>
  <si>
    <t>500.5.1</t>
  </si>
  <si>
    <r>
      <t>Câble U1000 RVFV 1x240 mm</t>
    </r>
    <r>
      <rPr>
        <sz val="12"/>
        <rFont val="Calibri"/>
        <family val="2"/>
      </rPr>
      <t>²</t>
    </r>
  </si>
  <si>
    <t>500.5.2</t>
  </si>
  <si>
    <r>
      <t>Câble U1000 RVFV 1x185 mm</t>
    </r>
    <r>
      <rPr>
        <sz val="12"/>
        <rFont val="Calibri"/>
        <family val="2"/>
      </rPr>
      <t>²</t>
    </r>
  </si>
  <si>
    <t>500.5.3</t>
  </si>
  <si>
    <r>
      <t>Câble U1000 RVFV 1x150 mm</t>
    </r>
    <r>
      <rPr>
        <sz val="12"/>
        <rFont val="Calibri"/>
        <family val="2"/>
      </rPr>
      <t>²</t>
    </r>
  </si>
  <si>
    <t>500.5.4</t>
  </si>
  <si>
    <r>
      <t>Câble U1000 RVFV 1x120 mm</t>
    </r>
    <r>
      <rPr>
        <sz val="12"/>
        <rFont val="Calibri"/>
        <family val="2"/>
      </rPr>
      <t>²</t>
    </r>
  </si>
  <si>
    <t>500.5.5</t>
  </si>
  <si>
    <r>
      <t>Câble U1000 RVFV 1x95 mm</t>
    </r>
    <r>
      <rPr>
        <sz val="12"/>
        <rFont val="Calibri"/>
        <family val="2"/>
      </rPr>
      <t>²</t>
    </r>
  </si>
  <si>
    <t>500.5.6</t>
  </si>
  <si>
    <r>
      <t>Câble U1000 RVFV 1x70 mm</t>
    </r>
    <r>
      <rPr>
        <sz val="12"/>
        <rFont val="Calibri"/>
        <family val="2"/>
      </rPr>
      <t>²</t>
    </r>
  </si>
  <si>
    <t>500.5.7</t>
  </si>
  <si>
    <r>
      <t>Câble U1000 RVFV 1x35 mm</t>
    </r>
    <r>
      <rPr>
        <sz val="12"/>
        <rFont val="Calibri"/>
        <family val="2"/>
      </rPr>
      <t>²</t>
    </r>
  </si>
  <si>
    <t>500.5.8</t>
  </si>
  <si>
    <r>
      <t>Câble U1000 RVFV 5x50 mm</t>
    </r>
    <r>
      <rPr>
        <sz val="12"/>
        <rFont val="Calibri"/>
        <family val="2"/>
      </rPr>
      <t>²</t>
    </r>
  </si>
  <si>
    <t>500.5.9</t>
  </si>
  <si>
    <r>
      <t>Câble U1000 RVFV 5x35 mm</t>
    </r>
    <r>
      <rPr>
        <sz val="12"/>
        <rFont val="Calibri"/>
        <family val="2"/>
      </rPr>
      <t>²</t>
    </r>
  </si>
  <si>
    <t>500.5.10</t>
  </si>
  <si>
    <r>
      <t>Câble U1000 RVFV 5x25 mm</t>
    </r>
    <r>
      <rPr>
        <sz val="12"/>
        <rFont val="Calibri"/>
        <family val="2"/>
      </rPr>
      <t>²</t>
    </r>
  </si>
  <si>
    <t>500.5.11</t>
  </si>
  <si>
    <r>
      <t>Câble U1000 RVFV 5x16 mm</t>
    </r>
    <r>
      <rPr>
        <sz val="12"/>
        <rFont val="Calibri"/>
        <family val="2"/>
      </rPr>
      <t>²</t>
    </r>
  </si>
  <si>
    <t>500.5.12</t>
  </si>
  <si>
    <r>
      <t>Câble U1000 RVFV 5x10 mm</t>
    </r>
    <r>
      <rPr>
        <sz val="12"/>
        <rFont val="Calibri"/>
        <family val="2"/>
      </rPr>
      <t>²</t>
    </r>
  </si>
  <si>
    <t>500.5.13</t>
  </si>
  <si>
    <r>
      <t>Câble U1000 RVFV 3x10 mm</t>
    </r>
    <r>
      <rPr>
        <sz val="12"/>
        <rFont val="Calibri"/>
        <family val="2"/>
      </rPr>
      <t>²</t>
    </r>
  </si>
  <si>
    <t>500.5.14</t>
  </si>
  <si>
    <r>
      <t>Câble U1000 RVFV 3x6 mm</t>
    </r>
    <r>
      <rPr>
        <sz val="12"/>
        <rFont val="Calibri"/>
        <family val="2"/>
      </rPr>
      <t>²</t>
    </r>
  </si>
  <si>
    <t>500.5.15</t>
  </si>
  <si>
    <r>
      <t>Câble U1000 RVFV 3x4 mm</t>
    </r>
    <r>
      <rPr>
        <sz val="12"/>
        <rFont val="Calibri"/>
        <family val="2"/>
      </rPr>
      <t>²</t>
    </r>
  </si>
  <si>
    <t>TOTALE CABLES BASSE TENSION DE DISTRIBUTION   HT</t>
  </si>
  <si>
    <t>500.6</t>
  </si>
  <si>
    <t>Systéme de support de câble</t>
  </si>
  <si>
    <t>500.6.1</t>
  </si>
  <si>
    <t xml:space="preserve">Chemin de câble </t>
  </si>
  <si>
    <t>500.6.1.1</t>
  </si>
  <si>
    <t>Chemin de câble 365 x 63 mm</t>
  </si>
  <si>
    <t>500.6.1.2</t>
  </si>
  <si>
    <t>Chemin de câble 215 x 63 mm</t>
  </si>
  <si>
    <t>500.6.1.3</t>
  </si>
  <si>
    <t>Chemin de câble 125 x 63 mm avec couvercle</t>
  </si>
  <si>
    <t>500.6.2</t>
  </si>
  <si>
    <t>Goulotte 2 compartiments marque : LEGRAND</t>
  </si>
  <si>
    <t>500.6.3</t>
  </si>
  <si>
    <t>Tranchée avec une gaine annelée double paroi de 100 mm</t>
  </si>
  <si>
    <t>500.6.4</t>
  </si>
  <si>
    <t xml:space="preserve">Conduits ICD </t>
  </si>
  <si>
    <r>
      <t xml:space="preserve">Conduits ICD </t>
    </r>
    <r>
      <rPr>
        <sz val="12"/>
        <rFont val="Calibri"/>
        <family val="2"/>
      </rPr>
      <t>Φ 29</t>
    </r>
  </si>
  <si>
    <r>
      <t xml:space="preserve">Conduits ICD </t>
    </r>
    <r>
      <rPr>
        <sz val="12"/>
        <rFont val="Calibri"/>
        <family val="2"/>
      </rPr>
      <t>Φ 21</t>
    </r>
  </si>
  <si>
    <r>
      <t xml:space="preserve">Conduits ICD </t>
    </r>
    <r>
      <rPr>
        <sz val="12"/>
        <rFont val="Calibri"/>
        <family val="2"/>
      </rPr>
      <t>Φ 16</t>
    </r>
  </si>
  <si>
    <t>Regard avec tampon en fonte</t>
  </si>
  <si>
    <t>TOTALE Systéme de support de câble   HT</t>
  </si>
  <si>
    <t>500.7.2</t>
  </si>
  <si>
    <t>Amélioration mise à la terre REHABILITATION</t>
  </si>
  <si>
    <t>500.7.2.1</t>
  </si>
  <si>
    <t>Amélioration mise à la terre BLOC MEDICAL ET SCOLAIRE</t>
  </si>
  <si>
    <t>500.7.2.2</t>
  </si>
  <si>
    <t>Amélioration mise à la terre BLOC ADMINISTRATIF</t>
  </si>
  <si>
    <t>500.7.3</t>
  </si>
  <si>
    <t>Liaison équipotentielle principal</t>
  </si>
  <si>
    <t>500.7.3.1</t>
  </si>
  <si>
    <t>Liaison équipotentielle principal BLOC REHABILITATION</t>
  </si>
  <si>
    <t>500.7.3.2</t>
  </si>
  <si>
    <t>Liaison équipotentielle principal COMPLEXE RESTAURATION</t>
  </si>
  <si>
    <t>500.7.3.3</t>
  </si>
  <si>
    <t>Liaison équipotentielle principal ACCUEIL DES TOURNOIS ET GRADINS</t>
  </si>
  <si>
    <t>500.7.3.4</t>
  </si>
  <si>
    <t>Liaison équipotentielle principal POSTE DE POLICE</t>
  </si>
  <si>
    <t>500.7.4</t>
  </si>
  <si>
    <t>Liaison équipotentielle secondaire</t>
  </si>
  <si>
    <t>TOTALE TERRE TECHNIQUE   HT</t>
  </si>
  <si>
    <t>500.8</t>
  </si>
  <si>
    <t>ECLAIRAGE DE SECURITE Marque : LEGRAND</t>
  </si>
  <si>
    <t>500.8.1</t>
  </si>
  <si>
    <t>Bloc de balisage de sécurité non permanent ( Type BAES 60 LUMENS )</t>
  </si>
  <si>
    <t>500.8.2</t>
  </si>
  <si>
    <t>Bloc d'ambiance non permanent ( Type AMB 360 LUMENS )</t>
  </si>
  <si>
    <t>Bloc de T2L2COMMANDE D42CLAIRAGE DE S2CURIT2</t>
  </si>
  <si>
    <t>TOTALE ECLAIRAGE DE SECURITE  HT</t>
  </si>
  <si>
    <t>500.9</t>
  </si>
  <si>
    <t xml:space="preserve">DISTRIBUTION ECLAIRAGE ET PRISES DE COURANT </t>
  </si>
  <si>
    <t>500.9.1</t>
  </si>
  <si>
    <t>Distribution éclairage Marque : MOSAIC LEGRAND</t>
  </si>
  <si>
    <t>500.9.1.1</t>
  </si>
  <si>
    <t>Foyer lumineux simple allumage</t>
  </si>
  <si>
    <t>500.9.1.2</t>
  </si>
  <si>
    <t>Foyer lumineux simple allumage étanche</t>
  </si>
  <si>
    <t>500.9.1.3</t>
  </si>
  <si>
    <t>Foyer lumineux double allumage</t>
  </si>
  <si>
    <t>500.9.1.4</t>
  </si>
  <si>
    <t>Foyer lumineux double allumage étanche</t>
  </si>
  <si>
    <t>500.9.1.5</t>
  </si>
  <si>
    <t>Foyer lumineux sur va et vient</t>
  </si>
  <si>
    <t>500.9.1.6</t>
  </si>
  <si>
    <t>Foyer lumineux sur va et vient étanche</t>
  </si>
  <si>
    <t>500.9.1.7</t>
  </si>
  <si>
    <t>Foyer lumineux commandés par télérupteur / minuterie</t>
  </si>
  <si>
    <t>500.9.1.8</t>
  </si>
  <si>
    <t>Bouton poussoir</t>
  </si>
  <si>
    <t>500.9.1.9</t>
  </si>
  <si>
    <t>Bouton poussoir étanche</t>
  </si>
  <si>
    <t>500.9.1.10</t>
  </si>
  <si>
    <t>Foyer lumineux complémentaires</t>
  </si>
  <si>
    <t>500.9.2</t>
  </si>
  <si>
    <t>Distribution prises de courant et alimentations Marque : MOSAIC LEGRAND</t>
  </si>
  <si>
    <t>500.9.2.1</t>
  </si>
  <si>
    <t>Prise de courant 2x16A + T</t>
  </si>
  <si>
    <t>500.9.2.2</t>
  </si>
  <si>
    <t>Prise de courant 2x16A + T étanche</t>
  </si>
  <si>
    <t>500.9.2.3</t>
  </si>
  <si>
    <t>Prise de courant 2x20A + T étanche</t>
  </si>
  <si>
    <t>500.9.2.4</t>
  </si>
  <si>
    <t>Alimentation séche-main</t>
  </si>
  <si>
    <t>500.9.2.5</t>
  </si>
  <si>
    <t>Alimentation split</t>
  </si>
  <si>
    <t>500.9.2.6</t>
  </si>
  <si>
    <t>Alimentation cuisine</t>
  </si>
  <si>
    <t>500.9.2.7</t>
  </si>
  <si>
    <t>Alimentation chaffe-eau</t>
  </si>
  <si>
    <t>500.9.2.8</t>
  </si>
  <si>
    <t>Alimentation VMC</t>
  </si>
  <si>
    <t>TOTALE DISTRIBUTION ECLAIRAGE ET PRISES DE COURANT   HT</t>
  </si>
  <si>
    <t>500.10</t>
  </si>
  <si>
    <t>PARATONNERRE ET PARAFOUDRE</t>
  </si>
  <si>
    <t>500.10.1</t>
  </si>
  <si>
    <t>Paratonnerie Marque : SAINT ELME, HELITA</t>
  </si>
  <si>
    <t>500.10.2</t>
  </si>
  <si>
    <t>PARAFOUDRE Marque : SCHNEIDER ABB, GE</t>
  </si>
  <si>
    <t>TOTALE PARATONNERRE ET PARAFOUDRE   HT</t>
  </si>
  <si>
    <t>500.11</t>
  </si>
  <si>
    <t>LUSTRERIE</t>
  </si>
  <si>
    <t>500.11.1</t>
  </si>
  <si>
    <t>Luminaire 4x14W Marque : IVELA série ROMA</t>
  </si>
  <si>
    <t>500.11.2</t>
  </si>
  <si>
    <t>Suspension comptoir Marque : IVELA série APLOMB 350</t>
  </si>
  <si>
    <t>500.11.3</t>
  </si>
  <si>
    <t>Hublot étanche Marque : IVELA série 270</t>
  </si>
  <si>
    <t>500.11.4</t>
  </si>
  <si>
    <t>Luminaire 2x36W étanche Marque : IVELA série CHIARA</t>
  </si>
  <si>
    <t>500.11.5</t>
  </si>
  <si>
    <t>Spot apparent hall et circulation Marque : IVELA série rapido 230</t>
  </si>
  <si>
    <t>500.11.6</t>
  </si>
  <si>
    <t>Lustre salon</t>
  </si>
  <si>
    <t>500.11.7</t>
  </si>
  <si>
    <t>Plafonnier chambre 26W Marque : IVELA série SUVA</t>
  </si>
  <si>
    <t>500.11.8</t>
  </si>
  <si>
    <t>Applique extérieur et terrasse Marque : IVELA série TEN</t>
  </si>
  <si>
    <t>500.11.9</t>
  </si>
  <si>
    <t>Projecteur gradin IP 66 150W Marque : DISANO série RODIO</t>
  </si>
  <si>
    <t>500.11.10</t>
  </si>
  <si>
    <t>Balissage gradin IP 65 18W Marque : IVELA série TEN</t>
  </si>
  <si>
    <t>500.11.11</t>
  </si>
  <si>
    <t>Mât avec luminaire 70W Marque : DISANO série 1214 CLIMA</t>
  </si>
  <si>
    <t>500.11.12</t>
  </si>
  <si>
    <t>Spot encastré au sol Marque : IVELA série WALKER</t>
  </si>
  <si>
    <t>500.11.13</t>
  </si>
  <si>
    <t>Coffret de commande éclairage public extérieur Marque : METALBOX</t>
  </si>
  <si>
    <t>500.12</t>
  </si>
  <si>
    <t>TELEPHONIE</t>
  </si>
  <si>
    <t>500.12.1</t>
  </si>
  <si>
    <t>Autocommutateur Marque : SIEMENS,ALCATEL,SELTA,MATRA</t>
  </si>
  <si>
    <t>500.12.2</t>
  </si>
  <si>
    <t>Message vocal</t>
  </si>
  <si>
    <t>500.12.3</t>
  </si>
  <si>
    <t>Attente musical</t>
  </si>
  <si>
    <t>500.12.4</t>
  </si>
  <si>
    <t>Poste opérateur Marque : SIEMENS,ALCATEL,SELTA,MATRA</t>
  </si>
  <si>
    <t>500.12.5</t>
  </si>
  <si>
    <t>Poste téléphonique numérique</t>
  </si>
  <si>
    <t>500.12.5.1</t>
  </si>
  <si>
    <t>Poste téléphonique numérique de direction Marque : SIEMENS,ALCATEL,SELTA,MATRA</t>
  </si>
  <si>
    <t>500.12.5.2</t>
  </si>
  <si>
    <t>Poste téléphonique numérique normal Marque : SIEMENS,ALCATEL,SELTA,MATRA</t>
  </si>
  <si>
    <t>500.12.6</t>
  </si>
  <si>
    <t>Formation et documentation</t>
  </si>
  <si>
    <t>500.12.7</t>
  </si>
  <si>
    <t>Prise téléphonique RJ 45 Marque : MOSAIC LEGRAND</t>
  </si>
  <si>
    <t>TOTALE TELEPHONIE  HT</t>
  </si>
  <si>
    <t>500.13</t>
  </si>
  <si>
    <t>RESEAU EXTERIEUR TELEPHONIQUE</t>
  </si>
  <si>
    <t>500.13.1</t>
  </si>
  <si>
    <t>Câble série 78</t>
  </si>
  <si>
    <t>500.13.1.1</t>
  </si>
  <si>
    <t>Câble série 78.007.06</t>
  </si>
  <si>
    <t>500.13.1.2</t>
  </si>
  <si>
    <t>Câble série 78.014.06</t>
  </si>
  <si>
    <t>500.13.1.3</t>
  </si>
  <si>
    <t>Câble série 78.028.06</t>
  </si>
  <si>
    <t>500.13.1.4</t>
  </si>
  <si>
    <t>Câble série 78.056.06</t>
  </si>
  <si>
    <t>500.13.1.5</t>
  </si>
  <si>
    <t>Câble série 78.112.06</t>
  </si>
  <si>
    <t>500.13.1.6</t>
  </si>
  <si>
    <t>Câble série 78.224.06</t>
  </si>
  <si>
    <t>500.13.2</t>
  </si>
  <si>
    <t>Manchon thermoretractable renforcé</t>
  </si>
  <si>
    <t>500.13.2.1</t>
  </si>
  <si>
    <t>Manchon thermoretractable renforcé 14P</t>
  </si>
  <si>
    <t>500.13.2.2</t>
  </si>
  <si>
    <t>Manchon thermoretractable renforcé 28P</t>
  </si>
  <si>
    <t>500.13.2.3</t>
  </si>
  <si>
    <t>Manchon thermoretractable renforcé 56P</t>
  </si>
  <si>
    <t>500.13.2.4</t>
  </si>
  <si>
    <t>Manchon thermoretractable renforcé 112P</t>
  </si>
  <si>
    <t>500.13.3</t>
  </si>
  <si>
    <t>Réglette 7-14 paires y compris coffret étanche</t>
  </si>
  <si>
    <t>500.13.4</t>
  </si>
  <si>
    <t>Canalisation type CPS</t>
  </si>
  <si>
    <t>500.13.4.1</t>
  </si>
  <si>
    <t>Canalisation type CPS2L</t>
  </si>
  <si>
    <t>500.13.4.2</t>
  </si>
  <si>
    <t>Canalisation type CPS2LC</t>
  </si>
  <si>
    <t>500.13.4.3</t>
  </si>
  <si>
    <t>Canalisation type CPS4</t>
  </si>
  <si>
    <t>500.13.5</t>
  </si>
  <si>
    <t>Chambre type PNS</t>
  </si>
  <si>
    <t>Chambre type PNS3</t>
  </si>
  <si>
    <t>Chambre type PNS1</t>
  </si>
  <si>
    <t>500.13.6</t>
  </si>
  <si>
    <t>Manchon thermo rétractable renforcé 224P</t>
  </si>
  <si>
    <t>500.13.7</t>
  </si>
  <si>
    <t>Tête téléphonique 224P</t>
  </si>
  <si>
    <t>TOTALE RESEAU EXTERIEUR TELEPHONIQUE  HT</t>
  </si>
  <si>
    <t>500.14</t>
  </si>
  <si>
    <t>500.15</t>
  </si>
  <si>
    <t>DISTRIBUTION TELEVISION</t>
  </si>
  <si>
    <t>LOT N° 600: PLOMBERIE-SANITAIRE PROTECTION INCENDIE PRODUCTION D'EAU CHAUDE SANITAIRE , VENTILATION</t>
  </si>
  <si>
    <t>601.1</t>
  </si>
  <si>
    <t xml:space="preserve">Branchement eau potable et incendie </t>
  </si>
  <si>
    <t>601.2</t>
  </si>
  <si>
    <t>Distribution extérieur en polyéthyléne PN16</t>
  </si>
  <si>
    <t>601.2.1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</si>
  <si>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63/48</t>
    </r>
  </si>
  <si>
    <t>601.2.2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</si>
  <si>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50/38</t>
    </r>
  </si>
  <si>
    <t>601.2.3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</si>
  <si>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40/31</t>
    </r>
  </si>
  <si>
    <t>601.3</t>
  </si>
  <si>
    <t>Distribution extérieur en PVC Pression ( incendie )</t>
  </si>
  <si>
    <t>601.3.1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</si>
  <si>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63/53</t>
    </r>
  </si>
  <si>
    <t>601.3.2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</si>
  <si>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50/43</t>
    </r>
  </si>
  <si>
    <t>601.4</t>
  </si>
  <si>
    <t>Distribution intérieure  en Acier galvanisé</t>
  </si>
  <si>
    <t>601.4.1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</si>
  <si>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50/60</t>
    </r>
  </si>
  <si>
    <t>601.4.2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</si>
  <si>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40/49</t>
    </r>
  </si>
  <si>
    <t>601.5</t>
  </si>
  <si>
    <t>Distribution en polypropyléne PN20 marque "NIRON"</t>
  </si>
  <si>
    <t>601.5.1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</si>
  <si>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90/65</t>
    </r>
  </si>
  <si>
    <t>601.5.2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</si>
  <si>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75/50</t>
    </r>
  </si>
  <si>
    <t>601.5.3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</si>
  <si>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63/42</t>
    </r>
  </si>
  <si>
    <t>601.5.4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</si>
  <si>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50/33</t>
    </r>
  </si>
  <si>
    <t>601.5.5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</si>
  <si>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40/26</t>
    </r>
  </si>
  <si>
    <t>601.5.6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</si>
  <si>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32/21</t>
    </r>
  </si>
  <si>
    <t>601.5.7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</si>
  <si>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26/16</t>
    </r>
  </si>
  <si>
    <t>Calorifuge marque "ARMAFLEXE"</t>
  </si>
  <si>
    <t>601.7.1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</si>
  <si>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26/34</t>
    </r>
  </si>
  <si>
    <t>601.7.2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</si>
  <si>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20/25</t>
    </r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</si>
  <si>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16/20</t>
    </r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</si>
  <si>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13/16</t>
    </r>
  </si>
  <si>
    <t xml:space="preserve">Coffrets de distribution </t>
  </si>
  <si>
    <t>601.9</t>
  </si>
  <si>
    <t xml:space="preserve">Vannes d'arrét </t>
  </si>
  <si>
    <t>601.9.1</t>
  </si>
  <si>
    <t>DN 90</t>
  </si>
  <si>
    <t>601.9.2</t>
  </si>
  <si>
    <t>DN 75</t>
  </si>
  <si>
    <t>601.9.3</t>
  </si>
  <si>
    <t>DN 63</t>
  </si>
  <si>
    <t>601.9.4</t>
  </si>
  <si>
    <t>DN 50</t>
  </si>
  <si>
    <t>601.9.5</t>
  </si>
  <si>
    <t>DN 40</t>
  </si>
  <si>
    <t>601.9.6</t>
  </si>
  <si>
    <t>DN 32</t>
  </si>
  <si>
    <t>601.10</t>
  </si>
  <si>
    <t xml:space="preserve">Robinet de Vidange </t>
  </si>
  <si>
    <t>601.11</t>
  </si>
  <si>
    <t>Anti-bélier</t>
  </si>
  <si>
    <t>TOTALE ALIMENTATION :  HT</t>
  </si>
  <si>
    <t>EVACUATION  :</t>
  </si>
  <si>
    <t xml:space="preserve">Tuyauterie en PVC </t>
  </si>
  <si>
    <t>602.1.1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</si>
  <si>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200</t>
    </r>
  </si>
  <si>
    <t>602.1.2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</si>
  <si>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160</t>
    </r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</si>
  <si>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125</t>
    </r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</si>
  <si>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110 &amp; 100</t>
    </r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</si>
  <si>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75</t>
    </r>
  </si>
  <si>
    <t xml:space="preserve">Garqouille en plomb </t>
  </si>
  <si>
    <t>602.3</t>
  </si>
  <si>
    <t>Manchon de Ventilation</t>
  </si>
  <si>
    <t>TOTALE EVACUATION :  HT</t>
  </si>
  <si>
    <t>APPAREIL SANITAIRES   :</t>
  </si>
  <si>
    <t>603.1</t>
  </si>
  <si>
    <t>Lavabo vasque marque "VITRA"</t>
  </si>
  <si>
    <t>603.2</t>
  </si>
  <si>
    <t>Lavabo collectif marque "JACOB"</t>
  </si>
  <si>
    <t>603.3</t>
  </si>
  <si>
    <t>WC à L'anglaise marque "VITRA"</t>
  </si>
  <si>
    <t>603.4</t>
  </si>
  <si>
    <t xml:space="preserve">Receveur de douche marque "VITRA" </t>
  </si>
  <si>
    <t>603.5</t>
  </si>
  <si>
    <t>Urinoir coquille marque "VITRA"</t>
  </si>
  <si>
    <t>603.6</t>
  </si>
  <si>
    <t>Equipement de douche marque "VITRA"</t>
  </si>
  <si>
    <t>603.7</t>
  </si>
  <si>
    <t>Jacuzzi pour 6 place marque "ROCA"</t>
  </si>
  <si>
    <t>603.8</t>
  </si>
  <si>
    <t>Attente Evier</t>
  </si>
  <si>
    <t>TOTALE APPAREIL SANITAIRES :  HT</t>
  </si>
  <si>
    <t>PROTECTION INCENDIE   :</t>
  </si>
  <si>
    <t>604.1</t>
  </si>
  <si>
    <t>Poteau d'incendie de marque "BAYARD"</t>
  </si>
  <si>
    <t>604.2</t>
  </si>
  <si>
    <t>Poste robinet incendie armé DN25 "BAYARD"</t>
  </si>
  <si>
    <t>604.3</t>
  </si>
  <si>
    <t xml:space="preserve">Extincteur portatif </t>
  </si>
  <si>
    <t>TOTALE APPAREILPROTECTION INCENDIE  :  HT</t>
  </si>
  <si>
    <t>PRODUCTION D'EAU CHAUD SANITAIRE   :</t>
  </si>
  <si>
    <t>605.1</t>
  </si>
  <si>
    <t xml:space="preserve">Chauffe eau solaire de 500 litres </t>
  </si>
  <si>
    <t>605.2</t>
  </si>
  <si>
    <t xml:space="preserve">Chauffe eau solaire de 300 litres </t>
  </si>
  <si>
    <t>605.3</t>
  </si>
  <si>
    <t xml:space="preserve">Chauffe eau électrique de 300 litres </t>
  </si>
  <si>
    <t>605.4</t>
  </si>
  <si>
    <t xml:space="preserve">Chauffe eau électrique  de 50 litres </t>
  </si>
  <si>
    <t>TOTALE PRODUCTION D'EAU CHAUD SANITAIRE  :  HT</t>
  </si>
  <si>
    <t>VENTILATION :</t>
  </si>
  <si>
    <t>606.1</t>
  </si>
  <si>
    <r>
      <t>Ventouse d'extraction circulaire de 30 à 60 m</t>
    </r>
    <r>
      <rPr>
        <b/>
        <sz val="11"/>
        <color theme="1"/>
        <rFont val="Arial"/>
        <family val="2"/>
      </rPr>
      <t>³/h</t>
    </r>
  </si>
  <si>
    <t>606.2</t>
  </si>
  <si>
    <t>Ventouse de VMC "France AIR"</t>
  </si>
  <si>
    <t>606.2.1</t>
  </si>
  <si>
    <t>De 600 m³/h</t>
  </si>
  <si>
    <t>606.2.2</t>
  </si>
  <si>
    <t>De 540 m³/h</t>
  </si>
  <si>
    <t>606.2.3</t>
  </si>
  <si>
    <t>De 480 m³/h</t>
  </si>
  <si>
    <t>606.2.4</t>
  </si>
  <si>
    <t>De 270 m³/h</t>
  </si>
  <si>
    <t>606.2.5</t>
  </si>
  <si>
    <t>De 240 m³/h</t>
  </si>
  <si>
    <t>606.2.6</t>
  </si>
  <si>
    <t>De 150 m³/h</t>
  </si>
  <si>
    <t>606.2.7</t>
  </si>
  <si>
    <t>De 120 m³/h</t>
  </si>
  <si>
    <t>606.3</t>
  </si>
  <si>
    <t xml:space="preserve">Gaine circulaire </t>
  </si>
  <si>
    <t>606.3.1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</si>
  <si>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250</t>
    </r>
  </si>
  <si>
    <t>606.3.2</t>
  </si>
  <si>
    <t>606.3.3</t>
  </si>
  <si>
    <t>606.3.4</t>
  </si>
  <si>
    <t>606.3.5</t>
  </si>
  <si>
    <r>
      <rPr>
        <b/>
        <sz val="12"/>
        <color theme="1"/>
        <rFont val="Arial"/>
        <family val="2"/>
      </rPr>
      <t>Ø</t>
    </r>
    <r>
      <rPr>
        <b/>
        <sz val="12"/>
        <color theme="1"/>
        <rFont val="Calibri"/>
        <family val="2"/>
      </rPr>
      <t xml:space="preserve"> 100</t>
    </r>
  </si>
  <si>
    <t>TOTALE VENTILATION  :  HT</t>
  </si>
  <si>
    <t xml:space="preserve">TOTALE LOT N° 600 HT </t>
  </si>
  <si>
    <t>LOT N° 700: - PEINTURE - PLATRERIE :</t>
  </si>
  <si>
    <t>PEINTURE :</t>
  </si>
  <si>
    <t>701.1</t>
  </si>
  <si>
    <t xml:space="preserve">Peinture vinylique sur mur et plafonds intérieurs </t>
  </si>
  <si>
    <t>701.2</t>
  </si>
  <si>
    <t xml:space="preserve">Peinture vinylique extérieure </t>
  </si>
  <si>
    <t>701.3</t>
  </si>
  <si>
    <t>Peinture glycérophtalique laquée sur murs et plafonds</t>
  </si>
  <si>
    <t>701.4</t>
  </si>
  <si>
    <t>Peinture glycérophtalique laquée sur bois</t>
  </si>
  <si>
    <t>701.5</t>
  </si>
  <si>
    <t xml:space="preserve">Peinture glycérophtalique laquée sur métal </t>
  </si>
  <si>
    <t>701.6</t>
  </si>
  <si>
    <t>Peinture Epoxy</t>
  </si>
  <si>
    <t>PLATRERIE :</t>
  </si>
  <si>
    <t xml:space="preserve">Faux-plafond en staff lisse avec joint creux </t>
  </si>
  <si>
    <t>702.2</t>
  </si>
  <si>
    <t>Corniche en staff</t>
  </si>
  <si>
    <t xml:space="preserve">TOTALE LOT N° 700 HT </t>
  </si>
  <si>
    <t xml:space="preserve">TOTALE GENERAL HT </t>
  </si>
  <si>
    <t xml:space="preserve">TOTALE TVA de 20% </t>
  </si>
  <si>
    <t>TOTALE GENERAL TTC</t>
  </si>
  <si>
    <t xml:space="preserve">Seul des Porte  RDC </t>
  </si>
  <si>
    <t>Niche</t>
  </si>
  <si>
    <t>RECAPITULATION - DECOMPTE PROVISOIRE N° 05</t>
  </si>
  <si>
    <t>50.07</t>
  </si>
  <si>
    <r>
      <t>porte en bois isoplane (</t>
    </r>
    <r>
      <rPr>
        <b/>
        <sz val="12"/>
        <rFont val="Arial"/>
        <family val="2"/>
      </rPr>
      <t>PB 2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84x220</t>
    </r>
    <r>
      <rPr>
        <sz val="12"/>
        <rFont val="Arial"/>
        <family val="2"/>
      </rPr>
      <t xml:space="preserve"> cm HC ) </t>
    </r>
  </si>
  <si>
    <r>
      <t>porte en bois isoplane (</t>
    </r>
    <r>
      <rPr>
        <b/>
        <sz val="12"/>
        <rFont val="Arial"/>
        <family val="2"/>
      </rPr>
      <t>DPB 1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200x220</t>
    </r>
    <r>
      <rPr>
        <sz val="12"/>
        <rFont val="Arial"/>
        <family val="2"/>
      </rPr>
      <t xml:space="preserve"> cm HC ) </t>
    </r>
  </si>
  <si>
    <r>
      <t>porte en bois isoplane (</t>
    </r>
    <r>
      <rPr>
        <b/>
        <sz val="12"/>
        <rFont val="Arial"/>
        <family val="2"/>
      </rPr>
      <t>DPB 2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160x220</t>
    </r>
    <r>
      <rPr>
        <sz val="12"/>
        <rFont val="Arial"/>
        <family val="2"/>
      </rPr>
      <t xml:space="preserve"> cm HC ) </t>
    </r>
  </si>
  <si>
    <r>
      <t>porte en bois isoplane (</t>
    </r>
    <r>
      <rPr>
        <b/>
        <sz val="12"/>
        <rFont val="Arial"/>
        <family val="2"/>
      </rPr>
      <t>DPB 3</t>
    </r>
    <r>
      <rPr>
        <sz val="12"/>
        <rFont val="Arial"/>
        <family val="2"/>
      </rPr>
      <t xml:space="preserve"> de </t>
    </r>
    <r>
      <rPr>
        <b/>
        <sz val="12"/>
        <rFont val="Arial"/>
        <family val="2"/>
      </rPr>
      <t>140x220</t>
    </r>
    <r>
      <rPr>
        <sz val="12"/>
        <rFont val="Arial"/>
        <family val="2"/>
      </rPr>
      <t xml:space="preserve"> cm HC ) </t>
    </r>
  </si>
  <si>
    <r>
      <rPr>
        <b/>
        <sz val="12"/>
        <rFont val="Arial"/>
        <family val="2"/>
      </rPr>
      <t>PL6</t>
    </r>
    <r>
      <rPr>
        <sz val="12"/>
        <rFont val="Arial"/>
        <family val="2"/>
      </rPr>
      <t xml:space="preserve"> de</t>
    </r>
    <r>
      <rPr>
        <b/>
        <sz val="12"/>
        <rFont val="Arial"/>
        <family val="2"/>
      </rPr>
      <t xml:space="preserve"> 310x220</t>
    </r>
    <r>
      <rPr>
        <sz val="12"/>
        <rFont val="Arial"/>
        <family val="2"/>
      </rPr>
      <t xml:space="preserve"> cm HC</t>
    </r>
  </si>
  <si>
    <r>
      <rPr>
        <b/>
        <sz val="12"/>
        <rFont val="Arial"/>
        <family val="2"/>
      </rPr>
      <t>PL7</t>
    </r>
    <r>
      <rPr>
        <sz val="12"/>
        <rFont val="Arial"/>
        <family val="2"/>
      </rPr>
      <t xml:space="preserve"> de</t>
    </r>
    <r>
      <rPr>
        <b/>
        <sz val="12"/>
        <rFont val="Arial"/>
        <family val="2"/>
      </rPr>
      <t xml:space="preserve"> 240x220</t>
    </r>
    <r>
      <rPr>
        <sz val="12"/>
        <rFont val="Arial"/>
        <family val="2"/>
      </rPr>
      <t xml:space="preserve"> cm HC</t>
    </r>
  </si>
  <si>
    <r>
      <t xml:space="preserve">Porte-fenetre coulissante vitrée avec volet roulant                                                ( </t>
    </r>
    <r>
      <rPr>
        <b/>
        <sz val="10"/>
        <rFont val="Arial"/>
        <family val="2"/>
      </rPr>
      <t>PFCVRalu1 de 140x240 cm HC)</t>
    </r>
  </si>
  <si>
    <t>402.1</t>
  </si>
  <si>
    <t xml:space="preserve">Ensemble vitré entrée </t>
  </si>
  <si>
    <t>Pote-fenetre coulissante vitrée</t>
  </si>
  <si>
    <t>402.2</t>
  </si>
  <si>
    <t>402.4</t>
  </si>
  <si>
    <t xml:space="preserve">Porte-fenetre coulissante vitrée avec volet roulant  </t>
  </si>
  <si>
    <t>402.5</t>
  </si>
  <si>
    <t xml:space="preserve">fenetre coulissante vitrée avec volet roulant </t>
  </si>
  <si>
    <t>402.6</t>
  </si>
  <si>
    <t>402.3.1</t>
  </si>
  <si>
    <t xml:space="preserve">fenetre Ouvrante vitrée </t>
  </si>
  <si>
    <t>402.7</t>
  </si>
  <si>
    <t>402.8</t>
  </si>
  <si>
    <t xml:space="preserve">  fenetre Ouvrante vitrée </t>
  </si>
  <si>
    <t xml:space="preserve">  fenetre Fixe vitrée </t>
  </si>
  <si>
    <t>402.9</t>
  </si>
  <si>
    <t xml:space="preserve">  baie vitrée bord à bord</t>
  </si>
  <si>
    <t>402.10</t>
  </si>
  <si>
    <t xml:space="preserve">  chassis Aluminium vitrée </t>
  </si>
  <si>
    <t xml:space="preserve">MENUISERIE METALLIQUE ET FERRONNERIE / </t>
  </si>
  <si>
    <t xml:space="preserve"> Garde-corps métallique Inox </t>
  </si>
  <si>
    <t xml:space="preserve"> Main Courante en Inox</t>
  </si>
  <si>
    <t xml:space="preserve">Paumelle Porte </t>
  </si>
  <si>
    <t xml:space="preserve">Paumelle chassis </t>
  </si>
  <si>
    <t>APPAREILS SANITAIRES :</t>
  </si>
  <si>
    <t>Lavabo Vasque Marque "VITRA"</t>
  </si>
  <si>
    <t>Lavabo Xollectif Marque "JACOB"</t>
  </si>
  <si>
    <t>WC à L'Anglaise marque "VITRA"</t>
  </si>
  <si>
    <t>Receveur de douche marque "VITRA"</t>
  </si>
  <si>
    <t>PROTECTION INCENDIE :</t>
  </si>
  <si>
    <t>Poste robinet incendie armé DN25 " BAYARD"</t>
  </si>
  <si>
    <t xml:space="preserve">PRODUCTION D'EAU CHAUD SANITAIRE </t>
  </si>
  <si>
    <t>LUSTRERIE :</t>
  </si>
  <si>
    <t xml:space="preserve">Renformis en béton </t>
  </si>
  <si>
    <t xml:space="preserve">Comptoir </t>
  </si>
  <si>
    <t xml:space="preserve">Chauffe eau electrique de 50 Litres </t>
  </si>
  <si>
    <t>500-3</t>
  </si>
  <si>
    <t>500-3-1</t>
  </si>
  <si>
    <t>PROTECTION ELECTRIQUE TABLEAUX GENERAL BASSE TENSION   :</t>
  </si>
  <si>
    <t>Tableau général basse tension normal :TGBT GENERAL</t>
  </si>
  <si>
    <t>500-3-2</t>
  </si>
  <si>
    <t>Tableau électrique secondaire HAGER-MERLIN GERIN</t>
  </si>
  <si>
    <t>500-3-2-6</t>
  </si>
  <si>
    <t>Tableau de protection TP. HEBERGEMENT 1 RDC</t>
  </si>
  <si>
    <t>500-3-2-7</t>
  </si>
  <si>
    <t>Tableau de protection TP. HEBERGEMENT 1 ETAGE</t>
  </si>
  <si>
    <t>Tableau de protection TP. HEBERGEMENT 2 ETAGE</t>
  </si>
  <si>
    <t>Tableau de protection TP. HEBERGEMENT 2 RDC</t>
  </si>
  <si>
    <t>Tableau de protection TP. HEBERGEMENT 3 RDC</t>
  </si>
  <si>
    <t>Tableau de protection TP. HEBERGEMENT 3 ETAGE</t>
  </si>
  <si>
    <t>500-3-2-8</t>
  </si>
  <si>
    <t>500-3-2-9</t>
  </si>
  <si>
    <t>500-3-2-10</t>
  </si>
  <si>
    <t>500-3-2-11</t>
  </si>
  <si>
    <t>500-3-2-14</t>
  </si>
  <si>
    <t>Tableau de protection TP. RESTAURATION</t>
  </si>
  <si>
    <t>500-3-2-15</t>
  </si>
  <si>
    <t xml:space="preserve">Tableau de protection TP. ACCEUIL DES TOURNOI RDC </t>
  </si>
  <si>
    <t>500-3-2-16</t>
  </si>
  <si>
    <t>Tableau de protection TP. ACCEUIL DES TOURNOI ETAGE</t>
  </si>
  <si>
    <t>500-3-2-17</t>
  </si>
  <si>
    <t>Tableau de protection TP. GRADIN RDC</t>
  </si>
  <si>
    <t>Tableau de protection TP. GRADIN ETAGE</t>
  </si>
  <si>
    <t>500-3-2-18</t>
  </si>
  <si>
    <t>TOTAL PROTECTION ELECTRIQUE TABLEAUX GENERAL BASSE TENSION  HT</t>
  </si>
  <si>
    <t>TOTAL POSTES DE TRANSFORMATION  HT</t>
  </si>
  <si>
    <t>TOTAL BRANCHEMENTS MT  HT</t>
  </si>
  <si>
    <t>TOTAL DIVERS  HT</t>
  </si>
  <si>
    <t>TOTAL MENUISERIE METALLIQUE ET FERRONNERIE  HT</t>
  </si>
  <si>
    <t>TOTAL MENUISERIE ALUMINUIM  HT</t>
  </si>
  <si>
    <t>TOTAL MENUISERIE BOIS  HT</t>
  </si>
  <si>
    <t>TOTAL SECTION  ( H ) - OUVRAGES DIVERS  HT</t>
  </si>
  <si>
    <t>TOTAL SECTION ( G )  HT</t>
  </si>
  <si>
    <t>TOTAL SECTION ( F )  HT</t>
  </si>
  <si>
    <t>TOTAL TERRE TECHNIQUE  HT</t>
  </si>
  <si>
    <t>TOTAL ALIMENTATION  HT</t>
  </si>
  <si>
    <t>TOTAL EVACUATION  HT</t>
  </si>
  <si>
    <t>TOTAL APPAREILS SANITAIRES   HT</t>
  </si>
  <si>
    <t>TOTAL PROTECTION INCENDIE   HT</t>
  </si>
  <si>
    <t>TOTAL PRODUCTION D'AU CHAUD SANITAIRE   HT</t>
  </si>
  <si>
    <t>TOTAL Ventilation HT</t>
  </si>
  <si>
    <t>TOTAL PATRERIE  HT</t>
  </si>
  <si>
    <t>TOTAL PLATRERIE  HT</t>
  </si>
  <si>
    <t>reste</t>
  </si>
  <si>
    <t>Terasse de Bureaux 1</t>
  </si>
  <si>
    <t>Terasse de Bureaux 2</t>
  </si>
  <si>
    <t xml:space="preserve">Pour voiles  </t>
  </si>
  <si>
    <t xml:space="preserve">Passe à Mains </t>
  </si>
  <si>
    <t xml:space="preserve">table pour Vasque </t>
  </si>
  <si>
    <t xml:space="preserve">sanitaire cuisine </t>
  </si>
  <si>
    <t>500-3-2-12</t>
  </si>
  <si>
    <t>500-3-2-13</t>
  </si>
  <si>
    <t xml:space="preserve">Tableau de protection TP. POSTE POLICE RDC </t>
  </si>
  <si>
    <t xml:space="preserve">Tableau de protection TP. POSTE POLICE ETAGE </t>
  </si>
  <si>
    <t xml:space="preserve">CABLE BASSE TENSION DE DISTRIBUTION </t>
  </si>
  <si>
    <t>TOTALE SYSTÈME DE SUPPORTE DE CABLE    HT</t>
  </si>
  <si>
    <t xml:space="preserve">Chemin de cable 215x63 mm </t>
  </si>
  <si>
    <t>SYSTÈME DE SUPPORTE DE CABLE</t>
  </si>
  <si>
    <t xml:space="preserve">Chemin de cable : </t>
  </si>
  <si>
    <t xml:space="preserve">Coulotte 2 compartiments </t>
  </si>
  <si>
    <t xml:space="preserve">Conduit ICD </t>
  </si>
  <si>
    <r>
      <t xml:space="preserve">Conduit ICD </t>
    </r>
    <r>
      <rPr>
        <sz val="14"/>
        <rFont val="Calibri"/>
        <family val="2"/>
      </rPr>
      <t>Ø</t>
    </r>
    <r>
      <rPr>
        <sz val="11.9"/>
        <rFont val="Arial"/>
        <family val="2"/>
      </rPr>
      <t xml:space="preserve"> 21</t>
    </r>
  </si>
  <si>
    <r>
      <t xml:space="preserve">Conduit ICD </t>
    </r>
    <r>
      <rPr>
        <sz val="14"/>
        <rFont val="Calibri"/>
        <family val="2"/>
      </rPr>
      <t>Ø</t>
    </r>
    <r>
      <rPr>
        <sz val="11.9"/>
        <rFont val="Arial"/>
        <family val="2"/>
      </rPr>
      <t xml:space="preserve"> 16</t>
    </r>
  </si>
  <si>
    <t>500.6.4.2</t>
  </si>
  <si>
    <t>500.6.4.3</t>
  </si>
  <si>
    <t xml:space="preserve">Chemin de cable 125x63 mm avec couvercel </t>
  </si>
  <si>
    <t xml:space="preserve">Liaison équipotentielle principale </t>
  </si>
  <si>
    <t xml:space="preserve">500.7.3.1 </t>
  </si>
  <si>
    <t xml:space="preserve">Liaison équipotentielle principale BLOC HEBERGEMENT </t>
  </si>
  <si>
    <t xml:space="preserve">Liaison équipotentielle principale COMPLEXE RESTAURATION </t>
  </si>
  <si>
    <t>Liaison équipotentielle principale ACCUEIL DES TOURNOIS ET GRADINS</t>
  </si>
  <si>
    <t xml:space="preserve">Liaison équipotentielle principale POSTE DE POLICE </t>
  </si>
  <si>
    <t xml:space="preserve">Liaison équipotentielle secondaire </t>
  </si>
  <si>
    <t>ECLAIRAGE DE SECURITE :</t>
  </si>
  <si>
    <t>TOTAL ECLAIRAGE DE SECURITE   HT</t>
  </si>
  <si>
    <t>DISTRIBUTION ECLAIRAGE ET PRISE DE COURANT :</t>
  </si>
  <si>
    <t>TOTAL DISTRIBUTION ECLAIRAGE ET PRISE DE COURANT   HT</t>
  </si>
  <si>
    <t>PARATONNERRE &amp; PARAFOUDRE :</t>
  </si>
  <si>
    <t xml:space="preserve">Paratonnerre </t>
  </si>
  <si>
    <t xml:space="preserve">Parafoudre </t>
  </si>
  <si>
    <t>TOTAL PARATONNERRE &amp; PARAFOUDRE    HT</t>
  </si>
  <si>
    <t>TOTAL LUSRERIE     HT</t>
  </si>
  <si>
    <t>TOTALE LUSTRERIE    HT</t>
  </si>
  <si>
    <t>TOTAL TELEPHONIE     HT</t>
  </si>
  <si>
    <t>TOTAL RESEAU EXTERIEUR TELEPHONIQUE      HT</t>
  </si>
  <si>
    <t>PRECABLAGE INFORMATIQUE :</t>
  </si>
  <si>
    <t>RESEAU EXTERIEUR TELEPHONIQUE :</t>
  </si>
  <si>
    <t>TELEPHONIE :</t>
  </si>
  <si>
    <t>500.14.1</t>
  </si>
  <si>
    <t xml:space="preserve">Armoire de brassage Marque : LEGRAND OU NEXANS </t>
  </si>
  <si>
    <t>500.14.2</t>
  </si>
  <si>
    <t xml:space="preserve">Armoire de brassage  24 Ports Marque : LEGRAND OU NEXANS </t>
  </si>
  <si>
    <t>500.14.3</t>
  </si>
  <si>
    <t>500.14.4</t>
  </si>
  <si>
    <t>500.14.5</t>
  </si>
  <si>
    <t>500.14.6</t>
  </si>
  <si>
    <t>500.14.7</t>
  </si>
  <si>
    <t>500.14.8</t>
  </si>
  <si>
    <t>500.14.9</t>
  </si>
  <si>
    <t>500.14.10</t>
  </si>
  <si>
    <t xml:space="preserve">Panneaux de brassage 12 ports Marque  :  LEGRAND OU NEXANS </t>
  </si>
  <si>
    <t xml:space="preserve">Switch 24 ports RJ 45 Marque : HP ou 3M </t>
  </si>
  <si>
    <t xml:space="preserve">Switch 12 ports RJ 45 Marque : HP ou 3M </t>
  </si>
  <si>
    <t xml:space="preserve">Cable 4 paires UTP cat 6 Marque : LEGRAND </t>
  </si>
  <si>
    <t xml:space="preserve">Cordon de brassage Marque : LEGRAND </t>
  </si>
  <si>
    <t xml:space="preserve">Cordon de liaison Marque : LEGRAND </t>
  </si>
  <si>
    <t xml:space="preserve">Prise informatique RJ 45 Marque : MOSAIC LEGRAND </t>
  </si>
  <si>
    <t xml:space="preserve">Etiquetage et repérage </t>
  </si>
  <si>
    <t>TOTAL PRECABLAGE INFORMATIQUE      HT</t>
  </si>
  <si>
    <t>DISTRIBUTION TELEVISION :</t>
  </si>
  <si>
    <t>500.15.1</t>
  </si>
  <si>
    <t xml:space="preserve">Prise TV Marque : MOSAIC LEGRAND </t>
  </si>
  <si>
    <t>500.15.2</t>
  </si>
  <si>
    <t xml:space="preserve">Cable TV Marque : IKUZI </t>
  </si>
  <si>
    <t>500.15.3</t>
  </si>
  <si>
    <t xml:space="preserve">Installation équipements TV Marque : IKUZI </t>
  </si>
  <si>
    <t>TOTAL DISTRIBUTION TELEVISION     HT</t>
  </si>
  <si>
    <t>Bloc de balisage de sécurité non permanent (Type BAES 60 LUMENS )</t>
  </si>
  <si>
    <t>Jacuzzi pour 6 place de marque "ROCA "</t>
  </si>
  <si>
    <t>401.1</t>
  </si>
  <si>
    <t xml:space="preserve">  Porte en bois à lames</t>
  </si>
  <si>
    <t>401.3</t>
  </si>
  <si>
    <t xml:space="preserve">  Porte en bois isoplane va-et-vient</t>
  </si>
  <si>
    <t>Dalle flottante  :</t>
  </si>
  <si>
    <t>Dallettes en B A de 8 cm d'epaisseur  :</t>
  </si>
  <si>
    <t>500.6.4.1</t>
  </si>
  <si>
    <t>500.6.5</t>
  </si>
  <si>
    <t xml:space="preserve">TOTALE LOT N° 500 HT </t>
  </si>
  <si>
    <t>402.2.</t>
  </si>
  <si>
    <t>402.1.</t>
  </si>
  <si>
    <t>Porte Entrée :</t>
  </si>
  <si>
    <t>Porte-fenetre coulissante vitrée :</t>
  </si>
  <si>
    <r>
      <t xml:space="preserve"> </t>
    </r>
    <r>
      <rPr>
        <b/>
        <sz val="10"/>
        <rFont val="Arial"/>
        <family val="2"/>
      </rPr>
      <t>PEPalu2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450x430</t>
    </r>
    <r>
      <rPr>
        <sz val="10"/>
        <rFont val="Arial"/>
        <family val="2"/>
      </rPr>
      <t xml:space="preserve"> cm HC</t>
    </r>
  </si>
  <si>
    <r>
      <t xml:space="preserve"> </t>
    </r>
    <r>
      <rPr>
        <b/>
        <sz val="10"/>
        <rFont val="Arial"/>
        <family val="2"/>
      </rPr>
      <t>PEPalu3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550x260</t>
    </r>
    <r>
      <rPr>
        <sz val="10"/>
        <rFont val="Arial"/>
        <family val="2"/>
      </rPr>
      <t xml:space="preserve"> cm HC</t>
    </r>
  </si>
  <si>
    <r>
      <t xml:space="preserve"> </t>
    </r>
    <r>
      <rPr>
        <b/>
        <sz val="10"/>
        <rFont val="Arial"/>
        <family val="2"/>
      </rPr>
      <t>PEPalu5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460x260</t>
    </r>
    <r>
      <rPr>
        <sz val="10"/>
        <rFont val="Arial"/>
        <family val="2"/>
      </rPr>
      <t xml:space="preserve"> cm HC</t>
    </r>
  </si>
  <si>
    <r>
      <t xml:space="preserve"> ( </t>
    </r>
    <r>
      <rPr>
        <b/>
        <sz val="10"/>
        <rFont val="Arial"/>
        <family val="2"/>
      </rPr>
      <t>PFCalu1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460x260</t>
    </r>
    <r>
      <rPr>
        <sz val="10"/>
        <rFont val="Arial"/>
        <family val="2"/>
      </rPr>
      <t xml:space="preserve"> cm HC)</t>
    </r>
  </si>
  <si>
    <r>
      <t xml:space="preserve"> ( </t>
    </r>
    <r>
      <rPr>
        <b/>
        <sz val="10"/>
        <rFont val="Arial"/>
        <family val="2"/>
      </rPr>
      <t>PFCalu2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160X260</t>
    </r>
    <r>
      <rPr>
        <sz val="10"/>
        <rFont val="Arial"/>
        <family val="2"/>
      </rPr>
      <t xml:space="preserve"> cm HC)</t>
    </r>
  </si>
  <si>
    <r>
      <t xml:space="preserve">( </t>
    </r>
    <r>
      <rPr>
        <b/>
        <sz val="10"/>
        <rFont val="Arial"/>
        <family val="2"/>
      </rPr>
      <t>PFCalu3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560X240</t>
    </r>
    <r>
      <rPr>
        <sz val="10"/>
        <rFont val="Arial"/>
        <family val="2"/>
      </rPr>
      <t xml:space="preserve"> cm HC)</t>
    </r>
  </si>
  <si>
    <r>
      <t xml:space="preserve"> ( </t>
    </r>
    <r>
      <rPr>
        <b/>
        <sz val="10"/>
        <rFont val="Arial"/>
        <family val="2"/>
      </rPr>
      <t>PFCalu4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500X240</t>
    </r>
    <r>
      <rPr>
        <sz val="10"/>
        <rFont val="Arial"/>
        <family val="2"/>
      </rPr>
      <t xml:space="preserve"> cm HC)</t>
    </r>
  </si>
  <si>
    <r>
      <t xml:space="preserve"> ( </t>
    </r>
    <r>
      <rPr>
        <b/>
        <sz val="10"/>
        <rFont val="Arial"/>
        <family val="2"/>
      </rPr>
      <t>PFCalu5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140X240</t>
    </r>
    <r>
      <rPr>
        <sz val="10"/>
        <rFont val="Arial"/>
        <family val="2"/>
      </rPr>
      <t xml:space="preserve"> cm HC)</t>
    </r>
  </si>
  <si>
    <r>
      <t xml:space="preserve"> ( </t>
    </r>
    <r>
      <rPr>
        <b/>
        <sz val="10"/>
        <rFont val="Arial"/>
        <family val="2"/>
      </rPr>
      <t>PFCalu6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200X210</t>
    </r>
    <r>
      <rPr>
        <sz val="10"/>
        <rFont val="Arial"/>
        <family val="2"/>
      </rPr>
      <t xml:space="preserve"> cm HC)</t>
    </r>
  </si>
  <si>
    <t>Porte-fenetre ouvrante vitrée :</t>
  </si>
  <si>
    <t xml:space="preserve">Porte-fenetre coulissante vitrée avec volet roulant                                                </t>
  </si>
  <si>
    <t xml:space="preserve">fenetre coulissante vitrée avec volet roulant                                                </t>
  </si>
  <si>
    <t xml:space="preserve">fenetre coulissante vitrée </t>
  </si>
  <si>
    <t xml:space="preserve">fenetre Fixe vitrée </t>
  </si>
  <si>
    <t xml:space="preserve">baie vitrée bord à bord </t>
  </si>
  <si>
    <t xml:space="preserve">chassis Aluminium vitrée  </t>
  </si>
  <si>
    <r>
      <rPr>
        <b/>
        <sz val="10"/>
        <rFont val="Arial"/>
        <family val="2"/>
      </rPr>
      <t xml:space="preserve"> PEPalu1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500x430</t>
    </r>
    <r>
      <rPr>
        <sz val="10"/>
        <rFont val="Arial"/>
        <family val="2"/>
      </rPr>
      <t xml:space="preserve"> cm HC</t>
    </r>
  </si>
  <si>
    <r>
      <rPr>
        <b/>
        <sz val="10"/>
        <rFont val="Arial"/>
        <family val="2"/>
      </rPr>
      <t xml:space="preserve"> PEPalu4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500x240</t>
    </r>
    <r>
      <rPr>
        <sz val="10"/>
        <rFont val="Arial"/>
        <family val="2"/>
      </rPr>
      <t xml:space="preserve"> cm HC</t>
    </r>
  </si>
  <si>
    <t>fenetre Ouvrante vitrée ( Falu1 de 60x200 cm HC)</t>
  </si>
  <si>
    <r>
      <t>fenetre coulissante vitrée</t>
    </r>
    <r>
      <rPr>
        <sz val="12"/>
        <rFont val="Arial"/>
        <family val="2"/>
      </rPr>
      <t xml:space="preserve"> </t>
    </r>
    <r>
      <rPr>
        <sz val="14"/>
        <rFont val="Arial"/>
        <family val="2"/>
      </rPr>
      <t>( FCalu8 de 140X150 cm HC)</t>
    </r>
  </si>
  <si>
    <t>fenetre coulissante vitrée ( FCalu7 de 200X150 cm HC)</t>
  </si>
  <si>
    <t>fenetre coulissante vitrée ( FCalu6 de 320X150 cm HC)</t>
  </si>
  <si>
    <t>fenetre coulissante vitrée ( FCalu5 de 150X210 cm HC)</t>
  </si>
  <si>
    <t>fenetre coulissante vitrée ( FCalu3 de 140X220 cm HC)</t>
  </si>
  <si>
    <t>fenetre coulissante vitrée ( FCalu2 de 150X260 cm HC)</t>
  </si>
  <si>
    <t>fenetre coulissante vitrée ( FCalu1 de 260X260 cm HC)</t>
  </si>
  <si>
    <t>fenetre Ouvrante vitrée ( Falu5 de 200x150 cm HC)</t>
  </si>
  <si>
    <r>
      <t xml:space="preserve">fenetre Ouvrante vitrée </t>
    </r>
    <r>
      <rPr>
        <sz val="12"/>
        <rFont val="Arial"/>
        <family val="2"/>
      </rPr>
      <t xml:space="preserve"> </t>
    </r>
    <r>
      <rPr>
        <sz val="14"/>
        <rFont val="Arial"/>
        <family val="2"/>
      </rPr>
      <t>( Falu7 de 60x150 cm HC)</t>
    </r>
  </si>
  <si>
    <t>fenetre Fixe vitrée ( FFalu2 de 200x440 cm HC)</t>
  </si>
  <si>
    <t>fenetre Fixe vitrée ( FFalu3 de 460x260 cm HC)</t>
  </si>
  <si>
    <t>fenetre Fixe vitrée ( FFalu5 de 40x250 cm HC)</t>
  </si>
  <si>
    <t>fenetre Fixe vitrée ( FFalu6 de 40x130 cm HC)</t>
  </si>
  <si>
    <t>Porte Entrée PEPalu1 de 500x430 cm HC</t>
  </si>
  <si>
    <t>Porte Entrée PEPalu2 de 450x430 cm HC</t>
  </si>
  <si>
    <t>Porte Entrée PEPalu3 de 550x260 cm HC</t>
  </si>
  <si>
    <t>Porte Entrée PEPalu4 de 500x240 cm HC</t>
  </si>
  <si>
    <t>Porte Entrée PEPalu5 de 460x260 cm HC</t>
  </si>
  <si>
    <t>Porte-fenetre coulissante vitrée ( PFCalu1 de 460x260 cm HC)</t>
  </si>
  <si>
    <t>Porte-fenetre coulissante vitrée ( PFCalu2 de 160X260 cm HC)</t>
  </si>
  <si>
    <t>Porte-fenetre coulissante vitrée ( PFCalu3 de 560X240 cm HC)</t>
  </si>
  <si>
    <t>Porte-fenetre coulissante vitrée ( PFCalu4 de 500X240 cm HC)</t>
  </si>
  <si>
    <t>Porte-fenetre coulissante vitrée ( PFCalu5 de 140X240 cm HC)</t>
  </si>
  <si>
    <t>Porte-fenetre coulissante vitrée ( PFCalu6 de 200X210 cm HC)</t>
  </si>
  <si>
    <t>Porte-fenetre ouvrante vitrée ( PFOalu1 de 450x240 cm HC)</t>
  </si>
  <si>
    <t>fenetre coulissante vitrée avec volet roulant ( FCVRalu1 de 140X150 cm HC)</t>
  </si>
  <si>
    <t>baie vitrée bord à bord ( BVbbalu1 de 460x240 cm HC)</t>
  </si>
  <si>
    <t>baie vitrée bord à bord ( BVbbalu2 de 450x240 cm HC)</t>
  </si>
  <si>
    <t>chassis Aluminium vitrée  ( CHalu3 de 290x60 cm HC)</t>
  </si>
  <si>
    <t>chassis Aluminium vitrée  ( CHalu4 de 250x60 cm HC)</t>
  </si>
  <si>
    <t>chassis Aluminium vitrée  ( CHalu5 de 180x60 cm HC)</t>
  </si>
  <si>
    <t>chassis Aluminium vitrée  ( CHalu8 de 60x60 cm HC)</t>
  </si>
  <si>
    <t>chassis Aluminium vitrée  ( CHalu6 de 160x60 cm HC)</t>
  </si>
  <si>
    <t>fenetre Ouvrante vitrée ( Falu3 de 120X170 cm HC)</t>
  </si>
  <si>
    <t>fenetre Ouvrante vitrée ( Falu4 de 40X170 cm HC)</t>
  </si>
  <si>
    <t>ATTACHEMENT RECAPITULATIF N° : 06</t>
  </si>
  <si>
    <t>11111178+8</t>
  </si>
  <si>
    <t>QUANTITES</t>
  </si>
  <si>
    <t xml:space="preserve">indice </t>
  </si>
  <si>
    <t>TOR</t>
  </si>
  <si>
    <t>Nber</t>
  </si>
  <si>
    <t>nomber</t>
  </si>
  <si>
    <t>Long</t>
  </si>
  <si>
    <t>EL</t>
  </si>
  <si>
    <t>T</t>
  </si>
  <si>
    <t>OBSERVATION:</t>
  </si>
  <si>
    <t>TOTAL EN ML</t>
  </si>
  <si>
    <t>C Kg/ ML</t>
  </si>
  <si>
    <t>POIDS PRTIELS</t>
  </si>
  <si>
    <t>POIDS TOTAL</t>
  </si>
  <si>
    <t>TOTAL des Aciers Tor en fondation</t>
  </si>
  <si>
    <t xml:space="preserve">Ouvrage </t>
  </si>
  <si>
    <t xml:space="preserve">ARMATURES A HAUTE ADHERENCE POUR BETON ARME EN ELEVATION (FeE500)  </t>
  </si>
  <si>
    <t>JOINT N° 4 :</t>
  </si>
  <si>
    <t>JOINT N° 3 :</t>
  </si>
  <si>
    <t>JOINT N° 2 :</t>
  </si>
  <si>
    <t>JOINT N° 1 :</t>
  </si>
  <si>
    <t xml:space="preserve">N° </t>
  </si>
  <si>
    <t>DÉSIGNATION DES OUVRAGES</t>
  </si>
  <si>
    <t xml:space="preserve">Quantité
Achèvement des travaux
</t>
  </si>
  <si>
    <t>JOINT N° 5 :</t>
  </si>
  <si>
    <t>JOINT N° 6 :</t>
  </si>
  <si>
    <t>P62 ( 25X60 )</t>
  </si>
  <si>
    <t>P63 ( 25X45 )</t>
  </si>
  <si>
    <t>P64 ( 25X30 )</t>
  </si>
  <si>
    <t>P65 ( 25X30 )</t>
  </si>
  <si>
    <t>P66 ( 25X40 )</t>
  </si>
  <si>
    <t>BN1 ( 25X20 )</t>
  </si>
  <si>
    <t>BN3 ( 30X25 )</t>
  </si>
  <si>
    <t>BN2 ( 25X25 )</t>
  </si>
  <si>
    <t>P93 ( 25X60 )</t>
  </si>
  <si>
    <t>P94 ( 25X50 )</t>
  </si>
  <si>
    <t>P95 ( 25X30 )</t>
  </si>
  <si>
    <t>P96 ( 25X30 )</t>
  </si>
  <si>
    <t>P97 ( 25X40 )</t>
  </si>
  <si>
    <t>P98 ( 25X30 )</t>
  </si>
  <si>
    <t>P99 ( 25X50 )</t>
  </si>
  <si>
    <t>P100 ( 25X30 )</t>
  </si>
  <si>
    <t>P101 ( 25X30 )</t>
  </si>
  <si>
    <t>P102 ( 25X40 )</t>
  </si>
  <si>
    <t>P168 ( 25X50 )</t>
  </si>
  <si>
    <t>P169 ( 25X30 )</t>
  </si>
  <si>
    <t>P170 ( 25X50 )</t>
  </si>
  <si>
    <t>P171 ( 25X30 )</t>
  </si>
  <si>
    <t>P172 ( 25X30 )</t>
  </si>
  <si>
    <t>P177 ( 25X55 )</t>
  </si>
  <si>
    <t>P178 ( 25X40 )</t>
  </si>
  <si>
    <t>P179 ( 25X65 )</t>
  </si>
  <si>
    <t>P180 ( 25X40 )</t>
  </si>
  <si>
    <t>P181 ( 25X40 )</t>
  </si>
  <si>
    <t>P195 ( 25X40 )</t>
  </si>
  <si>
    <t>PN93 ( 25X35 )</t>
  </si>
  <si>
    <t>PN92 ( 25X35 )</t>
  </si>
  <si>
    <t>P199 ( 25X65 )</t>
  </si>
  <si>
    <t>PN103 ( 25X50 )</t>
  </si>
  <si>
    <t>P206 ( 25X60 )</t>
  </si>
  <si>
    <t>P207 ( 25X35 )</t>
  </si>
  <si>
    <t>P208 ( 25X35 )</t>
  </si>
  <si>
    <t>JOINT N° 7 :</t>
  </si>
  <si>
    <t>P1 ( 25X30 )</t>
  </si>
  <si>
    <t>P2 ( 25X60 )</t>
  </si>
  <si>
    <t>P3 ( 25X60 )</t>
  </si>
  <si>
    <t>P9 ( 25X30 )</t>
  </si>
  <si>
    <t>P10 ( 25X55 )</t>
  </si>
  <si>
    <t>P11 ( 25X55 )</t>
  </si>
  <si>
    <t>P12 ( 25X75 )</t>
  </si>
  <si>
    <t>P13 ( 25X55 )</t>
  </si>
  <si>
    <t>P21 ( 25X30 )</t>
  </si>
  <si>
    <t>P22 ( 25X55 )</t>
  </si>
  <si>
    <t>P23 ( 25X55 )</t>
  </si>
  <si>
    <t>P25 ( 25X55 )</t>
  </si>
  <si>
    <t>P24 ( 25X75 )</t>
  </si>
  <si>
    <t>P216 ( 25X60 )</t>
  </si>
  <si>
    <t>P217 ( 25X35 )</t>
  </si>
  <si>
    <t>P220 ( 25X50 )</t>
  </si>
  <si>
    <t>P212 ( 25X60 )</t>
  </si>
  <si>
    <t>P213 ( 25X40 )</t>
  </si>
  <si>
    <t>P227 ( 25X40 )</t>
  </si>
  <si>
    <t>P230 ( 25X60 )</t>
  </si>
  <si>
    <t>P231 ( 25X40 )</t>
  </si>
  <si>
    <t>P232 ( 25X35 )</t>
  </si>
  <si>
    <t>JOINT N° 8 :</t>
  </si>
  <si>
    <t>P26 ( 25X30 )</t>
  </si>
  <si>
    <t>P27 ( 25X55 )</t>
  </si>
  <si>
    <t>P28 ( 25X55 )</t>
  </si>
  <si>
    <t>P29 ( 25X40 )</t>
  </si>
  <si>
    <t>P30 ( 25X35 )</t>
  </si>
  <si>
    <t>P31 ( 25X55 )</t>
  </si>
  <si>
    <t>P32 ( 25X30 )</t>
  </si>
  <si>
    <t>BN2' ( 25X25 )</t>
  </si>
  <si>
    <t>P43 ( 25X30 )</t>
  </si>
  <si>
    <t>P44 ( 25X55 )</t>
  </si>
  <si>
    <t>P45 ( 25X30 )</t>
  </si>
  <si>
    <t>P46 ( 25X40 )</t>
  </si>
  <si>
    <t>P47 ( 25X35 )</t>
  </si>
  <si>
    <t>P67 ( 25X30 )</t>
  </si>
  <si>
    <t>P68 ( 25X40 )</t>
  </si>
  <si>
    <t>P69 ( 25X55 )</t>
  </si>
  <si>
    <t>PN70 ( 25X30 )</t>
  </si>
  <si>
    <t>BN3 ( 25X50 )</t>
  </si>
  <si>
    <t>P81 ( 25X30 )</t>
  </si>
  <si>
    <t>P85 ( 25X50 )</t>
  </si>
  <si>
    <t>P84 ( 25X55 )</t>
  </si>
  <si>
    <t>P83 ( 25X55 )</t>
  </si>
  <si>
    <t>P82 ( 25X40 )</t>
  </si>
  <si>
    <t>P211 ( 25X60 )</t>
  </si>
  <si>
    <t>P212 ( 25X40 )</t>
  </si>
  <si>
    <t>P213 ( 25X30 )</t>
  </si>
  <si>
    <t>P214 ( 25X40 )</t>
  </si>
  <si>
    <t>P215 ( 25X50 )</t>
  </si>
  <si>
    <t>P219 ( 25X50 )</t>
  </si>
  <si>
    <t>P215 ( 30X50 )</t>
  </si>
  <si>
    <t>P214 ( 30X65 )</t>
  </si>
  <si>
    <t>P216 ( 30X50 )</t>
  </si>
  <si>
    <t>P217 ( 30X60 )</t>
  </si>
  <si>
    <t>N142 ( 25X60 )</t>
  </si>
  <si>
    <t>P219 ( 25X55 )</t>
  </si>
  <si>
    <t>P220 ( 25X55 )</t>
  </si>
  <si>
    <t>P222 ( 30X50 )</t>
  </si>
  <si>
    <t>P223 ( 30X50 )</t>
  </si>
  <si>
    <t>P224 ( 30X60 )</t>
  </si>
  <si>
    <t>P225 ( 25X60 )</t>
  </si>
  <si>
    <t>P228 ( 25X60 )</t>
  </si>
  <si>
    <t>P229 ( 25X35 )</t>
  </si>
  <si>
    <t>P233 ( 30X60 )</t>
  </si>
  <si>
    <t>P234 ( 25X60 )</t>
  </si>
  <si>
    <t>P218 ( 25X35 )</t>
  </si>
  <si>
    <t>P226 ( 25x60 )</t>
  </si>
  <si>
    <t xml:space="preserve">CONSTRUCTION DE L'INTERNAT A L'ISTHT A DAKHLA </t>
  </si>
  <si>
    <t xml:space="preserve">Marché N° :  51/2018 </t>
  </si>
  <si>
    <t>Poteaux 1ér étage :</t>
  </si>
  <si>
    <t>T14</t>
  </si>
  <si>
    <t>Barre Long</t>
  </si>
  <si>
    <t>Cadre</t>
  </si>
  <si>
    <t>étr</t>
  </si>
  <si>
    <t>T8</t>
  </si>
  <si>
    <r>
      <t xml:space="preserve">P 5' ( </t>
    </r>
    <r>
      <rPr>
        <b/>
        <u/>
        <sz val="12"/>
        <rFont val="Calibri"/>
        <family val="2"/>
      </rPr>
      <t>Ø</t>
    </r>
    <r>
      <rPr>
        <b/>
        <i/>
        <u/>
        <sz val="10.199999999999999"/>
        <rFont val="Calibri"/>
        <family val="2"/>
      </rPr>
      <t xml:space="preserve"> 30 </t>
    </r>
    <r>
      <rPr>
        <b/>
        <i/>
        <u/>
        <sz val="12"/>
        <rFont val="Calibri"/>
        <family val="2"/>
        <scheme val="minor"/>
      </rPr>
      <t xml:space="preserve"> )</t>
    </r>
  </si>
  <si>
    <t>T16</t>
  </si>
  <si>
    <t>étr 1</t>
  </si>
  <si>
    <t>étr 2</t>
  </si>
  <si>
    <t>P 1 ( 25 x 25 )</t>
  </si>
  <si>
    <t>P 4 ( 25 x 35 )</t>
  </si>
  <si>
    <t>P 7 ( 25 x 50 )</t>
  </si>
  <si>
    <t>P 5 ( 25 x 45 )</t>
  </si>
  <si>
    <t>P 3 ( 25 x 35 )</t>
  </si>
  <si>
    <t>P 2 ( 25 x 30 )</t>
  </si>
  <si>
    <r>
      <t xml:space="preserve">P 2' ( </t>
    </r>
    <r>
      <rPr>
        <b/>
        <u/>
        <sz val="12"/>
        <rFont val="Calibri"/>
        <family val="2"/>
      </rPr>
      <t>Ø</t>
    </r>
    <r>
      <rPr>
        <b/>
        <i/>
        <u/>
        <sz val="10.199999999999999"/>
        <rFont val="Calibri"/>
        <family val="2"/>
      </rPr>
      <t xml:space="preserve"> 30 </t>
    </r>
    <r>
      <rPr>
        <b/>
        <i/>
        <u/>
        <sz val="12"/>
        <rFont val="Calibri"/>
        <family val="2"/>
        <scheme val="minor"/>
      </rPr>
      <t xml:space="preserve"> )</t>
    </r>
  </si>
  <si>
    <r>
      <t xml:space="preserve">P 4' ( </t>
    </r>
    <r>
      <rPr>
        <b/>
        <u/>
        <sz val="12"/>
        <rFont val="Calibri"/>
        <family val="2"/>
      </rPr>
      <t>Ø</t>
    </r>
    <r>
      <rPr>
        <b/>
        <i/>
        <u/>
        <sz val="10.199999999999999"/>
        <rFont val="Calibri"/>
        <family val="2"/>
      </rPr>
      <t xml:space="preserve"> 30 </t>
    </r>
    <r>
      <rPr>
        <b/>
        <i/>
        <u/>
        <sz val="12"/>
        <rFont val="Calibri"/>
        <family val="2"/>
        <scheme val="minor"/>
      </rPr>
      <t xml:space="preserve"> )</t>
    </r>
  </si>
  <si>
    <t>P 6 ( 25 x 50 )</t>
  </si>
  <si>
    <t>P 2' ( 30 x 30 )</t>
  </si>
  <si>
    <r>
      <t xml:space="preserve">P 3' ( </t>
    </r>
    <r>
      <rPr>
        <b/>
        <u/>
        <sz val="12"/>
        <rFont val="Calibri"/>
        <family val="2"/>
      </rPr>
      <t>Ø</t>
    </r>
    <r>
      <rPr>
        <b/>
        <i/>
        <u/>
        <sz val="10.199999999999999"/>
        <rFont val="Calibri"/>
        <family val="2"/>
      </rPr>
      <t xml:space="preserve"> 30 </t>
    </r>
    <r>
      <rPr>
        <b/>
        <i/>
        <u/>
        <sz val="12"/>
        <rFont val="Calibri"/>
        <family val="2"/>
        <scheme val="minor"/>
      </rPr>
      <t xml:space="preserve"> )</t>
    </r>
  </si>
  <si>
    <t>P 8 ( 30 x 65 )</t>
  </si>
  <si>
    <t>P 9 ( 30 x 50 )</t>
  </si>
  <si>
    <t>Poutre R.D.C :</t>
  </si>
  <si>
    <t>barres longitudinales</t>
  </si>
  <si>
    <t>T12</t>
  </si>
  <si>
    <t>Etr</t>
  </si>
  <si>
    <t>Chap</t>
  </si>
  <si>
    <t>T10</t>
  </si>
  <si>
    <t>Ronf</t>
  </si>
  <si>
    <t>T20</t>
  </si>
  <si>
    <t xml:space="preserve">  P14 ( 25*60 )</t>
  </si>
  <si>
    <t xml:space="preserve"> P33 ( 25*60 )</t>
  </si>
  <si>
    <t xml:space="preserve"> BN1 ( 25*20 )</t>
  </si>
  <si>
    <t xml:space="preserve"> P14 ( 25*60 )</t>
  </si>
  <si>
    <t>P109 ( 25*50 )</t>
  </si>
  <si>
    <t>P108 ( 25*50 )</t>
  </si>
  <si>
    <t>P106 ( 25*40 )</t>
  </si>
  <si>
    <t>P120 ( 25*45 )</t>
  </si>
  <si>
    <t>P119 ( 25*45 )</t>
  </si>
  <si>
    <t xml:space="preserve"> P117 ( 25*50 )</t>
  </si>
  <si>
    <t xml:space="preserve"> P116 ( 25*40 )</t>
  </si>
  <si>
    <t xml:space="preserve"> P115 ( 25*40 )</t>
  </si>
  <si>
    <t xml:space="preserve"> P128 ( 25*40 )</t>
  </si>
  <si>
    <t xml:space="preserve"> P126 ( 25*40 )</t>
  </si>
  <si>
    <t xml:space="preserve"> P123 ( 25*30 )</t>
  </si>
  <si>
    <t xml:space="preserve">  P86 ( 25*30 )</t>
  </si>
  <si>
    <t xml:space="preserve"> P87 ( 25*35 )</t>
  </si>
  <si>
    <t xml:space="preserve"> P104 ( 25*40 )</t>
  </si>
  <si>
    <t xml:space="preserve"> P105 ( 25*60 )</t>
  </si>
  <si>
    <t>P112 ( 25*50 )</t>
  </si>
  <si>
    <t>P113 ( 25*50 )</t>
  </si>
  <si>
    <t xml:space="preserve"> P114 ( 25*90 )</t>
  </si>
  <si>
    <t xml:space="preserve"> P121 ( 25*30 )</t>
  </si>
  <si>
    <t xml:space="preserve">BR </t>
  </si>
  <si>
    <t>P221 ( 30X65 )</t>
  </si>
  <si>
    <t xml:space="preserve"> P15 ( 25*30 )</t>
  </si>
  <si>
    <t xml:space="preserve">  P51 ( 25*60 )</t>
  </si>
  <si>
    <t xml:space="preserve">  BN1 ( 25*20 )</t>
  </si>
  <si>
    <t xml:space="preserve"> P111 (25*50 )</t>
  </si>
  <si>
    <t>P110 ( 25*50 )</t>
  </si>
  <si>
    <t>P107 ( 25*40 )</t>
  </si>
  <si>
    <t xml:space="preserve"> P118 ( 25*45 )</t>
  </si>
  <si>
    <t xml:space="preserve"> P127 ( 25*40 )</t>
  </si>
  <si>
    <t>P125 (25*40 )</t>
  </si>
  <si>
    <t>P124 ( 25*30 )</t>
  </si>
  <si>
    <t xml:space="preserve">  P88 ( 25*30 )</t>
  </si>
  <si>
    <t>P103 ( 25*35 )</t>
  </si>
  <si>
    <t>P122 ( 25*50 )</t>
  </si>
  <si>
    <t>P210 ( 25*40 )</t>
  </si>
  <si>
    <t>P209 ( 25*65 )</t>
  </si>
  <si>
    <t>P208 ( 25*40 )</t>
  </si>
  <si>
    <t>P207 ( 25*40 )</t>
  </si>
  <si>
    <t>P205 ( 25*40 )</t>
  </si>
  <si>
    <t>P204 semi all ( 30*100 )</t>
  </si>
  <si>
    <t>P204 sup ( 25*50 )</t>
  </si>
  <si>
    <t>P203 ( 25* 40 )</t>
  </si>
  <si>
    <t>P202 ( 25*45 )</t>
  </si>
  <si>
    <t>P193 ( 25*45 )</t>
  </si>
  <si>
    <t xml:space="preserve"> P190 ( 25*40 )</t>
  </si>
  <si>
    <t>P189 semi all ( 30*100 )</t>
  </si>
  <si>
    <t>P188 ( 25*50 )</t>
  </si>
  <si>
    <t xml:space="preserve"> P188 ( 25*40 )</t>
  </si>
  <si>
    <t>P187 ( 25*40 )</t>
  </si>
  <si>
    <t>P186 ( 25*45 )</t>
  </si>
  <si>
    <t xml:space="preserve"> P185 ( 25*40 )</t>
  </si>
  <si>
    <t>P184 ( 25*40 )</t>
  </si>
  <si>
    <t xml:space="preserve"> P183 ( 25*60 )</t>
  </si>
  <si>
    <t xml:space="preserve"> P182 ( 25*45 )</t>
  </si>
  <si>
    <t>P176 ( 25*45 )</t>
  </si>
  <si>
    <t>P175 ( 25*40 )</t>
  </si>
  <si>
    <t xml:space="preserve"> P174 ( 25*50 )</t>
  </si>
  <si>
    <t>P173 ( 25*50 )</t>
  </si>
  <si>
    <t xml:space="preserve"> P57 ( 25*40 )</t>
  </si>
  <si>
    <t>P56 ( 25*30 )</t>
  </si>
  <si>
    <t xml:space="preserve"> P55 ( 25*30 )</t>
  </si>
  <si>
    <t>P54 ( 25*40 )</t>
  </si>
  <si>
    <t>P53 ( 25*30 )</t>
  </si>
  <si>
    <t>BN2 ( 25*25 )</t>
  </si>
  <si>
    <t>BN1 ( 25*20 )</t>
  </si>
  <si>
    <t>BN2  ( 25*25 )</t>
  </si>
  <si>
    <t>P50 ( 25*45 )</t>
  </si>
  <si>
    <t>P49 ( 25*45 )</t>
  </si>
  <si>
    <t>P48 ( 25*45 )</t>
  </si>
  <si>
    <t>P39 Semi ALL ( 30*100 )</t>
  </si>
  <si>
    <t>P39 SUP ( 25*50 )</t>
  </si>
  <si>
    <t>P20 Semi ALL ( 25*100 )</t>
  </si>
  <si>
    <t>P20 SUP ( 25*50 )</t>
  </si>
  <si>
    <t>P8 ( 25*60 )</t>
  </si>
  <si>
    <t>P7 ( 25*60 )</t>
  </si>
  <si>
    <t>P6 ( 25*50 )</t>
  </si>
  <si>
    <t>P5 ( 25*30 )</t>
  </si>
  <si>
    <t>N5 ( 25*30 )</t>
  </si>
  <si>
    <t>P162 ( 25*30 )</t>
  </si>
  <si>
    <t>P161 ( 25*30 )</t>
  </si>
  <si>
    <t>P160 ( 25*60 )</t>
  </si>
  <si>
    <t>P159 ( 25*40 )</t>
  </si>
  <si>
    <t>P153 ( 25*40 )</t>
  </si>
  <si>
    <t>P152 ( 25*30 )</t>
  </si>
  <si>
    <t>P151 ( 25*65 )</t>
  </si>
  <si>
    <t>P150 ( 25*40 )</t>
  </si>
  <si>
    <t xml:space="preserve"> P147 ( 25*40 )</t>
  </si>
  <si>
    <t xml:space="preserve"> P146 ( 25*40 )</t>
  </si>
  <si>
    <t>P145 ( 25*65 )</t>
  </si>
  <si>
    <t xml:space="preserve"> P141 ( 25*40 )</t>
  </si>
  <si>
    <t>P140 ( 25*40 )</t>
  </si>
  <si>
    <t xml:space="preserve"> P139 ( 25*65 )</t>
  </si>
  <si>
    <t>P138 ( 25*40 )</t>
  </si>
  <si>
    <t>P132 ( 25*40 )</t>
  </si>
  <si>
    <t>P131 ( 25*40 )</t>
  </si>
  <si>
    <t>P130 ( 25*60 )</t>
  </si>
  <si>
    <t xml:space="preserve"> P129 ( 25*40 )</t>
  </si>
  <si>
    <t>P92 ( 25*60 )</t>
  </si>
  <si>
    <t>P91 ( 25*35 )</t>
  </si>
  <si>
    <t>P90 ( 25*35 )</t>
  </si>
  <si>
    <t xml:space="preserve"> P89 ( 25*60 )</t>
  </si>
  <si>
    <t>P80 ( 25*60 )</t>
  </si>
  <si>
    <t xml:space="preserve"> BN1 ( 25 *20 )</t>
  </si>
  <si>
    <t>P76 ( 25*60 )</t>
  </si>
  <si>
    <t xml:space="preserve"> P75 ( 25*75 )</t>
  </si>
  <si>
    <t>P74 ( 25*35 )</t>
  </si>
  <si>
    <t xml:space="preserve"> P73 ( 25*40 )</t>
  </si>
  <si>
    <t xml:space="preserve"> P72 ( 25*60 )</t>
  </si>
  <si>
    <t xml:space="preserve"> P61 ( 25*60 )</t>
  </si>
  <si>
    <t>P60 (25*35 )</t>
  </si>
  <si>
    <t xml:space="preserve"> P59 ( 25*60 )</t>
  </si>
  <si>
    <t xml:space="preserve"> P58 ( 25*60 )</t>
  </si>
  <si>
    <t>P166 ( 25*50 )</t>
  </si>
  <si>
    <t>P165 ( 25*50 )</t>
  </si>
  <si>
    <t>P164 ( 25*40 )</t>
  </si>
  <si>
    <t>P163 ( 25*60 )</t>
  </si>
  <si>
    <t>P157 ( 25*55 )</t>
  </si>
  <si>
    <t xml:space="preserve"> P156 ( 25*55 )</t>
  </si>
  <si>
    <t xml:space="preserve"> P155 ( 25*40 )</t>
  </si>
  <si>
    <t>P154 ( 25*60 )</t>
  </si>
  <si>
    <t>P149 ( 25*40 )</t>
  </si>
  <si>
    <t>P148 ( 25*60 )</t>
  </si>
  <si>
    <t>P144 ( 25*55 )</t>
  </si>
  <si>
    <t xml:space="preserve"> P143 ( 25*55 )</t>
  </si>
  <si>
    <t>P137 ( 25*50 )</t>
  </si>
  <si>
    <t>P136 ( 25*50 )</t>
  </si>
  <si>
    <t>P134 ( 25*40 )</t>
  </si>
  <si>
    <t>P133 ( 25*60 )</t>
  </si>
  <si>
    <t>P52 ( 25*35 )</t>
  </si>
  <si>
    <t>P42 ( 25*60 )</t>
  </si>
  <si>
    <t xml:space="preserve"> P41 ( 25*60 )</t>
  </si>
  <si>
    <t xml:space="preserve"> P40 ( 25*60 )</t>
  </si>
  <si>
    <t>P38 ( 25*70 )</t>
  </si>
  <si>
    <t>P37 ( 25*40 )</t>
  </si>
  <si>
    <t xml:space="preserve"> P36 ( 25*40 )</t>
  </si>
  <si>
    <t xml:space="preserve"> P34 ( 25*70 )</t>
  </si>
  <si>
    <t>P19 ( 25*60 )</t>
  </si>
  <si>
    <t>P18 ( 25*60 )</t>
  </si>
  <si>
    <t>P17 ( 25*60 )</t>
  </si>
  <si>
    <t xml:space="preserve"> P16 ( 25*60 )</t>
  </si>
  <si>
    <t>Dalles Plaines R.D.C :</t>
  </si>
  <si>
    <t xml:space="preserve">Axe ( I - K' ) Fille ( 11' - 16 ) </t>
  </si>
  <si>
    <t xml:space="preserve">Barres Inf </t>
  </si>
  <si>
    <t>Barres Sup</t>
  </si>
  <si>
    <r>
      <t xml:space="preserve">P194 ( 25X55 ) </t>
    </r>
    <r>
      <rPr>
        <b/>
        <i/>
        <u/>
        <sz val="11"/>
        <rFont val="Palatino Linotype"/>
        <family val="1"/>
      </rPr>
      <t>/ P177 ( 25X60 )</t>
    </r>
  </si>
  <si>
    <r>
      <t>P191 ( 25X40 )</t>
    </r>
    <r>
      <rPr>
        <b/>
        <i/>
        <u/>
        <sz val="11"/>
        <rFont val="Palatino Linotype"/>
        <family val="1"/>
      </rPr>
      <t xml:space="preserve"> / P180 ( 25X40 )</t>
    </r>
  </si>
  <si>
    <r>
      <t xml:space="preserve">P192 ( 25X40 ) </t>
    </r>
    <r>
      <rPr>
        <b/>
        <i/>
        <u/>
        <sz val="11"/>
        <rFont val="Palatino Linotype"/>
        <family val="1"/>
      </rPr>
      <t>/ P181 ( 25X40 )</t>
    </r>
  </si>
  <si>
    <r>
      <t xml:space="preserve">P196 ( 25X65 ) </t>
    </r>
    <r>
      <rPr>
        <b/>
        <i/>
        <u/>
        <sz val="11"/>
        <rFont val="Palatino Linotype"/>
        <family val="1"/>
      </rPr>
      <t>/ P179 ( 25X65 )</t>
    </r>
  </si>
  <si>
    <r>
      <t xml:space="preserve">P197 ( 25X40 ) </t>
    </r>
    <r>
      <rPr>
        <b/>
        <i/>
        <u/>
        <sz val="11"/>
        <rFont val="Palatino Linotype"/>
        <family val="1"/>
      </rPr>
      <t>/ P180 ( 25X40 )</t>
    </r>
  </si>
  <si>
    <r>
      <t xml:space="preserve">P198 ( 25X40 ) </t>
    </r>
    <r>
      <rPr>
        <b/>
        <i/>
        <u/>
        <sz val="11"/>
        <rFont val="Palatino Linotype"/>
        <family val="1"/>
      </rPr>
      <t>/ P181 ( 25X40 )</t>
    </r>
  </si>
  <si>
    <r>
      <t xml:space="preserve">P201 ( 25X40 ) </t>
    </r>
    <r>
      <rPr>
        <b/>
        <i/>
        <u/>
        <sz val="11"/>
        <rFont val="Palatino Linotype"/>
        <family val="1"/>
      </rPr>
      <t>/ P181 ( 25X40 )</t>
    </r>
  </si>
  <si>
    <r>
      <t xml:space="preserve">P200 ( 25X40 ) </t>
    </r>
    <r>
      <rPr>
        <b/>
        <i/>
        <u/>
        <sz val="11"/>
        <rFont val="Palatino Linotype"/>
        <family val="1"/>
      </rPr>
      <t>/ P180 ( 25X40)</t>
    </r>
  </si>
  <si>
    <t>SOCIETE : ROUANDI S.A.R.L</t>
  </si>
  <si>
    <t>50 662,50 kg</t>
  </si>
  <si>
    <t xml:space="preserve">Quantité Marche </t>
  </si>
  <si>
    <t>REGION RABAT-SALE -KENITRA</t>
  </si>
  <si>
    <t>PROVINCE KENITRA</t>
  </si>
  <si>
    <t xml:space="preserve">LOT UNIQUE </t>
  </si>
  <si>
    <t xml:space="preserve">1- GROS ŒUVRES </t>
  </si>
  <si>
    <t>1.1</t>
  </si>
  <si>
    <t>TERRASSEMENT :</t>
  </si>
  <si>
    <t xml:space="preserve">le métre Cube </t>
  </si>
  <si>
    <t>%</t>
  </si>
  <si>
    <t>COMMUNE DE RABAT</t>
  </si>
  <si>
    <t>ARRONDISSEMENT AGDAL-RYAD</t>
  </si>
  <si>
    <t>MARCHE N° : 81/2020</t>
  </si>
  <si>
    <t xml:space="preserve">TRAVAUX DE CONSTRUCTION D'UN L'INSTITUT DE FORMATION </t>
  </si>
  <si>
    <t>AUX  METIERS DE LA SANTE ET DE SON INTERNAT-RABAT</t>
  </si>
  <si>
    <t>1</t>
  </si>
  <si>
    <t>décapage ,nettoyage désherbages et nivellement du terrain :</t>
  </si>
  <si>
    <t xml:space="preserve">Totale de décapage ,nettoyage désherbages et nivellement du terrain  </t>
  </si>
  <si>
    <t>F</t>
  </si>
  <si>
    <t>1.2</t>
  </si>
  <si>
    <t xml:space="preserve">Totale de fouille en pleine masse dans tout tarrain y compris rocher </t>
  </si>
  <si>
    <t xml:space="preserve">  fouille en pleine masse dans tout terrain y compris rocher</t>
  </si>
  <si>
    <t>le forfait</t>
  </si>
  <si>
    <t>PROJET                                 :</t>
  </si>
  <si>
    <t xml:space="preserve">NOM DU SOUS-TRAITANT: </t>
  </si>
  <si>
    <t>LOT                                        :</t>
  </si>
  <si>
    <t>GROS ŒUVRE</t>
  </si>
  <si>
    <t>REFERENCE</t>
  </si>
  <si>
    <t>N° 
Prix</t>
  </si>
  <si>
    <t>DESIGNATION</t>
  </si>
  <si>
    <t>UNITE</t>
  </si>
  <si>
    <t>QTES MARCHE</t>
  </si>
  <si>
    <t>QTES TOTALE PRECEDENTE</t>
  </si>
  <si>
    <t>QTES METRE</t>
  </si>
  <si>
    <t>QUANTITE DU MOIS</t>
  </si>
  <si>
    <t>QTES TOTALE EXECUTE</t>
  </si>
  <si>
    <t xml:space="preserve">GROS ŒUVRE </t>
  </si>
  <si>
    <t>FORFAIT</t>
  </si>
  <si>
    <t>Fouilles en pleine masse dans tout terrain y rocher</t>
  </si>
  <si>
    <t xml:space="preserve">ETABLI PAR: </t>
  </si>
  <si>
    <t>ACCEPTE PAR:</t>
  </si>
  <si>
    <t xml:space="preserve">CONTRÔLE PAR: </t>
  </si>
  <si>
    <t>VERIFIE PAR:</t>
  </si>
  <si>
    <t>TECHNICIEN DU CHANTIER</t>
  </si>
  <si>
    <t xml:space="preserve"> LE SOUS-TRAITANT</t>
  </si>
  <si>
    <t>CONDUCTEUR DES TRAVAUX</t>
  </si>
  <si>
    <t>CHEF DE SERVICE METRE</t>
  </si>
  <si>
    <t>APPROUVE PAR:</t>
  </si>
  <si>
    <t>DIRECTEUR TECHNIQUE</t>
  </si>
  <si>
    <t>TRAVAUX DE CONSTRUCTION D'UN L'INSTITUT DE FORMATION AUX  METIERS DE LA SANTE ET DE SON INTERNAT-RABAT</t>
  </si>
  <si>
    <t>STRADA VERDE sarl</t>
  </si>
  <si>
    <t xml:space="preserve">TERRASSEMENT </t>
  </si>
  <si>
    <t>décapage ,nettoyage désherbages et nivellement du terrain</t>
  </si>
  <si>
    <t>S=</t>
  </si>
  <si>
    <t>Fouilles en tranchées ou en puits dans tout terrain y compris rocher</t>
  </si>
  <si>
    <t>1.3</t>
  </si>
  <si>
    <t>Fouille en pleine masse dans tout terrain y compris rocher</t>
  </si>
  <si>
    <t>Décapage ,nettoyage désherbages et nivellement du terrain :</t>
  </si>
  <si>
    <t>ATTACHEMENT DES FOUILLES</t>
  </si>
  <si>
    <t>CLASSES</t>
  </si>
  <si>
    <t>REFECTOIRES ET INTERNAT</t>
  </si>
  <si>
    <t>S6 ( Axe 2,C/ FileA,C)</t>
  </si>
  <si>
    <t>S7 ( Axe 4,C/ FileA,C)</t>
  </si>
  <si>
    <t>R1 ( Axe 6,C ET 8,C/ FileA,C ET B,C)</t>
  </si>
  <si>
    <t>S7 ( Axe 10,C/ FileA,C)</t>
  </si>
  <si>
    <t>SD,7 ( Axe 12-13,C/ FileA,C)</t>
  </si>
  <si>
    <t>S6 ( Axe 16,C/ FileA,C)</t>
  </si>
  <si>
    <t>R1 ( Axe 18,C ET 20,C/ FileA,C ET B,C)</t>
  </si>
  <si>
    <t>S6 ( Axe 22,C/ FileA,C)</t>
  </si>
  <si>
    <t>S3 ( Axe 24,C/ FileA,C)</t>
  </si>
  <si>
    <t>S9( Axe 10,C/ FileB,C)</t>
  </si>
  <si>
    <t>Sd,12( Axe 12,Cet 13,C/ FileB,C)</t>
  </si>
  <si>
    <t>S9( Axe 16,C/ FileB,C)</t>
  </si>
  <si>
    <t>S9( Axe 22,C/ FileB,C)</t>
  </si>
  <si>
    <t>SD,7 ( Axe 2,C/ FileC,C ET DC)</t>
  </si>
  <si>
    <t>SD,12 ( Axe 4,C/ FileC,C ET DC)</t>
  </si>
  <si>
    <t>SD,11( Axe 6,C/ FileC,C ET DC)</t>
  </si>
  <si>
    <t>S,2( Axe 8,C/ FileC,C ET DC)</t>
  </si>
  <si>
    <t>S,1( Axe 8,C/ FileE,C)</t>
  </si>
  <si>
    <t>S,6( Axe 2,C/ FileF,C)</t>
  </si>
  <si>
    <t>S,7( Axe 6,C/ FileF,C)</t>
  </si>
  <si>
    <t>S,2( Axe 8,C/ FileG,C)</t>
  </si>
  <si>
    <t>S,6( Axe 2,C/ FileH,C)</t>
  </si>
  <si>
    <t>S,7( Axe 6,C/ FileH,C)</t>
  </si>
  <si>
    <t>S,4( Axe 4,C/ FileI,C)</t>
  </si>
  <si>
    <t>S,1( Axe 7,C/ FileC)</t>
  </si>
  <si>
    <t>S,D10( Axe 1,C ET 2,C/ FileJC ET KC)</t>
  </si>
  <si>
    <t>S,D9( Axe 4,C / FileJC ET KC)</t>
  </si>
  <si>
    <t>S,4( Axe 6,C / FileJC ET KC)</t>
  </si>
  <si>
    <t>S,D8( Axe 7,C / FileJC ET KC)</t>
  </si>
  <si>
    <t>R1 ( Axe 3,C ET 5,C/ FileM,C ET P,C)</t>
  </si>
  <si>
    <t>S,9( Axe 7,C / File MC)</t>
  </si>
  <si>
    <t>S,10( Axe 9,C / File MC)</t>
  </si>
  <si>
    <t>S,9( Axe 11,C / File MC)</t>
  </si>
  <si>
    <t>S,6( Axe 14,C ET 15,C / File MC)</t>
  </si>
  <si>
    <t>R1 ( Axe 14,C ET 15,C/ FileM,C ET P,C)</t>
  </si>
  <si>
    <t>S,D14( Axe 23,C ET 1,D / File MC)</t>
  </si>
  <si>
    <t>S,4( Axe 17,C / File LC)</t>
  </si>
  <si>
    <t>S,4( Axe 19,C / File LC)</t>
  </si>
  <si>
    <t>S,8( Axe 21,C / File LC)</t>
  </si>
  <si>
    <t>S,D8( Axe 23,C ET 1,D / File LC)</t>
  </si>
  <si>
    <t>S,7( Axe 1,C / File N,C)</t>
  </si>
  <si>
    <t>S,4( Axe 23,C ET 1,D / File O,C)</t>
  </si>
  <si>
    <t>S,5( Axe 1,C / File P,C)</t>
  </si>
  <si>
    <t>S,7( Axe 7,C / File P,C)</t>
  </si>
  <si>
    <t>S,7( Axe 9,C / File P,C)</t>
  </si>
  <si>
    <t>S,7( Axe 11,C / File P,C)</t>
  </si>
  <si>
    <t>S,3( Axe 14,C ET 15,C / File PC)</t>
  </si>
  <si>
    <t>S,4( Axe 19,C / File P,C)</t>
  </si>
  <si>
    <t>S,7( Axe 21,C / File P,C)</t>
  </si>
  <si>
    <t>S,D8( Axe 23,C ET 1,D / File PC)</t>
  </si>
  <si>
    <t>S,1( Axe 1,E / File A,E)</t>
  </si>
  <si>
    <t>S,3( Axe 2,E / File A,E)</t>
  </si>
  <si>
    <t>S,3( Axe 3,E / File A,E)</t>
  </si>
  <si>
    <t>S,2( Axe 4,E / File A,E)</t>
  </si>
  <si>
    <t>R1( Axe 5,E ET 6,E / File A,E)</t>
  </si>
  <si>
    <t>S,3( Axe 7,E / File B,E)</t>
  </si>
  <si>
    <t>S,2( Axe 7,E / File B,E)</t>
  </si>
  <si>
    <t>S,2( Axe 1,E / File C,E)</t>
  </si>
  <si>
    <t>S,6( Axe 2,E / File C,E)</t>
  </si>
  <si>
    <t>S,6( Axe 3,E / File C,E)</t>
  </si>
  <si>
    <t>S,5( Axe 4,E / File C,E)</t>
  </si>
  <si>
    <t>S,6( Axe 8,E / File D,E)</t>
  </si>
  <si>
    <t>S,3( Axe 1,E / File E,E)</t>
  </si>
  <si>
    <t>S,4( Axe 1 / File E,E)</t>
  </si>
  <si>
    <t>S,4( Axe 2 / File E,E)</t>
  </si>
  <si>
    <t>S,3( Axe 3 / File E,E)</t>
  </si>
  <si>
    <t>S,3( Axe 4 / File E,E)</t>
  </si>
  <si>
    <t>SD,3( Axe 6,E / File E,E)</t>
  </si>
  <si>
    <t>R1( Axe 1 ET 2 / File )</t>
  </si>
  <si>
    <t>SD,1( Axe 8,E / File F,E)</t>
  </si>
  <si>
    <t>S,2( Axe 1,E/ FileG,E)</t>
  </si>
  <si>
    <t>S,1( Axe 4/ FileG,E)</t>
  </si>
  <si>
    <t>SD,3( Axe 5 ET 6 / File G,E)</t>
  </si>
  <si>
    <t>S,1( Axe 1,E/ FileI,E)</t>
  </si>
  <si>
    <t>S,1( Axe 1/ FileI,E)</t>
  </si>
  <si>
    <t>S,2( Axe 3/ FileI,E)</t>
  </si>
  <si>
    <t>S,2( Axe 4/ FileI,E)</t>
  </si>
  <si>
    <t>S,5( Axe 8,D / FileI,E)</t>
  </si>
  <si>
    <t>SF1( Axe 1,E / FileI,E ET JE)</t>
  </si>
  <si>
    <t>SD,7( Axe 1,E / File JE ET AD)</t>
  </si>
  <si>
    <t>S1( Axe 1 / File JE)</t>
  </si>
  <si>
    <t>SD,7( Axe 3/ File JE ET AD)</t>
  </si>
  <si>
    <t>S2( Axe 4/ File JE)</t>
  </si>
  <si>
    <t>SF3( Axe 3,4/ File JE)</t>
  </si>
  <si>
    <t>SD,15( Axe 6 ,E/ File JE ET BD)</t>
  </si>
  <si>
    <t>SD,5( Axe 8 ,D/ File JE ET AD)</t>
  </si>
  <si>
    <t>S1( Axe 1 / File AD)</t>
  </si>
  <si>
    <t>S5( Axe 3/ File J,E ET AD)</t>
  </si>
  <si>
    <t>S9( Axe 1,E/ File B,D)</t>
  </si>
  <si>
    <t>S3( Axe 1/ File B,D)</t>
  </si>
  <si>
    <t>R1( Axe 1,2/ File  AD ET B,D)</t>
  </si>
  <si>
    <t>S9( Axe 8,D/ File C,D)</t>
  </si>
  <si>
    <t>S9( Axe 5,D/ File C,D)</t>
  </si>
  <si>
    <t>SD,7( Axe 1,E/ File E,D)</t>
  </si>
  <si>
    <t>S4 ( Axe 5,D/ File E,D)</t>
  </si>
  <si>
    <t>SD,6( Axe 6,D ET 7,D/ File E,D)</t>
  </si>
  <si>
    <t>S4 ( Axe 8,D/ File E,D)</t>
  </si>
  <si>
    <t>Totale de Fouilles en tranchées ou en puits dans tout terrain y compris rocher</t>
  </si>
  <si>
    <t>S5( Axe 24C/ FileB,C)</t>
  </si>
  <si>
    <t>V1/SF1( Axe 8/ File D,D)</t>
  </si>
  <si>
    <t>V1/SF1( Axe 4/ File D,D)</t>
  </si>
  <si>
    <t>S1( Axe 4/ File D,D)</t>
  </si>
  <si>
    <t>Décapage ,nettoyage désherbages</t>
  </si>
  <si>
    <t>ATTACHEMENT CUMULATIF N° :   03</t>
  </si>
  <si>
    <t>REFECTOIRE</t>
  </si>
  <si>
    <t>S1 ( Axe 6F / File AF )</t>
  </si>
  <si>
    <t>S1 ( Axe 8F / File AF )</t>
  </si>
  <si>
    <t>S3 ( Axe 11F / File AF )</t>
  </si>
  <si>
    <t>S2 ( Axe 12F / File AF )</t>
  </si>
  <si>
    <t>S1 ( Axe 6F / File BF )</t>
  </si>
  <si>
    <t>S2 ( Axe 8F / File CF )</t>
  </si>
  <si>
    <t>S2 ( Axe 11F / File CF )</t>
  </si>
  <si>
    <t>S1 ( Axe 12F / File CF )</t>
  </si>
  <si>
    <t>S1 ( Axe 6F / File DF )</t>
  </si>
  <si>
    <t>S2 ( Axe 3'F / File EF )</t>
  </si>
  <si>
    <t>S2 ( Axe 5'F / File EF )</t>
  </si>
  <si>
    <t>S2 ( Axe 6'F / File EF )</t>
  </si>
  <si>
    <t>S3 ( Axe 8F / File EF )</t>
  </si>
  <si>
    <t>S3 ( Axe 11F / File EF )</t>
  </si>
  <si>
    <t>S1 ( Axe 12F / File EF )</t>
  </si>
  <si>
    <t>S4 ( Axe 1F / File FF )</t>
  </si>
  <si>
    <t>S4 ( Axe 3F / File FF )</t>
  </si>
  <si>
    <t>S2 ( Axe 5'F / File FF )</t>
  </si>
  <si>
    <t>S4 ( Axe 7F / File FF )</t>
  </si>
  <si>
    <t>S3 ( Axe 11'F / File FF )</t>
  </si>
  <si>
    <t>S1 ( Axe 12F / File FF )</t>
  </si>
  <si>
    <t>S5 ( Axe 1F / File GF )</t>
  </si>
  <si>
    <t>S3 ( Axe 3F / File GF )</t>
  </si>
  <si>
    <t>S3 ( Axe 5F / File GF )</t>
  </si>
  <si>
    <t>S3 ( Axe 7F / File GF )</t>
  </si>
  <si>
    <t>S2 ( Axe 9F / File GF )</t>
  </si>
  <si>
    <t>S2 ( Axe 10F / File GF )</t>
  </si>
  <si>
    <t>S2 ( Axe 12F / File GF )</t>
  </si>
  <si>
    <t>S3 ( Axe 1F / File HF )</t>
  </si>
  <si>
    <t>S4 ( Axe 3F / File HF )</t>
  </si>
  <si>
    <t>S3 ( Axe 5F / File HF )</t>
  </si>
  <si>
    <t>S2 ( Axe 7F / File HF )</t>
  </si>
  <si>
    <t>S3 ( Axe 9F / File HF )</t>
  </si>
  <si>
    <t>S3 ( Axe 10F / File HF )</t>
  </si>
  <si>
    <t>S3 ( Axe 12F / File HF )</t>
  </si>
  <si>
    <t>SF2 ( Axe 1F - 3F / File HF )</t>
  </si>
  <si>
    <t>SF2 ( Axe 3F - 5F / File HF )</t>
  </si>
  <si>
    <t>SF2 ( Axe 5F - 7F / File HF )</t>
  </si>
  <si>
    <t>SF2 ( Axe 7F - 9F / File HF )</t>
  </si>
  <si>
    <t>SF2 ( Axe 9F - 10F / File HF )</t>
  </si>
  <si>
    <t>SF2 ( Axe 10F - 12F / File HF )</t>
  </si>
  <si>
    <t>INTERNAT</t>
  </si>
  <si>
    <t>S6 ( Axe 1B / File AB )</t>
  </si>
  <si>
    <t>S2 ( Axe 3B / File AB )</t>
  </si>
  <si>
    <t>S5 ( Axe 5B / File AB )</t>
  </si>
  <si>
    <t>S1 ( Axe 7B / File AB )</t>
  </si>
  <si>
    <t>S3 ( Axe 9B / File AB )</t>
  </si>
  <si>
    <t>S3 ( Axe 11B / File AB )</t>
  </si>
  <si>
    <t>S3 ( Axe 13B / File AB )</t>
  </si>
  <si>
    <t>S4 ( Axe 15B / File AB )</t>
  </si>
  <si>
    <t>S4 ( Axe 17B / File AB )</t>
  </si>
  <si>
    <t>S3 ( Axe 19B / File AB )</t>
  </si>
  <si>
    <t>radier  ( Axe 21B - 22 B / File AB )</t>
  </si>
  <si>
    <t>S3 ( Axe 1B / File BB )</t>
  </si>
  <si>
    <t>S4 ( Axe 5B / File BB )</t>
  </si>
  <si>
    <t>S2 ( Axe 7B / File BB )</t>
  </si>
  <si>
    <t>SF1 ( Axe 7B / File B'B - C'B )</t>
  </si>
  <si>
    <t>S7 ( Axe 9B / File B'B  )</t>
  </si>
  <si>
    <t>S6 ( Axe 12B / File B'B  )</t>
  </si>
  <si>
    <t>S6 ( Axe 14B / File B'B  )</t>
  </si>
  <si>
    <t>S6 ( Axe 16B / File B'B  )</t>
  </si>
  <si>
    <t>S6 ( Axe 18B / File B'B  )</t>
  </si>
  <si>
    <t>S6 ( Axe 20B / File B'B  )</t>
  </si>
  <si>
    <t>S2 ( Axe 22B / File B'B  )</t>
  </si>
  <si>
    <t>S3 ( Axe 1B / File CB  )</t>
  </si>
  <si>
    <t>S2 ( Axe 3B / File CB  )</t>
  </si>
  <si>
    <t>S1 ( Axe 5B / File CB  )</t>
  </si>
  <si>
    <t>S5 ( Axe 6B / File C"B  )</t>
  </si>
  <si>
    <t>S1 ( Axe 7B / File C"B  )</t>
  </si>
  <si>
    <t>S1 ( Axe 8B / File C'B  )</t>
  </si>
  <si>
    <t>S1 ( Axe 10B / File C'B  )</t>
  </si>
  <si>
    <t>S2 ( Axe 12B / File C'B  )</t>
  </si>
  <si>
    <t>S3 ( Axe 14B / File C'B  )</t>
  </si>
  <si>
    <t>S3 ( Axe 16B / File C'B  )</t>
  </si>
  <si>
    <t>S3 ( Axe 18B / File C'B  )</t>
  </si>
  <si>
    <t>S3 ( Axe 20B / File C'B  )</t>
  </si>
  <si>
    <t>S1 ( Axe 22B / File C'B  )</t>
  </si>
  <si>
    <t>S1 ( Axe 3B / File DB  )</t>
  </si>
  <si>
    <t>SF1 ( Axe 3B - 6B / File D'B )</t>
  </si>
  <si>
    <t>S1 ( Axe 1B / File EB  )</t>
  </si>
  <si>
    <t>S1 ( Axe 6B / File EB  )</t>
  </si>
  <si>
    <t>S3 ( Axe 1B / File FB  )</t>
  </si>
  <si>
    <t>S7 ( Axe 4B / File FB  )</t>
  </si>
  <si>
    <t>S1 ( Axe 6B / File GB  )</t>
  </si>
  <si>
    <t>S3 ( Axe 1B / File HB  )</t>
  </si>
  <si>
    <t>S6 ( Axe 4B / File IB  )</t>
  </si>
  <si>
    <t>S2 ( Axe 6B / File IB  )</t>
  </si>
  <si>
    <t>S3 ( Axe 1B / File JB  )</t>
  </si>
  <si>
    <t>S6 ( Axe 4B / File KB  )</t>
  </si>
  <si>
    <t>S3 ( Axe 6B / File KB  )</t>
  </si>
  <si>
    <t>S4 ( Axe 1B / File LB  )</t>
  </si>
  <si>
    <t>S6 ( Axe 4B / File MB  )</t>
  </si>
  <si>
    <t>S3 ( Axe 6B / File MB  )</t>
  </si>
  <si>
    <t>S4 ( Axe 1B / File NB  )</t>
  </si>
  <si>
    <t>S6 ( Axe 4B / File OB  )</t>
  </si>
  <si>
    <t>S3 ( Axe 6B / File OB  )</t>
  </si>
  <si>
    <t>S3 ( Axe 1B / File PB  )</t>
  </si>
  <si>
    <t>S6 ( Axe 4B / File QB  )</t>
  </si>
  <si>
    <t>S3 ( Axe 6B / File QB  )</t>
  </si>
  <si>
    <t>radier  ( Axe 1B - 2 B / File RB - SB )</t>
  </si>
  <si>
    <t>S2 ( Axe 4B / File SB  )</t>
  </si>
  <si>
    <t>S1 ( Axe 6B / File SB  )</t>
  </si>
  <si>
    <t>SF2 ( Axe 4B - 6B / File SB )</t>
  </si>
  <si>
    <t xml:space="preserve">detail </t>
  </si>
  <si>
    <t xml:space="preserve">precedent </t>
  </si>
  <si>
    <t>DATE:24/09/2022</t>
  </si>
  <si>
    <t>pt</t>
  </si>
  <si>
    <t>pu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</si>
</sst>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"/>
    <numFmt numFmtId="165" formatCode="_-* #,##0.00\ _F_-;\-* #,##0.00\ _F_-;_-* &quot;-&quot;??\ _F_-;_-@_-"/>
    <numFmt numFmtId="166" formatCode="00"/>
    <numFmt numFmtId="167" formatCode="_-* #,##0.00_-;_-* #,##0.00\-;_-* &quot;-&quot;??_-;_-@_-"/>
    <numFmt numFmtId="168" formatCode="_-* #,##0\ _F_-;\-* #,##0\ _F_-;_-* &quot;-&quot;??\ _F_-;_-@_-"/>
    <numFmt numFmtId="169" formatCode="0.0"/>
  </numFmts>
  <fonts count="13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i/>
      <sz val="10"/>
      <name val="Palatino Linotype"/>
      <family val="1"/>
    </font>
    <font>
      <b/>
      <i/>
      <u/>
      <sz val="11"/>
      <name val="Palatino Linotype"/>
      <family val="1"/>
    </font>
    <font>
      <b/>
      <i/>
      <u/>
      <sz val="10"/>
      <name val="Palatino Linotype"/>
      <family val="1"/>
    </font>
    <font>
      <b/>
      <i/>
      <sz val="10"/>
      <name val="Palatino Linotype"/>
      <family val="1"/>
    </font>
    <font>
      <b/>
      <i/>
      <sz val="9"/>
      <name val="Palatino Linotype"/>
      <family val="1"/>
    </font>
    <font>
      <i/>
      <sz val="10"/>
      <name val="Times New Roman"/>
      <family val="1"/>
    </font>
    <font>
      <i/>
      <sz val="11"/>
      <name val="Palatino Linotype"/>
      <family val="1"/>
    </font>
    <font>
      <b/>
      <i/>
      <sz val="11"/>
      <name val="Palatino Linotype"/>
      <family val="1"/>
    </font>
    <font>
      <sz val="10"/>
      <name val="MS Sans Serif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4"/>
      <name val="Times New Roman"/>
      <family val="1"/>
    </font>
    <font>
      <b/>
      <u/>
      <sz val="14"/>
      <name val="Arial"/>
      <family val="2"/>
    </font>
    <font>
      <sz val="14"/>
      <name val="Arial"/>
      <family val="2"/>
    </font>
    <font>
      <b/>
      <i/>
      <sz val="14"/>
      <name val="Arial"/>
      <family val="2"/>
    </font>
    <font>
      <sz val="14"/>
      <name val="Calibri"/>
      <family val="2"/>
    </font>
    <font>
      <b/>
      <sz val="14"/>
      <color theme="1"/>
      <name val="Arial"/>
      <family val="2"/>
    </font>
    <font>
      <i/>
      <sz val="9"/>
      <name val="Palatino Linotype"/>
      <family val="1"/>
    </font>
    <font>
      <sz val="11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9"/>
      <name val="Arial"/>
      <family val="2"/>
    </font>
    <font>
      <b/>
      <i/>
      <u/>
      <sz val="14"/>
      <name val="Arial"/>
      <family val="2"/>
    </font>
    <font>
      <b/>
      <u/>
      <sz val="12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178"/>
    </font>
    <font>
      <b/>
      <i/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name val="Calibri"/>
      <family val="2"/>
      <scheme val="minor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9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  <font>
      <b/>
      <sz val="10"/>
      <color rgb="FF00B050"/>
      <name val="Arial"/>
      <family val="2"/>
    </font>
    <font>
      <b/>
      <u/>
      <sz val="10"/>
      <name val="Arial"/>
      <family val="2"/>
    </font>
    <font>
      <sz val="12"/>
      <name val="Calibri"/>
      <family val="2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name val="Calibri"/>
      <family val="2"/>
      <scheme val="minor"/>
    </font>
    <font>
      <b/>
      <sz val="12"/>
      <name val="Comic Sans MS"/>
      <family val="4"/>
    </font>
    <font>
      <sz val="11.9"/>
      <name val="Arial"/>
      <family val="2"/>
    </font>
    <font>
      <u/>
      <sz val="14"/>
      <name val="Arial"/>
      <family val="2"/>
    </font>
    <font>
      <u/>
      <sz val="14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u/>
      <sz val="12"/>
      <name val="Times New Roman"/>
      <family val="1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indexed="8"/>
      <name val="Palatino Linotype"/>
      <family val="1"/>
    </font>
    <font>
      <b/>
      <sz val="14"/>
      <color theme="1"/>
      <name val="Palatino Linotype"/>
      <family val="1"/>
    </font>
    <font>
      <b/>
      <u/>
      <sz val="12"/>
      <name val="Times New Roman"/>
      <family val="1"/>
    </font>
    <font>
      <b/>
      <i/>
      <u/>
      <sz val="12"/>
      <name val="Palatino Linotype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name val="Times New Roman"/>
      <family val="1"/>
    </font>
    <font>
      <b/>
      <sz val="10"/>
      <name val="Swis721 LtCn BT"/>
      <family val="2"/>
    </font>
    <font>
      <sz val="12"/>
      <name val="Swis721 LtCn BT"/>
      <family val="2"/>
    </font>
    <font>
      <b/>
      <sz val="12"/>
      <name val="Swis721 LtCn BT"/>
      <family val="2"/>
    </font>
    <font>
      <b/>
      <sz val="20"/>
      <name val="Times New Roman"/>
      <family val="1"/>
    </font>
    <font>
      <b/>
      <i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name val="Calibri"/>
      <family val="2"/>
    </font>
    <font>
      <b/>
      <i/>
      <u/>
      <sz val="10.199999999999999"/>
      <name val="Calibri"/>
      <family val="2"/>
    </font>
    <font>
      <b/>
      <i/>
      <u/>
      <sz val="11"/>
      <color rgb="FFFF0000"/>
      <name val="Palatino Linotype"/>
      <family val="1"/>
    </font>
    <font>
      <b/>
      <i/>
      <sz val="11"/>
      <color rgb="FF0070C0"/>
      <name val="Palatino Linotype"/>
      <family val="1"/>
    </font>
    <font>
      <b/>
      <i/>
      <sz val="12"/>
      <name val="Palatino Linotype"/>
      <family val="1"/>
    </font>
    <font>
      <sz val="8"/>
      <name val="Calibri"/>
      <family val="2"/>
      <scheme val="minor"/>
    </font>
    <font>
      <b/>
      <i/>
      <u/>
      <sz val="12"/>
      <color rgb="FF0070C0"/>
      <name val="Palatino Linotype"/>
      <family val="1"/>
    </font>
    <font>
      <i/>
      <sz val="12"/>
      <name val="Times New Roman"/>
      <family val="1"/>
    </font>
    <font>
      <b/>
      <i/>
      <sz val="12"/>
      <color rgb="FFFF0000"/>
      <name val="Times New Roman"/>
      <family val="1"/>
    </font>
    <font>
      <i/>
      <sz val="12"/>
      <name val="Swis721 LtCn BT"/>
      <family val="2"/>
    </font>
    <font>
      <b/>
      <i/>
      <sz val="14"/>
      <color theme="1"/>
      <name val="Arial"/>
      <family val="2"/>
    </font>
    <font>
      <i/>
      <sz val="14"/>
      <color theme="1"/>
      <name val="Bahnschrift SemiBold"/>
      <family val="2"/>
    </font>
    <font>
      <b/>
      <i/>
      <sz val="14"/>
      <color theme="1"/>
      <name val="Bahnschrift SemiBold"/>
      <family val="2"/>
    </font>
    <font>
      <i/>
      <u/>
      <sz val="11"/>
      <color rgb="FFFF0000"/>
      <name val="Palatino Linotype"/>
      <family val="1"/>
    </font>
    <font>
      <b/>
      <i/>
      <sz val="11"/>
      <name val="Swis721 LtCn BT"/>
      <family val="2"/>
    </font>
    <font>
      <b/>
      <i/>
      <sz val="12"/>
      <name val="Swis721 LtCn BT"/>
      <family val="2"/>
    </font>
    <font>
      <u/>
      <sz val="12"/>
      <name val="Times New Roman"/>
      <family val="1"/>
    </font>
    <font>
      <b/>
      <i/>
      <sz val="12"/>
      <color theme="1"/>
      <name val="Arial"/>
      <family val="2"/>
    </font>
    <font>
      <i/>
      <sz val="11"/>
      <name val="Swis721 LtCn BT"/>
      <family val="2"/>
    </font>
    <font>
      <i/>
      <u/>
      <sz val="12"/>
      <name val="Times New Roman"/>
      <family val="1"/>
    </font>
    <font>
      <b/>
      <i/>
      <u/>
      <sz val="14"/>
      <color rgb="FFFF0000"/>
      <name val="Arial"/>
      <family val="2"/>
    </font>
    <font>
      <i/>
      <u/>
      <sz val="9"/>
      <name val="Palatino Linotype"/>
      <family val="1"/>
    </font>
    <font>
      <sz val="9"/>
      <name val="Calibri"/>
      <family val="2"/>
      <scheme val="minor"/>
    </font>
    <font>
      <b/>
      <u/>
      <sz val="12"/>
      <name val="Swis721 LtCn BT"/>
      <family val="2"/>
    </font>
    <font>
      <b/>
      <u/>
      <sz val="11"/>
      <name val="Times New Roman"/>
      <family val="1"/>
    </font>
    <font>
      <b/>
      <sz val="11"/>
      <name val="Swis721 LtCn BT"/>
      <family val="2"/>
    </font>
    <font>
      <b/>
      <i/>
      <sz val="11"/>
      <color rgb="FFFF0000"/>
      <name val="Palatino Linotype"/>
      <family val="1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Andalus"/>
      <family val="1"/>
    </font>
    <font>
      <i/>
      <sz val="12"/>
      <color theme="1"/>
      <name val="Cambria"/>
      <family val="1"/>
      <scheme val="major"/>
    </font>
    <font>
      <i/>
      <sz val="10"/>
      <color rgb="FFFF0000"/>
      <name val="Palatino Linotype"/>
      <family val="1"/>
    </font>
    <font>
      <i/>
      <sz val="11"/>
      <color rgb="FFFF0000"/>
      <name val="Palatino Linotype"/>
      <family val="1"/>
    </font>
    <font>
      <b/>
      <i/>
      <sz val="14"/>
      <color rgb="FFFF0000"/>
      <name val="Palatino Linotype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9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1" fillId="21" borderId="3" applyNumberFormat="0" applyFont="0" applyAlignment="0" applyProtection="0"/>
    <xf numFmtId="0" fontId="7" fillId="7" borderId="1" applyNumberFormat="0" applyAlignment="0" applyProtection="0"/>
    <xf numFmtId="44" fontId="1" fillId="0" borderId="0" applyFont="0" applyFill="0" applyBorder="0" applyAlignment="0" applyProtection="0"/>
    <xf numFmtId="0" fontId="8" fillId="3" borderId="0" applyNumberFormat="0" applyBorder="0" applyAlignment="0" applyProtection="0"/>
    <xf numFmtId="43" fontId="1" fillId="0" borderId="0" applyFont="0" applyFill="0" applyBorder="0" applyAlignment="0" applyProtection="0"/>
    <xf numFmtId="0" fontId="9" fillId="22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23" borderId="9" applyNumberFormat="0" applyAlignment="0" applyProtection="0"/>
    <xf numFmtId="0" fontId="27" fillId="0" borderId="0"/>
    <xf numFmtId="43" fontId="29" fillId="0" borderId="0" applyFont="0" applyFill="0" applyBorder="0" applyAlignment="0" applyProtection="0"/>
    <xf numFmtId="0" fontId="53" fillId="0" borderId="0"/>
    <xf numFmtId="167" fontId="53" fillId="0" borderId="0" applyFont="0" applyFill="0" applyBorder="0" applyAlignment="0" applyProtection="0"/>
    <xf numFmtId="9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86" fillId="0" borderId="0"/>
    <xf numFmtId="165" fontId="1" fillId="0" borderId="0" applyFont="0" applyFill="0" applyBorder="0" applyAlignment="0" applyProtection="0"/>
    <xf numFmtId="0" fontId="92" fillId="0" borderId="0"/>
    <xf numFmtId="43" fontId="92" fillId="0" borderId="0" applyFont="0" applyFill="0" applyBorder="0" applyAlignment="0" applyProtection="0"/>
    <xf numFmtId="0" fontId="92" fillId="0" borderId="0"/>
    <xf numFmtId="0" fontId="29" fillId="0" borderId="0"/>
    <xf numFmtId="0" fontId="29" fillId="0" borderId="0"/>
    <xf numFmtId="0" fontId="1" fillId="0" borderId="0"/>
  </cellStyleXfs>
  <cellXfs count="673">
    <xf numFmtId="0" fontId="0" fillId="0" borderId="0" xfId="0"/>
    <xf numFmtId="0" fontId="1" fillId="0" borderId="0" xfId="0" applyFont="1"/>
    <xf numFmtId="0" fontId="28" fillId="0" borderId="0" xfId="0" applyFont="1" applyAlignment="1">
      <alignment horizontal="center"/>
    </xf>
    <xf numFmtId="0" fontId="31" fillId="0" borderId="0" xfId="0" applyFont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8" fillId="0" borderId="0" xfId="0" applyFont="1" applyAlignment="1">
      <alignment horizontal="left"/>
    </xf>
    <xf numFmtId="0" fontId="33" fillId="0" borderId="46" xfId="0" applyFont="1" applyBorder="1" applyAlignment="1">
      <alignment horizontal="center" vertical="center"/>
    </xf>
    <xf numFmtId="165" fontId="33" fillId="0" borderId="12" xfId="46" applyNumberFormat="1" applyFont="1" applyBorder="1" applyAlignment="1">
      <alignment horizontal="right"/>
    </xf>
    <xf numFmtId="165" fontId="33" fillId="0" borderId="45" xfId="46" applyNumberFormat="1" applyFont="1" applyBorder="1" applyAlignment="1">
      <alignment horizontal="right"/>
    </xf>
    <xf numFmtId="0" fontId="33" fillId="0" borderId="43" xfId="0" applyFont="1" applyBorder="1"/>
    <xf numFmtId="0" fontId="35" fillId="0" borderId="13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center"/>
    </xf>
    <xf numFmtId="165" fontId="33" fillId="0" borderId="13" xfId="46" applyNumberFormat="1" applyFont="1" applyBorder="1" applyAlignment="1">
      <alignment horizontal="right"/>
    </xf>
    <xf numFmtId="165" fontId="33" fillId="0" borderId="44" xfId="46" applyNumberFormat="1" applyFont="1" applyBorder="1" applyAlignment="1">
      <alignment horizontal="right"/>
    </xf>
    <xf numFmtId="0" fontId="33" fillId="0" borderId="43" xfId="0" applyFont="1" applyBorder="1" applyAlignment="1">
      <alignment horizontal="center" vertical="center"/>
    </xf>
    <xf numFmtId="0" fontId="36" fillId="0" borderId="13" xfId="0" applyFont="1" applyBorder="1" applyAlignment="1">
      <alignment vertical="center" wrapText="1"/>
    </xf>
    <xf numFmtId="165" fontId="33" fillId="26" borderId="37" xfId="46" applyNumberFormat="1" applyFont="1" applyFill="1" applyBorder="1" applyAlignment="1">
      <alignment horizontal="right" vertical="center"/>
    </xf>
    <xf numFmtId="0" fontId="36" fillId="0" borderId="12" xfId="0" applyFont="1" applyBorder="1" applyAlignment="1">
      <alignment horizontal="center"/>
    </xf>
    <xf numFmtId="165" fontId="33" fillId="0" borderId="18" xfId="46" applyNumberFormat="1" applyFont="1" applyBorder="1" applyAlignment="1">
      <alignment horizontal="right"/>
    </xf>
    <xf numFmtId="0" fontId="33" fillId="0" borderId="43" xfId="0" applyFont="1" applyBorder="1" applyAlignment="1">
      <alignment horizontal="center"/>
    </xf>
    <xf numFmtId="165" fontId="33" fillId="0" borderId="45" xfId="46" applyNumberFormat="1" applyFont="1" applyBorder="1" applyAlignment="1">
      <alignment horizontal="center"/>
    </xf>
    <xf numFmtId="166" fontId="36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6" fillId="0" borderId="13" xfId="0" applyFont="1" applyBorder="1" applyAlignment="1">
      <alignment horizontal="center" vertical="center"/>
    </xf>
    <xf numFmtId="165" fontId="33" fillId="0" borderId="13" xfId="46" applyNumberFormat="1" applyFont="1" applyBorder="1" applyAlignment="1">
      <alignment horizontal="right" vertical="center"/>
    </xf>
    <xf numFmtId="165" fontId="33" fillId="0" borderId="44" xfId="46" applyNumberFormat="1" applyFont="1" applyBorder="1" applyAlignment="1">
      <alignment horizontal="right" vertical="center"/>
    </xf>
    <xf numFmtId="165" fontId="33" fillId="0" borderId="0" xfId="46" applyNumberFormat="1" applyFont="1" applyAlignment="1">
      <alignment horizontal="right" vertical="center"/>
    </xf>
    <xf numFmtId="0" fontId="43" fillId="0" borderId="12" xfId="0" applyFont="1" applyBorder="1" applyAlignment="1">
      <alignment horizontal="center"/>
    </xf>
    <xf numFmtId="165" fontId="28" fillId="0" borderId="12" xfId="46" applyNumberFormat="1" applyFont="1" applyBorder="1" applyAlignment="1">
      <alignment horizontal="center"/>
    </xf>
    <xf numFmtId="165" fontId="28" fillId="0" borderId="12" xfId="46" applyNumberFormat="1" applyFont="1" applyBorder="1" applyAlignment="1">
      <alignment horizontal="right"/>
    </xf>
    <xf numFmtId="0" fontId="34" fillId="0" borderId="51" xfId="0" applyFont="1" applyBorder="1" applyAlignment="1">
      <alignment horizontal="center"/>
    </xf>
    <xf numFmtId="0" fontId="34" fillId="0" borderId="52" xfId="0" applyFont="1" applyBorder="1" applyAlignment="1">
      <alignment horizontal="center"/>
    </xf>
    <xf numFmtId="165" fontId="33" fillId="0" borderId="45" xfId="46" applyNumberFormat="1" applyFont="1" applyBorder="1" applyAlignment="1">
      <alignment horizontal="right" vertical="center"/>
    </xf>
    <xf numFmtId="165" fontId="44" fillId="0" borderId="0" xfId="0" applyNumberFormat="1" applyFont="1" applyAlignment="1">
      <alignment vertical="center"/>
    </xf>
    <xf numFmtId="0" fontId="28" fillId="0" borderId="43" xfId="0" applyFont="1" applyBorder="1" applyAlignment="1">
      <alignment horizontal="center"/>
    </xf>
    <xf numFmtId="165" fontId="28" fillId="0" borderId="45" xfId="46" applyNumberFormat="1" applyFont="1" applyBorder="1" applyAlignment="1">
      <alignment horizontal="center"/>
    </xf>
    <xf numFmtId="0" fontId="19" fillId="0" borderId="36" xfId="33" applyNumberFormat="1" applyFont="1" applyBorder="1" applyAlignment="1">
      <alignment horizontal="center"/>
    </xf>
    <xf numFmtId="165" fontId="33" fillId="0" borderId="37" xfId="46" applyNumberFormat="1" applyFont="1" applyBorder="1" applyAlignment="1">
      <alignment horizontal="center" vertical="center"/>
    </xf>
    <xf numFmtId="0" fontId="43" fillId="0" borderId="13" xfId="0" applyFont="1" applyBorder="1" applyAlignment="1">
      <alignment horizontal="center"/>
    </xf>
    <xf numFmtId="165" fontId="28" fillId="0" borderId="13" xfId="46" applyNumberFormat="1" applyFont="1" applyBorder="1" applyAlignment="1">
      <alignment horizontal="right"/>
    </xf>
    <xf numFmtId="165" fontId="28" fillId="0" borderId="44" xfId="46" applyNumberFormat="1" applyFont="1" applyBorder="1" applyAlignment="1">
      <alignment horizontal="right"/>
    </xf>
    <xf numFmtId="0" fontId="48" fillId="0" borderId="43" xfId="0" applyFont="1" applyBorder="1"/>
    <xf numFmtId="0" fontId="50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/>
    <xf numFmtId="0" fontId="28" fillId="0" borderId="23" xfId="0" applyFont="1" applyBorder="1" applyAlignment="1">
      <alignment horizontal="center"/>
    </xf>
    <xf numFmtId="0" fontId="28" fillId="0" borderId="37" xfId="0" applyFont="1" applyBorder="1"/>
    <xf numFmtId="0" fontId="0" fillId="0" borderId="38" xfId="0" applyBorder="1"/>
    <xf numFmtId="0" fontId="0" fillId="0" borderId="37" xfId="0" applyBorder="1" applyAlignment="1">
      <alignment horizontal="center"/>
    </xf>
    <xf numFmtId="0" fontId="0" fillId="0" borderId="37" xfId="0" applyBorder="1"/>
    <xf numFmtId="4" fontId="45" fillId="0" borderId="37" xfId="0" applyNumberFormat="1" applyFont="1" applyBorder="1" applyAlignment="1">
      <alignment horizontal="center"/>
    </xf>
    <xf numFmtId="4" fontId="32" fillId="0" borderId="37" xfId="0" applyNumberFormat="1" applyFont="1" applyBorder="1" applyAlignment="1">
      <alignment horizontal="center"/>
    </xf>
    <xf numFmtId="4" fontId="32" fillId="0" borderId="37" xfId="0" quotePrefix="1" applyNumberFormat="1" applyFont="1" applyBorder="1" applyAlignment="1">
      <alignment horizontal="center"/>
    </xf>
    <xf numFmtId="0" fontId="28" fillId="0" borderId="24" xfId="0" applyFont="1" applyBorder="1" applyAlignment="1">
      <alignment horizontal="center"/>
    </xf>
    <xf numFmtId="4" fontId="32" fillId="0" borderId="24" xfId="0" applyNumberFormat="1" applyFont="1" applyBorder="1" applyAlignment="1">
      <alignment horizontal="center"/>
    </xf>
    <xf numFmtId="0" fontId="0" fillId="0" borderId="24" xfId="0" applyBorder="1"/>
    <xf numFmtId="0" fontId="28" fillId="0" borderId="34" xfId="0" applyFont="1" applyBorder="1"/>
    <xf numFmtId="0" fontId="28" fillId="0" borderId="38" xfId="0" applyFont="1" applyBorder="1"/>
    <xf numFmtId="4" fontId="51" fillId="0" borderId="37" xfId="0" applyNumberFormat="1" applyFont="1" applyBorder="1" applyAlignment="1">
      <alignment horizontal="center"/>
    </xf>
    <xf numFmtId="0" fontId="32" fillId="0" borderId="0" xfId="0" applyFont="1"/>
    <xf numFmtId="0" fontId="46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36" fillId="0" borderId="12" xfId="0" applyFont="1" applyBorder="1" applyAlignment="1">
      <alignment vertical="center" wrapText="1"/>
    </xf>
    <xf numFmtId="0" fontId="33" fillId="0" borderId="47" xfId="0" applyFont="1" applyBorder="1" applyAlignment="1">
      <alignment horizontal="center" vertical="center"/>
    </xf>
    <xf numFmtId="0" fontId="36" fillId="0" borderId="48" xfId="0" applyFont="1" applyBorder="1" applyAlignment="1">
      <alignment vertical="center" wrapText="1"/>
    </xf>
    <xf numFmtId="165" fontId="33" fillId="26" borderId="35" xfId="46" applyNumberFormat="1" applyFont="1" applyFill="1" applyBorder="1" applyAlignment="1">
      <alignment horizontal="right" vertical="center"/>
    </xf>
    <xf numFmtId="0" fontId="33" fillId="0" borderId="33" xfId="0" applyFont="1" applyBorder="1" applyAlignment="1">
      <alignment horizontal="center" vertical="center"/>
    </xf>
    <xf numFmtId="0" fontId="36" fillId="0" borderId="14" xfId="0" applyFont="1" applyBorder="1" applyAlignment="1">
      <alignment vertical="center" wrapText="1"/>
    </xf>
    <xf numFmtId="0" fontId="36" fillId="0" borderId="14" xfId="0" applyFont="1" applyBorder="1" applyAlignment="1">
      <alignment horizontal="center"/>
    </xf>
    <xf numFmtId="165" fontId="33" fillId="0" borderId="14" xfId="46" applyNumberFormat="1" applyFont="1" applyBorder="1" applyAlignment="1">
      <alignment horizontal="right"/>
    </xf>
    <xf numFmtId="0" fontId="36" fillId="0" borderId="14" xfId="0" applyFont="1" applyBorder="1" applyAlignment="1">
      <alignment horizontal="center" vertical="center"/>
    </xf>
    <xf numFmtId="165" fontId="33" fillId="0" borderId="14" xfId="46" applyNumberFormat="1" applyFont="1" applyBorder="1" applyAlignment="1">
      <alignment horizontal="right" vertical="center"/>
    </xf>
    <xf numFmtId="0" fontId="33" fillId="0" borderId="54" xfId="0" applyFont="1" applyBorder="1" applyAlignment="1">
      <alignment horizontal="center" vertical="center"/>
    </xf>
    <xf numFmtId="0" fontId="36" fillId="0" borderId="51" xfId="0" applyFont="1" applyBorder="1" applyAlignment="1">
      <alignment vertical="center" wrapText="1"/>
    </xf>
    <xf numFmtId="0" fontId="36" fillId="0" borderId="51" xfId="0" applyFont="1" applyBorder="1" applyAlignment="1">
      <alignment horizontal="center"/>
    </xf>
    <xf numFmtId="165" fontId="33" fillId="0" borderId="51" xfId="46" applyNumberFormat="1" applyFont="1" applyBorder="1" applyAlignment="1">
      <alignment horizontal="right"/>
    </xf>
    <xf numFmtId="165" fontId="33" fillId="0" borderId="42" xfId="46" applyNumberFormat="1" applyFont="1" applyBorder="1" applyAlignment="1">
      <alignment horizontal="right"/>
    </xf>
    <xf numFmtId="0" fontId="33" fillId="0" borderId="33" xfId="0" applyFont="1" applyBorder="1" applyAlignment="1">
      <alignment horizontal="center"/>
    </xf>
    <xf numFmtId="0" fontId="36" fillId="0" borderId="48" xfId="0" applyFont="1" applyBorder="1" applyAlignment="1">
      <alignment horizontal="center"/>
    </xf>
    <xf numFmtId="165" fontId="33" fillId="0" borderId="48" xfId="46" applyNumberFormat="1" applyFont="1" applyBorder="1" applyAlignment="1">
      <alignment horizontal="right"/>
    </xf>
    <xf numFmtId="165" fontId="33" fillId="0" borderId="55" xfId="46" applyNumberFormat="1" applyFont="1" applyBorder="1" applyAlignment="1">
      <alignment horizontal="right"/>
    </xf>
    <xf numFmtId="4" fontId="33" fillId="0" borderId="13" xfId="46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3" fillId="0" borderId="30" xfId="0" applyFont="1" applyBorder="1" applyAlignment="1">
      <alignment horizontal="center" vertical="center"/>
    </xf>
    <xf numFmtId="0" fontId="36" fillId="0" borderId="0" xfId="0" applyFont="1" applyAlignment="1">
      <alignment vertical="center" wrapText="1"/>
    </xf>
    <xf numFmtId="0" fontId="36" fillId="0" borderId="0" xfId="0" applyFont="1" applyAlignment="1">
      <alignment horizontal="center" vertical="center"/>
    </xf>
    <xf numFmtId="165" fontId="33" fillId="0" borderId="31" xfId="46" applyNumberFormat="1" applyFont="1" applyBorder="1" applyAlignment="1">
      <alignment horizontal="right" vertical="center"/>
    </xf>
    <xf numFmtId="0" fontId="36" fillId="0" borderId="51" xfId="0" applyFont="1" applyBorder="1" applyAlignment="1">
      <alignment horizontal="center" vertical="center"/>
    </xf>
    <xf numFmtId="165" fontId="33" fillId="0" borderId="51" xfId="46" applyNumberFormat="1" applyFont="1" applyBorder="1" applyAlignment="1">
      <alignment horizontal="right" vertical="center"/>
    </xf>
    <xf numFmtId="0" fontId="52" fillId="0" borderId="0" xfId="0" applyFont="1"/>
    <xf numFmtId="0" fontId="0" fillId="25" borderId="0" xfId="0" applyFill="1"/>
    <xf numFmtId="2" fontId="19" fillId="0" borderId="36" xfId="1" applyNumberFormat="1" applyFont="1" applyBorder="1" applyAlignment="1">
      <alignment horizontal="center" vertical="center"/>
    </xf>
    <xf numFmtId="2" fontId="19" fillId="0" borderId="36" xfId="1" applyNumberFormat="1" applyFont="1" applyBorder="1" applyAlignment="1">
      <alignment horizontal="center"/>
    </xf>
    <xf numFmtId="0" fontId="25" fillId="0" borderId="36" xfId="1" applyFont="1" applyBorder="1" applyAlignment="1">
      <alignment horizontal="center" vertical="center"/>
    </xf>
    <xf numFmtId="2" fontId="24" fillId="0" borderId="36" xfId="1" applyNumberFormat="1" applyFont="1" applyBorder="1" applyAlignment="1">
      <alignment horizontal="center"/>
    </xf>
    <xf numFmtId="0" fontId="19" fillId="0" borderId="36" xfId="33" applyNumberFormat="1" applyFont="1" applyBorder="1" applyAlignment="1">
      <alignment horizontal="center" vertical="center"/>
    </xf>
    <xf numFmtId="165" fontId="33" fillId="0" borderId="22" xfId="46" applyNumberFormat="1" applyFont="1" applyBorder="1" applyAlignment="1">
      <alignment horizontal="right" vertical="center"/>
    </xf>
    <xf numFmtId="165" fontId="33" fillId="0" borderId="53" xfId="46" applyNumberFormat="1" applyFont="1" applyBorder="1" applyAlignment="1">
      <alignment horizontal="right" vertical="center"/>
    </xf>
    <xf numFmtId="0" fontId="0" fillId="27" borderId="0" xfId="0" applyFill="1"/>
    <xf numFmtId="165" fontId="0" fillId="0" borderId="0" xfId="0" applyNumberFormat="1"/>
    <xf numFmtId="165" fontId="33" fillId="0" borderId="41" xfId="46" applyNumberFormat="1" applyFont="1" applyBorder="1" applyAlignment="1">
      <alignment horizontal="right"/>
    </xf>
    <xf numFmtId="165" fontId="33" fillId="28" borderId="37" xfId="46" applyNumberFormat="1" applyFont="1" applyFill="1" applyBorder="1" applyAlignment="1">
      <alignment horizontal="right" vertical="center"/>
    </xf>
    <xf numFmtId="0" fontId="33" fillId="25" borderId="33" xfId="0" applyFont="1" applyFill="1" applyBorder="1" applyAlignment="1">
      <alignment horizontal="center" vertical="center"/>
    </xf>
    <xf numFmtId="0" fontId="36" fillId="25" borderId="14" xfId="0" applyFont="1" applyFill="1" applyBorder="1" applyAlignment="1">
      <alignment vertical="center" wrapText="1"/>
    </xf>
    <xf numFmtId="0" fontId="36" fillId="25" borderId="14" xfId="0" applyFont="1" applyFill="1" applyBorder="1" applyAlignment="1">
      <alignment horizontal="center" vertical="center"/>
    </xf>
    <xf numFmtId="165" fontId="33" fillId="25" borderId="14" xfId="46" applyNumberFormat="1" applyFont="1" applyFill="1" applyBorder="1" applyAlignment="1">
      <alignment horizontal="right" vertical="center"/>
    </xf>
    <xf numFmtId="165" fontId="33" fillId="25" borderId="44" xfId="46" applyNumberFormat="1" applyFont="1" applyFill="1" applyBorder="1" applyAlignment="1">
      <alignment horizontal="right" vertical="center"/>
    </xf>
    <xf numFmtId="0" fontId="35" fillId="0" borderId="10" xfId="0" applyFont="1" applyBorder="1" applyAlignment="1">
      <alignment vertical="center" wrapText="1"/>
    </xf>
    <xf numFmtId="165" fontId="33" fillId="0" borderId="10" xfId="46" applyNumberFormat="1" applyFont="1" applyBorder="1" applyAlignment="1">
      <alignment horizontal="right" vertical="center"/>
    </xf>
    <xf numFmtId="0" fontId="35" fillId="0" borderId="13" xfId="0" applyFont="1" applyBorder="1" applyAlignment="1">
      <alignment vertical="center" wrapText="1"/>
    </xf>
    <xf numFmtId="0" fontId="36" fillId="0" borderId="12" xfId="0" applyFont="1" applyBorder="1" applyAlignment="1">
      <alignment horizontal="center" vertical="center"/>
    </xf>
    <xf numFmtId="165" fontId="33" fillId="0" borderId="12" xfId="46" applyNumberFormat="1" applyFont="1" applyBorder="1" applyAlignment="1">
      <alignment horizontal="right" vertical="center"/>
    </xf>
    <xf numFmtId="165" fontId="33" fillId="0" borderId="61" xfId="46" applyNumberFormat="1" applyFont="1" applyBorder="1" applyAlignment="1">
      <alignment horizontal="right" vertical="center"/>
    </xf>
    <xf numFmtId="0" fontId="41" fillId="0" borderId="36" xfId="0" applyFont="1" applyBorder="1"/>
    <xf numFmtId="0" fontId="20" fillId="25" borderId="36" xfId="1" applyFont="1" applyFill="1" applyBorder="1" applyAlignment="1">
      <alignment horizontal="left" vertical="center"/>
    </xf>
    <xf numFmtId="0" fontId="56" fillId="25" borderId="36" xfId="0" applyFont="1" applyFill="1" applyBorder="1" applyAlignment="1">
      <alignment horizontal="center" vertical="center"/>
    </xf>
    <xf numFmtId="0" fontId="46" fillId="0" borderId="0" xfId="0" applyFont="1"/>
    <xf numFmtId="0" fontId="28" fillId="0" borderId="0" xfId="0" applyFont="1" applyAlignment="1">
      <alignment horizontal="center" wrapText="1"/>
    </xf>
    <xf numFmtId="0" fontId="30" fillId="0" borderId="0" xfId="0" applyFont="1"/>
    <xf numFmtId="0" fontId="57" fillId="0" borderId="0" xfId="0" applyFont="1"/>
    <xf numFmtId="0" fontId="58" fillId="0" borderId="64" xfId="0" applyFont="1" applyBorder="1" applyAlignment="1">
      <alignment horizontal="center" vertical="center"/>
    </xf>
    <xf numFmtId="0" fontId="58" fillId="0" borderId="63" xfId="0" applyFont="1" applyBorder="1" applyAlignment="1">
      <alignment horizontal="center"/>
    </xf>
    <xf numFmtId="0" fontId="58" fillId="0" borderId="10" xfId="0" applyFont="1" applyBorder="1" applyAlignment="1">
      <alignment horizontal="center" vertical="center"/>
    </xf>
    <xf numFmtId="0" fontId="58" fillId="28" borderId="68" xfId="0" applyFont="1" applyFill="1" applyBorder="1" applyAlignment="1">
      <alignment horizontal="center" vertical="center"/>
    </xf>
    <xf numFmtId="0" fontId="58" fillId="29" borderId="68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43" fillId="0" borderId="13" xfId="0" applyFont="1" applyBorder="1" applyAlignment="1">
      <alignment horizontal="center" vertical="center"/>
    </xf>
    <xf numFmtId="165" fontId="28" fillId="28" borderId="69" xfId="46" applyNumberFormat="1" applyFont="1" applyFill="1" applyBorder="1" applyAlignment="1">
      <alignment horizontal="center" vertical="center"/>
    </xf>
    <xf numFmtId="165" fontId="28" fillId="29" borderId="69" xfId="46" applyNumberFormat="1" applyFont="1" applyFill="1" applyBorder="1" applyAlignment="1">
      <alignment horizontal="center" vertical="center"/>
    </xf>
    <xf numFmtId="0" fontId="43" fillId="0" borderId="14" xfId="0" applyFont="1" applyBorder="1" applyAlignment="1">
      <alignment horizontal="center" vertical="center"/>
    </xf>
    <xf numFmtId="165" fontId="60" fillId="24" borderId="37" xfId="0" applyNumberFormat="1" applyFont="1" applyFill="1" applyBorder="1" applyAlignment="1">
      <alignment vertical="center"/>
    </xf>
    <xf numFmtId="165" fontId="28" fillId="28" borderId="71" xfId="46" applyNumberFormat="1" applyFont="1" applyFill="1" applyBorder="1" applyAlignment="1">
      <alignment horizontal="right"/>
    </xf>
    <xf numFmtId="165" fontId="28" fillId="29" borderId="71" xfId="46" applyNumberFormat="1" applyFont="1" applyFill="1" applyBorder="1" applyAlignment="1">
      <alignment horizontal="right"/>
    </xf>
    <xf numFmtId="165" fontId="28" fillId="28" borderId="69" xfId="46" applyNumberFormat="1" applyFont="1" applyFill="1" applyBorder="1" applyAlignment="1">
      <alignment horizontal="right"/>
    </xf>
    <xf numFmtId="165" fontId="28" fillId="29" borderId="69" xfId="46" applyNumberFormat="1" applyFont="1" applyFill="1" applyBorder="1" applyAlignment="1">
      <alignment horizontal="right"/>
    </xf>
    <xf numFmtId="165" fontId="28" fillId="29" borderId="72" xfId="46" applyNumberFormat="1" applyFont="1" applyFill="1" applyBorder="1" applyAlignment="1">
      <alignment horizontal="center" vertical="center"/>
    </xf>
    <xf numFmtId="165" fontId="28" fillId="26" borderId="37" xfId="46" applyNumberFormat="1" applyFont="1" applyFill="1" applyBorder="1" applyAlignment="1">
      <alignment horizontal="right" vertical="center"/>
    </xf>
    <xf numFmtId="165" fontId="28" fillId="28" borderId="69" xfId="46" applyNumberFormat="1" applyFont="1" applyFill="1" applyBorder="1" applyAlignment="1">
      <alignment horizontal="right" vertical="center"/>
    </xf>
    <xf numFmtId="165" fontId="28" fillId="29" borderId="69" xfId="46" applyNumberFormat="1" applyFont="1" applyFill="1" applyBorder="1" applyAlignment="1">
      <alignment horizontal="right" vertical="center"/>
    </xf>
    <xf numFmtId="165" fontId="28" fillId="28" borderId="71" xfId="46" applyNumberFormat="1" applyFont="1" applyFill="1" applyBorder="1" applyAlignment="1">
      <alignment horizontal="right" vertical="center"/>
    </xf>
    <xf numFmtId="165" fontId="28" fillId="29" borderId="71" xfId="46" applyNumberFormat="1" applyFont="1" applyFill="1" applyBorder="1" applyAlignment="1">
      <alignment horizontal="right" vertical="center"/>
    </xf>
    <xf numFmtId="165" fontId="28" fillId="28" borderId="71" xfId="46" applyNumberFormat="1" applyFont="1" applyFill="1" applyBorder="1" applyAlignment="1">
      <alignment horizontal="center"/>
    </xf>
    <xf numFmtId="165" fontId="28" fillId="29" borderId="71" xfId="46" applyNumberFormat="1" applyFont="1" applyFill="1" applyBorder="1" applyAlignment="1">
      <alignment horizontal="center"/>
    </xf>
    <xf numFmtId="165" fontId="28" fillId="28" borderId="72" xfId="46" applyNumberFormat="1" applyFont="1" applyFill="1" applyBorder="1" applyAlignment="1">
      <alignment horizontal="right" vertical="center"/>
    </xf>
    <xf numFmtId="165" fontId="28" fillId="28" borderId="71" xfId="46" applyNumberFormat="1" applyFont="1" applyFill="1" applyBorder="1" applyAlignment="1">
      <alignment horizontal="center" vertical="center"/>
    </xf>
    <xf numFmtId="165" fontId="28" fillId="29" borderId="71" xfId="46" applyNumberFormat="1" applyFont="1" applyFill="1" applyBorder="1" applyAlignment="1">
      <alignment horizontal="center" vertical="center"/>
    </xf>
    <xf numFmtId="0" fontId="33" fillId="25" borderId="36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65" fontId="60" fillId="24" borderId="23" xfId="0" applyNumberFormat="1" applyFont="1" applyFill="1" applyBorder="1" applyAlignment="1">
      <alignment vertical="center"/>
    </xf>
    <xf numFmtId="0" fontId="28" fillId="0" borderId="36" xfId="0" applyFont="1" applyBorder="1" applyAlignment="1">
      <alignment horizontal="center" vertical="center"/>
    </xf>
    <xf numFmtId="0" fontId="65" fillId="0" borderId="36" xfId="0" applyFont="1" applyBorder="1" applyAlignment="1">
      <alignment vertical="center" wrapText="1"/>
    </xf>
    <xf numFmtId="0" fontId="0" fillId="0" borderId="36" xfId="0" applyBorder="1"/>
    <xf numFmtId="0" fontId="28" fillId="0" borderId="43" xfId="0" applyFont="1" applyBorder="1" applyAlignment="1">
      <alignment horizontal="center" vertical="center"/>
    </xf>
    <xf numFmtId="0" fontId="43" fillId="0" borderId="36" xfId="0" applyFont="1" applyBorder="1" applyAlignment="1">
      <alignment horizontal="center" vertical="center"/>
    </xf>
    <xf numFmtId="168" fontId="28" fillId="0" borderId="36" xfId="46" applyNumberFormat="1" applyFont="1" applyBorder="1" applyAlignment="1">
      <alignment horizontal="right" vertical="center"/>
    </xf>
    <xf numFmtId="0" fontId="46" fillId="25" borderId="36" xfId="0" applyFont="1" applyFill="1" applyBorder="1" applyAlignment="1">
      <alignment horizontal="center" vertical="center"/>
    </xf>
    <xf numFmtId="0" fontId="67" fillId="25" borderId="36" xfId="0" applyFont="1" applyFill="1" applyBorder="1" applyAlignment="1">
      <alignment vertical="center"/>
    </xf>
    <xf numFmtId="0" fontId="43" fillId="25" borderId="36" xfId="0" applyFont="1" applyFill="1" applyBorder="1" applyAlignment="1">
      <alignment horizontal="center" vertical="center"/>
    </xf>
    <xf numFmtId="0" fontId="68" fillId="0" borderId="36" xfId="0" applyFont="1" applyBorder="1"/>
    <xf numFmtId="0" fontId="28" fillId="25" borderId="36" xfId="0" applyFont="1" applyFill="1" applyBorder="1" applyAlignment="1">
      <alignment horizontal="center" vertical="center"/>
    </xf>
    <xf numFmtId="0" fontId="68" fillId="25" borderId="36" xfId="0" applyFont="1" applyFill="1" applyBorder="1"/>
    <xf numFmtId="0" fontId="1" fillId="0" borderId="36" xfId="0" applyFont="1" applyBorder="1" applyAlignment="1">
      <alignment vertical="center" wrapText="1"/>
    </xf>
    <xf numFmtId="0" fontId="0" fillId="25" borderId="36" xfId="0" applyFill="1" applyBorder="1"/>
    <xf numFmtId="0" fontId="1" fillId="25" borderId="36" xfId="0" applyFont="1" applyFill="1" applyBorder="1" applyAlignment="1">
      <alignment vertical="center" wrapText="1"/>
    </xf>
    <xf numFmtId="0" fontId="69" fillId="0" borderId="36" xfId="0" applyFont="1" applyBorder="1"/>
    <xf numFmtId="0" fontId="0" fillId="0" borderId="36" xfId="0" applyBorder="1" applyAlignment="1">
      <alignment vertical="center"/>
    </xf>
    <xf numFmtId="165" fontId="28" fillId="0" borderId="36" xfId="46" applyNumberFormat="1" applyFont="1" applyBorder="1" applyAlignment="1">
      <alignment horizontal="right" vertical="center"/>
    </xf>
    <xf numFmtId="0" fontId="60" fillId="0" borderId="36" xfId="0" applyFont="1" applyBorder="1" applyAlignment="1">
      <alignment vertical="center"/>
    </xf>
    <xf numFmtId="0" fontId="68" fillId="0" borderId="36" xfId="0" applyFont="1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28" fillId="0" borderId="57" xfId="0" applyFont="1" applyBorder="1" applyAlignment="1">
      <alignment horizontal="center" vertical="center"/>
    </xf>
    <xf numFmtId="0" fontId="65" fillId="0" borderId="57" xfId="0" applyFont="1" applyBorder="1" applyAlignment="1">
      <alignment vertical="center" wrapText="1"/>
    </xf>
    <xf numFmtId="0" fontId="0" fillId="0" borderId="57" xfId="0" applyBorder="1"/>
    <xf numFmtId="0" fontId="71" fillId="25" borderId="36" xfId="0" applyFont="1" applyFill="1" applyBorder="1" applyAlignment="1">
      <alignment horizontal="center" vertical="center"/>
    </xf>
    <xf numFmtId="0" fontId="25" fillId="0" borderId="36" xfId="1" applyFont="1" applyBorder="1" applyAlignment="1">
      <alignment horizontal="center"/>
    </xf>
    <xf numFmtId="165" fontId="33" fillId="0" borderId="36" xfId="46" applyNumberFormat="1" applyFont="1" applyBorder="1" applyAlignment="1">
      <alignment horizontal="right" vertical="center"/>
    </xf>
    <xf numFmtId="0" fontId="36" fillId="0" borderId="57" xfId="0" applyFont="1" applyBorder="1" applyAlignment="1">
      <alignment vertical="center" wrapText="1"/>
    </xf>
    <xf numFmtId="0" fontId="36" fillId="0" borderId="57" xfId="0" applyFont="1" applyBorder="1" applyAlignment="1">
      <alignment horizontal="center" vertical="center"/>
    </xf>
    <xf numFmtId="165" fontId="33" fillId="0" borderId="57" xfId="46" applyNumberFormat="1" applyFont="1" applyBorder="1" applyAlignment="1">
      <alignment horizontal="right" vertical="center"/>
    </xf>
    <xf numFmtId="0" fontId="33" fillId="0" borderId="32" xfId="0" applyFont="1" applyBorder="1" applyAlignment="1">
      <alignment horizontal="center"/>
    </xf>
    <xf numFmtId="0" fontId="36" fillId="0" borderId="10" xfId="0" applyFont="1" applyBorder="1" applyAlignment="1">
      <alignment vertical="center" wrapText="1"/>
    </xf>
    <xf numFmtId="0" fontId="36" fillId="0" borderId="10" xfId="0" applyFont="1" applyBorder="1" applyAlignment="1">
      <alignment horizontal="center"/>
    </xf>
    <xf numFmtId="165" fontId="33" fillId="0" borderId="10" xfId="46" applyNumberFormat="1" applyFont="1" applyBorder="1" applyAlignment="1">
      <alignment horizontal="right"/>
    </xf>
    <xf numFmtId="0" fontId="4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vertical="center" wrapText="1"/>
    </xf>
    <xf numFmtId="0" fontId="65" fillId="0" borderId="36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33" fillId="25" borderId="38" xfId="0" applyFont="1" applyFill="1" applyBorder="1" applyAlignment="1">
      <alignment vertical="center" wrapText="1"/>
    </xf>
    <xf numFmtId="0" fontId="33" fillId="25" borderId="35" xfId="0" applyFont="1" applyFill="1" applyBorder="1" applyAlignment="1">
      <alignment vertical="center" wrapText="1"/>
    </xf>
    <xf numFmtId="4" fontId="60" fillId="0" borderId="0" xfId="0" applyNumberFormat="1" applyFont="1" applyAlignment="1">
      <alignment horizontal="center"/>
    </xf>
    <xf numFmtId="165" fontId="33" fillId="0" borderId="77" xfId="46" applyNumberFormat="1" applyFont="1" applyBorder="1" applyAlignment="1">
      <alignment horizontal="right" vertical="center"/>
    </xf>
    <xf numFmtId="0" fontId="35" fillId="0" borderId="73" xfId="0" applyFont="1" applyBorder="1" applyAlignment="1">
      <alignment horizontal="center" vertical="center" wrapText="1"/>
    </xf>
    <xf numFmtId="0" fontId="54" fillId="0" borderId="46" xfId="0" applyFont="1" applyBorder="1" applyAlignment="1">
      <alignment horizontal="center" vertical="center" wrapText="1"/>
    </xf>
    <xf numFmtId="0" fontId="33" fillId="0" borderId="32" xfId="0" applyFont="1" applyBorder="1" applyAlignment="1">
      <alignment horizontal="center" vertical="center"/>
    </xf>
    <xf numFmtId="0" fontId="54" fillId="0" borderId="32" xfId="0" applyFont="1" applyBorder="1" applyAlignment="1">
      <alignment horizontal="center" vertical="center" wrapText="1"/>
    </xf>
    <xf numFmtId="0" fontId="41" fillId="0" borderId="0" xfId="0" applyFont="1"/>
    <xf numFmtId="0" fontId="35" fillId="0" borderId="30" xfId="0" applyFont="1" applyBorder="1" applyAlignment="1">
      <alignment horizontal="center" vertical="center" wrapText="1"/>
    </xf>
    <xf numFmtId="0" fontId="36" fillId="0" borderId="43" xfId="0" applyFont="1" applyBorder="1" applyAlignment="1">
      <alignment vertical="center" wrapText="1"/>
    </xf>
    <xf numFmtId="0" fontId="28" fillId="0" borderId="36" xfId="0" applyFont="1" applyBorder="1" applyAlignment="1">
      <alignment horizontal="center"/>
    </xf>
    <xf numFmtId="4" fontId="60" fillId="0" borderId="36" xfId="0" applyNumberFormat="1" applyFont="1" applyBorder="1" applyAlignment="1">
      <alignment horizontal="center"/>
    </xf>
    <xf numFmtId="0" fontId="72" fillId="0" borderId="13" xfId="0" applyFont="1" applyBorder="1" applyAlignment="1">
      <alignment horizontal="left" vertical="center" wrapText="1"/>
    </xf>
    <xf numFmtId="165" fontId="28" fillId="28" borderId="78" xfId="46" applyNumberFormat="1" applyFont="1" applyFill="1" applyBorder="1" applyAlignment="1">
      <alignment horizontal="center"/>
    </xf>
    <xf numFmtId="0" fontId="33" fillId="25" borderId="30" xfId="0" applyFont="1" applyFill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 wrapText="1"/>
    </xf>
    <xf numFmtId="165" fontId="33" fillId="25" borderId="31" xfId="46" applyNumberFormat="1" applyFont="1" applyFill="1" applyBorder="1" applyAlignment="1">
      <alignment horizontal="right" vertical="center"/>
    </xf>
    <xf numFmtId="0" fontId="35" fillId="0" borderId="12" xfId="0" applyFont="1" applyBorder="1" applyAlignment="1">
      <alignment vertical="center" wrapText="1"/>
    </xf>
    <xf numFmtId="165" fontId="33" fillId="28" borderId="39" xfId="46" applyNumberFormat="1" applyFont="1" applyFill="1" applyBorder="1" applyAlignment="1">
      <alignment horizontal="right" vertical="center"/>
    </xf>
    <xf numFmtId="0" fontId="74" fillId="0" borderId="13" xfId="0" applyFont="1" applyBorder="1" applyAlignment="1">
      <alignment vertical="center" wrapText="1"/>
    </xf>
    <xf numFmtId="43" fontId="36" fillId="0" borderId="13" xfId="0" applyNumberFormat="1" applyFont="1" applyBorder="1" applyAlignment="1">
      <alignment horizontal="center" vertical="center"/>
    </xf>
    <xf numFmtId="0" fontId="33" fillId="0" borderId="13" xfId="0" applyFont="1" applyBorder="1" applyAlignment="1">
      <alignment vertical="center" wrapText="1"/>
    </xf>
    <xf numFmtId="0" fontId="43" fillId="0" borderId="36" xfId="0" applyFont="1" applyBorder="1" applyAlignment="1">
      <alignment horizontal="center"/>
    </xf>
    <xf numFmtId="0" fontId="58" fillId="0" borderId="14" xfId="0" applyFont="1" applyBorder="1" applyAlignment="1">
      <alignment horizontal="center"/>
    </xf>
    <xf numFmtId="0" fontId="58" fillId="0" borderId="36" xfId="0" applyFont="1" applyBorder="1" applyAlignment="1">
      <alignment horizontal="center" vertical="center"/>
    </xf>
    <xf numFmtId="0" fontId="47" fillId="0" borderId="36" xfId="0" applyFont="1" applyBorder="1" applyAlignment="1">
      <alignment horizontal="center" vertical="center" wrapText="1"/>
    </xf>
    <xf numFmtId="0" fontId="58" fillId="0" borderId="36" xfId="0" applyFont="1" applyBorder="1" applyAlignment="1">
      <alignment horizontal="center"/>
    </xf>
    <xf numFmtId="165" fontId="28" fillId="0" borderId="36" xfId="46" applyNumberFormat="1" applyFont="1" applyBorder="1" applyAlignment="1">
      <alignment horizontal="center" vertical="center"/>
    </xf>
    <xf numFmtId="0" fontId="28" fillId="0" borderId="36" xfId="0" applyFont="1" applyBorder="1"/>
    <xf numFmtId="165" fontId="28" fillId="0" borderId="36" xfId="46" applyNumberFormat="1" applyFont="1" applyBorder="1" applyAlignment="1">
      <alignment horizontal="right"/>
    </xf>
    <xf numFmtId="0" fontId="48" fillId="0" borderId="36" xfId="0" applyFont="1" applyBorder="1"/>
    <xf numFmtId="0" fontId="61" fillId="0" borderId="36" xfId="0" applyFont="1" applyBorder="1" applyAlignment="1">
      <alignment horizontal="center" vertical="center"/>
    </xf>
    <xf numFmtId="0" fontId="28" fillId="0" borderId="36" xfId="0" applyFont="1" applyBorder="1" applyAlignment="1">
      <alignment vertical="center" wrapText="1"/>
    </xf>
    <xf numFmtId="0" fontId="28" fillId="0" borderId="81" xfId="0" applyFont="1" applyBorder="1" applyAlignment="1">
      <alignment horizontal="center" vertical="center"/>
    </xf>
    <xf numFmtId="9" fontId="1" fillId="0" borderId="36" xfId="49" applyFont="1" applyBorder="1" applyAlignment="1">
      <alignment vertical="center" wrapText="1"/>
    </xf>
    <xf numFmtId="165" fontId="62" fillId="0" borderId="36" xfId="46" applyNumberFormat="1" applyFont="1" applyBorder="1" applyAlignment="1">
      <alignment horizontal="right" vertical="center"/>
    </xf>
    <xf numFmtId="165" fontId="28" fillId="0" borderId="36" xfId="46" applyNumberFormat="1" applyFont="1" applyBorder="1" applyAlignment="1">
      <alignment horizontal="center"/>
    </xf>
    <xf numFmtId="0" fontId="1" fillId="0" borderId="36" xfId="0" applyFont="1" applyBorder="1" applyAlignment="1">
      <alignment wrapText="1"/>
    </xf>
    <xf numFmtId="165" fontId="64" fillId="0" borderId="36" xfId="46" applyNumberFormat="1" applyFont="1" applyBorder="1" applyAlignment="1">
      <alignment horizontal="right" vertical="center"/>
    </xf>
    <xf numFmtId="0" fontId="28" fillId="0" borderId="82" xfId="0" applyFont="1" applyBorder="1" applyAlignment="1">
      <alignment horizontal="center"/>
    </xf>
    <xf numFmtId="0" fontId="28" fillId="0" borderId="67" xfId="0" applyFont="1" applyBorder="1" applyAlignment="1">
      <alignment horizontal="center"/>
    </xf>
    <xf numFmtId="165" fontId="33" fillId="25" borderId="36" xfId="46" applyNumberFormat="1" applyFont="1" applyFill="1" applyBorder="1" applyAlignment="1">
      <alignment horizontal="right" vertical="center"/>
    </xf>
    <xf numFmtId="0" fontId="28" fillId="0" borderId="36" xfId="0" applyFont="1" applyBorder="1" applyAlignment="1">
      <alignment horizontal="left" vertical="center" wrapText="1"/>
    </xf>
    <xf numFmtId="165" fontId="0" fillId="0" borderId="36" xfId="0" applyNumberFormat="1" applyBorder="1"/>
    <xf numFmtId="165" fontId="60" fillId="24" borderId="39" xfId="0" applyNumberFormat="1" applyFont="1" applyFill="1" applyBorder="1" applyAlignment="1">
      <alignment vertical="center"/>
    </xf>
    <xf numFmtId="165" fontId="60" fillId="25" borderId="36" xfId="0" applyNumberFormat="1" applyFont="1" applyFill="1" applyBorder="1" applyAlignment="1">
      <alignment vertical="center"/>
    </xf>
    <xf numFmtId="0" fontId="33" fillId="30" borderId="36" xfId="0" applyFont="1" applyFill="1" applyBorder="1" applyAlignment="1">
      <alignment horizontal="center" vertical="center" wrapText="1"/>
    </xf>
    <xf numFmtId="165" fontId="60" fillId="30" borderId="36" xfId="0" applyNumberFormat="1" applyFont="1" applyFill="1" applyBorder="1" applyAlignment="1">
      <alignment vertical="center"/>
    </xf>
    <xf numFmtId="0" fontId="33" fillId="25" borderId="11" xfId="0" applyFont="1" applyFill="1" applyBorder="1" applyAlignment="1">
      <alignment horizontal="center" vertical="center" wrapText="1"/>
    </xf>
    <xf numFmtId="165" fontId="33" fillId="25" borderId="11" xfId="46" applyNumberFormat="1" applyFont="1" applyFill="1" applyBorder="1" applyAlignment="1">
      <alignment horizontal="right" vertical="center"/>
    </xf>
    <xf numFmtId="0" fontId="33" fillId="25" borderId="10" xfId="0" applyFont="1" applyFill="1" applyBorder="1" applyAlignment="1">
      <alignment horizontal="center" vertical="center" wrapText="1"/>
    </xf>
    <xf numFmtId="165" fontId="33" fillId="25" borderId="10" xfId="46" applyNumberFormat="1" applyFont="1" applyFill="1" applyBorder="1" applyAlignment="1">
      <alignment horizontal="right" vertical="center"/>
    </xf>
    <xf numFmtId="0" fontId="46" fillId="0" borderId="36" xfId="0" applyFont="1" applyBorder="1" applyAlignment="1">
      <alignment vertical="center" wrapText="1"/>
    </xf>
    <xf numFmtId="0" fontId="75" fillId="0" borderId="13" xfId="0" applyFont="1" applyBorder="1" applyAlignment="1">
      <alignment vertical="center" wrapText="1"/>
    </xf>
    <xf numFmtId="165" fontId="0" fillId="0" borderId="36" xfId="0" applyNumberFormat="1" applyBorder="1" applyAlignment="1">
      <alignment horizontal="center"/>
    </xf>
    <xf numFmtId="165" fontId="60" fillId="31" borderId="23" xfId="0" applyNumberFormat="1" applyFont="1" applyFill="1" applyBorder="1" applyAlignment="1">
      <alignment vertical="center"/>
    </xf>
    <xf numFmtId="0" fontId="42" fillId="0" borderId="36" xfId="0" applyFont="1" applyBorder="1" applyAlignment="1">
      <alignment horizontal="center" vertical="center"/>
    </xf>
    <xf numFmtId="0" fontId="56" fillId="24" borderId="36" xfId="0" applyFont="1" applyFill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0" fontId="78" fillId="25" borderId="13" xfId="0" applyFont="1" applyFill="1" applyBorder="1" applyAlignment="1">
      <alignment horizontal="center" vertical="center"/>
    </xf>
    <xf numFmtId="0" fontId="85" fillId="0" borderId="13" xfId="0" applyFont="1" applyBorder="1"/>
    <xf numFmtId="0" fontId="78" fillId="25" borderId="12" xfId="0" applyFont="1" applyFill="1" applyBorder="1" applyAlignment="1">
      <alignment horizontal="center" vertical="center"/>
    </xf>
    <xf numFmtId="0" fontId="77" fillId="0" borderId="12" xfId="0" applyFont="1" applyBorder="1"/>
    <xf numFmtId="2" fontId="77" fillId="0" borderId="12" xfId="0" applyNumberFormat="1" applyFont="1" applyBorder="1"/>
    <xf numFmtId="0" fontId="78" fillId="24" borderId="13" xfId="0" applyFont="1" applyFill="1" applyBorder="1" applyAlignment="1">
      <alignment horizontal="center" vertical="center"/>
    </xf>
    <xf numFmtId="1" fontId="76" fillId="26" borderId="37" xfId="0" applyNumberFormat="1" applyFont="1" applyFill="1" applyBorder="1" applyAlignment="1">
      <alignment horizontal="center"/>
    </xf>
    <xf numFmtId="1" fontId="76" fillId="26" borderId="34" xfId="0" applyNumberFormat="1" applyFont="1" applyFill="1" applyBorder="1" applyAlignment="1">
      <alignment horizontal="center"/>
    </xf>
    <xf numFmtId="1" fontId="77" fillId="0" borderId="12" xfId="0" applyNumberFormat="1" applyFont="1" applyBorder="1"/>
    <xf numFmtId="1" fontId="85" fillId="0" borderId="13" xfId="0" applyNumberFormat="1" applyFont="1" applyBorder="1"/>
    <xf numFmtId="0" fontId="84" fillId="25" borderId="13" xfId="1" applyFont="1" applyFill="1" applyBorder="1" applyAlignment="1">
      <alignment horizontal="center" vertical="center"/>
    </xf>
    <xf numFmtId="0" fontId="87" fillId="0" borderId="0" xfId="0" applyFont="1"/>
    <xf numFmtId="0" fontId="85" fillId="0" borderId="0" xfId="0" applyFont="1"/>
    <xf numFmtId="1" fontId="85" fillId="0" borderId="0" xfId="0" applyNumberFormat="1" applyFont="1"/>
    <xf numFmtId="0" fontId="26" fillId="0" borderId="13" xfId="0" applyFont="1" applyBorder="1" applyAlignment="1">
      <alignment horizontal="center" vertical="center"/>
    </xf>
    <xf numFmtId="0" fontId="92" fillId="0" borderId="0" xfId="56"/>
    <xf numFmtId="0" fontId="83" fillId="0" borderId="0" xfId="56" applyFont="1" applyAlignment="1">
      <alignment wrapText="1"/>
    </xf>
    <xf numFmtId="0" fontId="92" fillId="24" borderId="0" xfId="56" applyFill="1"/>
    <xf numFmtId="0" fontId="76" fillId="25" borderId="13" xfId="0" applyFont="1" applyFill="1" applyBorder="1" applyAlignment="1">
      <alignment horizontal="center" vertical="center"/>
    </xf>
    <xf numFmtId="0" fontId="77" fillId="25" borderId="13" xfId="0" applyFont="1" applyFill="1" applyBorder="1" applyAlignment="1">
      <alignment horizontal="center"/>
    </xf>
    <xf numFmtId="0" fontId="79" fillId="25" borderId="13" xfId="0" applyFont="1" applyFill="1" applyBorder="1" applyAlignment="1">
      <alignment horizontal="center" vertical="center"/>
    </xf>
    <xf numFmtId="1" fontId="79" fillId="25" borderId="13" xfId="0" applyNumberFormat="1" applyFont="1" applyFill="1" applyBorder="1" applyAlignment="1">
      <alignment horizontal="center" vertical="center"/>
    </xf>
    <xf numFmtId="169" fontId="79" fillId="25" borderId="13" xfId="0" applyNumberFormat="1" applyFont="1" applyFill="1" applyBorder="1" applyAlignment="1">
      <alignment horizontal="center" vertical="center"/>
    </xf>
    <xf numFmtId="0" fontId="76" fillId="25" borderId="13" xfId="0" applyFont="1" applyFill="1" applyBorder="1"/>
    <xf numFmtId="1" fontId="79" fillId="25" borderId="13" xfId="0" applyNumberFormat="1" applyFont="1" applyFill="1" applyBorder="1" applyAlignment="1">
      <alignment horizontal="center"/>
    </xf>
    <xf numFmtId="0" fontId="79" fillId="25" borderId="13" xfId="0" applyFont="1" applyFill="1" applyBorder="1" applyAlignment="1">
      <alignment horizontal="center"/>
    </xf>
    <xf numFmtId="2" fontId="79" fillId="25" borderId="13" xfId="0" applyNumberFormat="1" applyFont="1" applyFill="1" applyBorder="1" applyAlignment="1">
      <alignment horizontal="center"/>
    </xf>
    <xf numFmtId="2" fontId="79" fillId="25" borderId="13" xfId="0" applyNumberFormat="1" applyFont="1" applyFill="1" applyBorder="1" applyAlignment="1">
      <alignment horizontal="center" vertical="center"/>
    </xf>
    <xf numFmtId="0" fontId="56" fillId="25" borderId="13" xfId="0" applyFont="1" applyFill="1" applyBorder="1" applyAlignment="1">
      <alignment horizontal="center"/>
    </xf>
    <xf numFmtId="0" fontId="90" fillId="25" borderId="13" xfId="0" applyFont="1" applyFill="1" applyBorder="1" applyAlignment="1">
      <alignment horizontal="center" vertical="center"/>
    </xf>
    <xf numFmtId="1" fontId="90" fillId="25" borderId="13" xfId="0" applyNumberFormat="1" applyFont="1" applyFill="1" applyBorder="1" applyAlignment="1">
      <alignment horizontal="center"/>
    </xf>
    <xf numFmtId="0" fontId="90" fillId="25" borderId="13" xfId="0" applyFont="1" applyFill="1" applyBorder="1" applyAlignment="1">
      <alignment horizontal="center"/>
    </xf>
    <xf numFmtId="2" fontId="90" fillId="25" borderId="13" xfId="0" applyNumberFormat="1" applyFont="1" applyFill="1" applyBorder="1" applyAlignment="1">
      <alignment horizontal="center" vertical="center"/>
    </xf>
    <xf numFmtId="2" fontId="90" fillId="25" borderId="13" xfId="0" applyNumberFormat="1" applyFont="1" applyFill="1" applyBorder="1" applyAlignment="1">
      <alignment horizontal="center"/>
    </xf>
    <xf numFmtId="0" fontId="90" fillId="25" borderId="13" xfId="0" applyFont="1" applyFill="1" applyBorder="1"/>
    <xf numFmtId="0" fontId="89" fillId="25" borderId="13" xfId="0" applyFont="1" applyFill="1" applyBorder="1" applyAlignment="1">
      <alignment horizontal="center"/>
    </xf>
    <xf numFmtId="1" fontId="90" fillId="25" borderId="13" xfId="0" applyNumberFormat="1" applyFont="1" applyFill="1" applyBorder="1" applyAlignment="1">
      <alignment horizontal="center" vertical="center"/>
    </xf>
    <xf numFmtId="0" fontId="71" fillId="25" borderId="13" xfId="0" applyFont="1" applyFill="1" applyBorder="1" applyAlignment="1">
      <alignment horizontal="center" vertical="center"/>
    </xf>
    <xf numFmtId="169" fontId="90" fillId="25" borderId="13" xfId="0" applyNumberFormat="1" applyFont="1" applyFill="1" applyBorder="1" applyAlignment="1">
      <alignment horizontal="center" vertical="center"/>
    </xf>
    <xf numFmtId="0" fontId="88" fillId="25" borderId="13" xfId="0" applyFont="1" applyFill="1" applyBorder="1" applyAlignment="1">
      <alignment horizontal="center"/>
    </xf>
    <xf numFmtId="0" fontId="97" fillId="25" borderId="13" xfId="0" applyFont="1" applyFill="1" applyBorder="1" applyAlignment="1">
      <alignment horizontal="center" vertical="center"/>
    </xf>
    <xf numFmtId="0" fontId="91" fillId="25" borderId="13" xfId="0" applyFont="1" applyFill="1" applyBorder="1" applyAlignment="1">
      <alignment horizontal="center" vertical="center"/>
    </xf>
    <xf numFmtId="1" fontId="91" fillId="25" borderId="13" xfId="0" applyNumberFormat="1" applyFont="1" applyFill="1" applyBorder="1" applyAlignment="1">
      <alignment horizontal="center" vertical="center"/>
    </xf>
    <xf numFmtId="0" fontId="98" fillId="0" borderId="0" xfId="0" applyFont="1"/>
    <xf numFmtId="2" fontId="79" fillId="0" borderId="13" xfId="0" applyNumberFormat="1" applyFont="1" applyBorder="1" applyAlignment="1">
      <alignment horizontal="center" vertical="center"/>
    </xf>
    <xf numFmtId="0" fontId="42" fillId="25" borderId="13" xfId="0" applyFont="1" applyFill="1" applyBorder="1" applyAlignment="1">
      <alignment horizontal="center" vertical="center"/>
    </xf>
    <xf numFmtId="0" fontId="88" fillId="0" borderId="13" xfId="0" applyFont="1" applyBorder="1" applyAlignment="1">
      <alignment horizontal="center"/>
    </xf>
    <xf numFmtId="0" fontId="97" fillId="0" borderId="13" xfId="0" applyFont="1" applyBorder="1" applyAlignment="1">
      <alignment horizontal="center" vertical="center"/>
    </xf>
    <xf numFmtId="0" fontId="91" fillId="0" borderId="13" xfId="0" applyFont="1" applyBorder="1" applyAlignment="1">
      <alignment horizontal="center" vertical="center"/>
    </xf>
    <xf numFmtId="1" fontId="91" fillId="0" borderId="13" xfId="0" applyNumberFormat="1" applyFont="1" applyBorder="1" applyAlignment="1">
      <alignment horizontal="center" vertical="center"/>
    </xf>
    <xf numFmtId="0" fontId="97" fillId="0" borderId="13" xfId="0" applyFont="1" applyBorder="1"/>
    <xf numFmtId="2" fontId="91" fillId="0" borderId="13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88" fillId="0" borderId="12" xfId="0" applyFont="1" applyBorder="1" applyAlignment="1">
      <alignment horizontal="center"/>
    </xf>
    <xf numFmtId="0" fontId="101" fillId="0" borderId="13" xfId="0" applyFont="1" applyBorder="1" applyAlignment="1">
      <alignment horizontal="center" vertical="center"/>
    </xf>
    <xf numFmtId="0" fontId="97" fillId="0" borderId="12" xfId="0" applyFont="1" applyBorder="1"/>
    <xf numFmtId="0" fontId="76" fillId="33" borderId="37" xfId="0" applyFont="1" applyFill="1" applyBorder="1" applyAlignment="1">
      <alignment horizontal="center"/>
    </xf>
    <xf numFmtId="2" fontId="79" fillId="33" borderId="12" xfId="0" applyNumberFormat="1" applyFont="1" applyFill="1" applyBorder="1" applyAlignment="1">
      <alignment horizontal="center" vertical="center"/>
    </xf>
    <xf numFmtId="2" fontId="79" fillId="33" borderId="12" xfId="0" applyNumberFormat="1" applyFont="1" applyFill="1" applyBorder="1" applyAlignment="1">
      <alignment horizontal="center"/>
    </xf>
    <xf numFmtId="2" fontId="91" fillId="33" borderId="12" xfId="0" applyNumberFormat="1" applyFont="1" applyFill="1" applyBorder="1" applyAlignment="1">
      <alignment horizontal="center" vertical="center"/>
    </xf>
    <xf numFmtId="2" fontId="91" fillId="33" borderId="12" xfId="0" applyNumberFormat="1" applyFont="1" applyFill="1" applyBorder="1" applyAlignment="1">
      <alignment horizontal="center"/>
    </xf>
    <xf numFmtId="2" fontId="97" fillId="33" borderId="12" xfId="0" applyNumberFormat="1" applyFont="1" applyFill="1" applyBorder="1" applyAlignment="1">
      <alignment horizontal="center" vertical="center"/>
    </xf>
    <xf numFmtId="2" fontId="97" fillId="33" borderId="12" xfId="0" applyNumberFormat="1" applyFont="1" applyFill="1" applyBorder="1" applyAlignment="1">
      <alignment horizontal="center"/>
    </xf>
    <xf numFmtId="2" fontId="76" fillId="33" borderId="12" xfId="0" applyNumberFormat="1" applyFont="1" applyFill="1" applyBorder="1" applyAlignment="1">
      <alignment horizontal="center" vertical="center"/>
    </xf>
    <xf numFmtId="2" fontId="76" fillId="33" borderId="12" xfId="0" applyNumberFormat="1" applyFont="1" applyFill="1" applyBorder="1" applyAlignment="1">
      <alignment horizontal="center"/>
    </xf>
    <xf numFmtId="2" fontId="79" fillId="33" borderId="37" xfId="0" applyNumberFormat="1" applyFont="1" applyFill="1" applyBorder="1" applyAlignment="1">
      <alignment horizontal="center" vertical="center"/>
    </xf>
    <xf numFmtId="2" fontId="79" fillId="33" borderId="27" xfId="0" applyNumberFormat="1" applyFont="1" applyFill="1" applyBorder="1" applyAlignment="1">
      <alignment horizontal="center" vertical="center"/>
    </xf>
    <xf numFmtId="0" fontId="79" fillId="33" borderId="37" xfId="0" applyFont="1" applyFill="1" applyBorder="1" applyAlignment="1">
      <alignment horizontal="center" vertical="center"/>
    </xf>
    <xf numFmtId="164" fontId="79" fillId="33" borderId="37" xfId="0" applyNumberFormat="1" applyFont="1" applyFill="1" applyBorder="1" applyAlignment="1">
      <alignment horizontal="center" vertical="center"/>
    </xf>
    <xf numFmtId="0" fontId="79" fillId="33" borderId="27" xfId="0" applyFont="1" applyFill="1" applyBorder="1" applyAlignment="1">
      <alignment horizontal="center" vertical="center"/>
    </xf>
    <xf numFmtId="2" fontId="79" fillId="33" borderId="37" xfId="0" applyNumberFormat="1" applyFont="1" applyFill="1" applyBorder="1" applyAlignment="1">
      <alignment horizontal="center"/>
    </xf>
    <xf numFmtId="2" fontId="79" fillId="33" borderId="27" xfId="0" applyNumberFormat="1" applyFont="1" applyFill="1" applyBorder="1" applyAlignment="1">
      <alignment horizontal="center"/>
    </xf>
    <xf numFmtId="0" fontId="85" fillId="33" borderId="0" xfId="0" applyFont="1" applyFill="1"/>
    <xf numFmtId="0" fontId="85" fillId="33" borderId="13" xfId="0" applyFont="1" applyFill="1" applyBorder="1"/>
    <xf numFmtId="0" fontId="20" fillId="0" borderId="15" xfId="0" applyFont="1" applyBorder="1" applyAlignment="1">
      <alignment horizontal="center" vertical="center"/>
    </xf>
    <xf numFmtId="0" fontId="26" fillId="28" borderId="13" xfId="0" applyFont="1" applyFill="1" applyBorder="1" applyAlignment="1">
      <alignment horizontal="center" vertical="center"/>
    </xf>
    <xf numFmtId="0" fontId="20" fillId="0" borderId="13" xfId="1" applyFont="1" applyFill="1" applyBorder="1" applyAlignment="1">
      <alignment vertical="center"/>
    </xf>
    <xf numFmtId="0" fontId="92" fillId="0" borderId="0" xfId="56" applyFont="1"/>
    <xf numFmtId="43" fontId="106" fillId="0" borderId="0" xfId="46" applyFont="1"/>
    <xf numFmtId="0" fontId="92" fillId="24" borderId="0" xfId="56" applyFont="1" applyFill="1"/>
    <xf numFmtId="43" fontId="92" fillId="0" borderId="0" xfId="46" applyFont="1"/>
    <xf numFmtId="0" fontId="107" fillId="0" borderId="0" xfId="56" applyFont="1"/>
    <xf numFmtId="43" fontId="92" fillId="0" borderId="0" xfId="46" applyFont="1" applyAlignment="1">
      <alignment horizontal="center" vertical="center"/>
    </xf>
    <xf numFmtId="4" fontId="92" fillId="0" borderId="0" xfId="56" applyNumberFormat="1" applyFont="1" applyAlignment="1">
      <alignment horizontal="center"/>
    </xf>
    <xf numFmtId="0" fontId="69" fillId="0" borderId="0" xfId="0" applyFont="1" applyBorder="1" applyAlignment="1">
      <alignment vertical="center"/>
    </xf>
    <xf numFmtId="0" fontId="92" fillId="0" borderId="0" xfId="56" applyFont="1" applyAlignment="1">
      <alignment vertical="center"/>
    </xf>
    <xf numFmtId="0" fontId="115" fillId="0" borderId="0" xfId="56" applyFont="1" applyAlignment="1">
      <alignment horizontal="center" wrapText="1"/>
    </xf>
    <xf numFmtId="4" fontId="94" fillId="0" borderId="88" xfId="56" applyNumberFormat="1" applyFont="1" applyBorder="1" applyAlignment="1" applyProtection="1">
      <alignment horizontal="center" vertical="center"/>
      <protection locked="0"/>
    </xf>
    <xf numFmtId="4" fontId="94" fillId="24" borderId="90" xfId="56" applyNumberFormat="1" applyFont="1" applyFill="1" applyBorder="1" applyAlignment="1" applyProtection="1">
      <alignment horizontal="center" vertical="center"/>
      <protection locked="0"/>
    </xf>
    <xf numFmtId="0" fontId="106" fillId="0" borderId="0" xfId="56" applyFont="1"/>
    <xf numFmtId="0" fontId="118" fillId="0" borderId="0" xfId="56" applyFont="1" applyAlignment="1">
      <alignment wrapText="1"/>
    </xf>
    <xf numFmtId="4" fontId="95" fillId="24" borderId="90" xfId="56" applyNumberFormat="1" applyFont="1" applyFill="1" applyBorder="1" applyAlignment="1">
      <alignment horizontal="center" vertical="center"/>
    </xf>
    <xf numFmtId="4" fontId="95" fillId="0" borderId="88" xfId="56" applyNumberFormat="1" applyFont="1" applyBorder="1" applyAlignment="1">
      <alignment horizontal="center" vertical="center"/>
    </xf>
    <xf numFmtId="4" fontId="95" fillId="0" borderId="88" xfId="56" applyNumberFormat="1" applyFont="1" applyBorder="1" applyAlignment="1">
      <alignment horizontal="center"/>
    </xf>
    <xf numFmtId="4" fontId="59" fillId="0" borderId="0" xfId="56" applyNumberFormat="1" applyFont="1"/>
    <xf numFmtId="0" fontId="85" fillId="0" borderId="0" xfId="0" applyFont="1" applyFill="1"/>
    <xf numFmtId="0" fontId="0" fillId="0" borderId="0" xfId="0" applyFill="1"/>
    <xf numFmtId="49" fontId="23" fillId="0" borderId="13" xfId="1" applyNumberFormat="1" applyFont="1" applyFill="1" applyBorder="1" applyAlignment="1">
      <alignment horizontal="center" vertical="center"/>
    </xf>
    <xf numFmtId="0" fontId="20" fillId="0" borderId="13" xfId="1" applyFont="1" applyFill="1" applyBorder="1" applyAlignment="1">
      <alignment horizontal="center" vertical="center"/>
    </xf>
    <xf numFmtId="164" fontId="19" fillId="0" borderId="13" xfId="1" applyNumberFormat="1" applyFont="1" applyFill="1" applyBorder="1" applyAlignment="1">
      <alignment horizontal="center" vertical="center"/>
    </xf>
    <xf numFmtId="0" fontId="21" fillId="0" borderId="13" xfId="1" applyFont="1" applyFill="1" applyBorder="1"/>
    <xf numFmtId="0" fontId="25" fillId="0" borderId="13" xfId="1" applyFont="1" applyFill="1" applyBorder="1" applyAlignment="1">
      <alignment horizontal="center" vertical="center"/>
    </xf>
    <xf numFmtId="2" fontId="24" fillId="0" borderId="13" xfId="1" applyNumberFormat="1" applyFont="1" applyFill="1" applyBorder="1" applyAlignment="1">
      <alignment horizontal="center"/>
    </xf>
    <xf numFmtId="43" fontId="22" fillId="0" borderId="13" xfId="33" applyFont="1" applyFill="1" applyBorder="1" applyAlignment="1">
      <alignment horizontal="center"/>
    </xf>
    <xf numFmtId="0" fontId="20" fillId="0" borderId="13" xfId="0" applyFont="1" applyFill="1" applyBorder="1" applyAlignment="1">
      <alignment horizontal="left" vertical="center"/>
    </xf>
    <xf numFmtId="2" fontId="19" fillId="0" borderId="13" xfId="1" applyNumberFormat="1" applyFont="1" applyFill="1" applyBorder="1" applyAlignment="1">
      <alignment horizontal="center" vertical="center"/>
    </xf>
    <xf numFmtId="2" fontId="21" fillId="0" borderId="13" xfId="1" applyNumberFormat="1" applyFont="1" applyFill="1" applyBorder="1" applyAlignment="1">
      <alignment horizontal="center" vertical="center"/>
    </xf>
    <xf numFmtId="2" fontId="25" fillId="0" borderId="13" xfId="1" applyNumberFormat="1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vertical="center"/>
    </xf>
    <xf numFmtId="1" fontId="105" fillId="0" borderId="13" xfId="0" applyNumberFormat="1" applyFont="1" applyFill="1" applyBorder="1" applyAlignment="1">
      <alignment horizontal="center" vertical="center"/>
    </xf>
    <xf numFmtId="0" fontId="112" fillId="0" borderId="13" xfId="1" applyFont="1" applyFill="1" applyBorder="1" applyAlignment="1">
      <alignment horizontal="center" vertical="center"/>
    </xf>
    <xf numFmtId="1" fontId="103" fillId="0" borderId="13" xfId="0" applyNumberFormat="1" applyFont="1" applyFill="1" applyBorder="1" applyAlignment="1">
      <alignment horizontal="center" vertical="center"/>
    </xf>
    <xf numFmtId="1" fontId="103" fillId="0" borderId="13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0" xfId="0" applyFill="1" applyBorder="1"/>
    <xf numFmtId="0" fontId="41" fillId="0" borderId="10" xfId="0" applyFont="1" applyFill="1" applyBorder="1"/>
    <xf numFmtId="2" fontId="41" fillId="0" borderId="10" xfId="0" applyNumberFormat="1" applyFont="1" applyFill="1" applyBorder="1"/>
    <xf numFmtId="164" fontId="24" fillId="0" borderId="13" xfId="1" applyNumberFormat="1" applyFont="1" applyFill="1" applyBorder="1" applyAlignment="1">
      <alignment horizontal="center"/>
    </xf>
    <xf numFmtId="2" fontId="19" fillId="25" borderId="13" xfId="1" applyNumberFormat="1" applyFont="1" applyFill="1" applyBorder="1" applyAlignment="1">
      <alignment horizontal="center" vertical="center"/>
    </xf>
    <xf numFmtId="0" fontId="102" fillId="0" borderId="13" xfId="0" applyFont="1" applyFill="1" applyBorder="1" applyAlignment="1">
      <alignment horizontal="center" vertical="center"/>
    </xf>
    <xf numFmtId="0" fontId="22" fillId="25" borderId="13" xfId="33" applyNumberFormat="1" applyFont="1" applyFill="1" applyBorder="1" applyAlignment="1">
      <alignment horizontal="center" vertical="center"/>
    </xf>
    <xf numFmtId="0" fontId="22" fillId="0" borderId="13" xfId="33" applyNumberFormat="1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vertical="center"/>
    </xf>
    <xf numFmtId="0" fontId="120" fillId="0" borderId="13" xfId="1" applyFont="1" applyFill="1" applyBorder="1" applyAlignment="1">
      <alignment vertical="center"/>
    </xf>
    <xf numFmtId="1" fontId="40" fillId="0" borderId="13" xfId="0" applyNumberFormat="1" applyFont="1" applyFill="1" applyBorder="1" applyAlignment="1">
      <alignment horizontal="center" vertical="center"/>
    </xf>
    <xf numFmtId="9" fontId="40" fillId="0" borderId="13" xfId="33" applyNumberFormat="1" applyFont="1" applyFill="1" applyBorder="1" applyAlignment="1">
      <alignment horizontal="center" vertical="center"/>
    </xf>
    <xf numFmtId="0" fontId="40" fillId="0" borderId="13" xfId="33" applyNumberFormat="1" applyFont="1" applyFill="1" applyBorder="1" applyAlignment="1">
      <alignment horizontal="center" vertical="center"/>
    </xf>
    <xf numFmtId="0" fontId="121" fillId="0" borderId="10" xfId="0" applyFont="1" applyFill="1" applyBorder="1" applyAlignment="1">
      <alignment vertical="center"/>
    </xf>
    <xf numFmtId="0" fontId="122" fillId="24" borderId="88" xfId="56" applyFont="1" applyFill="1" applyBorder="1" applyAlignment="1">
      <alignment horizontal="left" vertical="center"/>
    </xf>
    <xf numFmtId="0" fontId="108" fillId="32" borderId="88" xfId="56" applyFont="1" applyFill="1" applyBorder="1" applyAlignment="1">
      <alignment horizontal="left"/>
    </xf>
    <xf numFmtId="0" fontId="123" fillId="0" borderId="0" xfId="56" applyFont="1" applyAlignment="1">
      <alignment horizontal="center" wrapText="1"/>
    </xf>
    <xf numFmtId="0" fontId="124" fillId="24" borderId="90" xfId="56" applyFont="1" applyFill="1" applyBorder="1" applyAlignment="1">
      <alignment horizontal="center" vertical="center"/>
    </xf>
    <xf numFmtId="0" fontId="124" fillId="0" borderId="88" xfId="56" applyFont="1" applyBorder="1" applyAlignment="1">
      <alignment horizontal="center"/>
    </xf>
    <xf numFmtId="0" fontId="58" fillId="0" borderId="0" xfId="56" applyFont="1" applyAlignment="1">
      <alignment horizontal="center"/>
    </xf>
    <xf numFmtId="0" fontId="23" fillId="35" borderId="23" xfId="1" applyFont="1" applyFill="1" applyBorder="1" applyAlignment="1">
      <alignment horizontal="center"/>
    </xf>
    <xf numFmtId="0" fontId="23" fillId="35" borderId="24" xfId="1" applyFont="1" applyFill="1" applyBorder="1" applyAlignment="1">
      <alignment horizontal="center"/>
    </xf>
    <xf numFmtId="43" fontId="23" fillId="35" borderId="37" xfId="33" applyFont="1" applyFill="1" applyBorder="1" applyAlignment="1">
      <alignment horizontal="center"/>
    </xf>
    <xf numFmtId="0" fontId="23" fillId="35" borderId="39" xfId="1" applyFont="1" applyFill="1" applyBorder="1"/>
    <xf numFmtId="0" fontId="103" fillId="0" borderId="13" xfId="1" applyFont="1" applyFill="1" applyBorder="1" applyAlignment="1">
      <alignment horizontal="center" vertical="center"/>
    </xf>
    <xf numFmtId="0" fontId="114" fillId="34" borderId="87" xfId="56" applyFont="1" applyFill="1" applyBorder="1" applyAlignment="1">
      <alignment horizontal="center" vertical="center"/>
    </xf>
    <xf numFmtId="4" fontId="114" fillId="34" borderId="89" xfId="56" applyNumberFormat="1" applyFont="1" applyFill="1" applyBorder="1" applyAlignment="1">
      <alignment horizontal="center" vertical="center" wrapText="1"/>
    </xf>
    <xf numFmtId="0" fontId="108" fillId="25" borderId="88" xfId="56" applyFont="1" applyFill="1" applyBorder="1" applyAlignment="1">
      <alignment horizontal="left"/>
    </xf>
    <xf numFmtId="0" fontId="113" fillId="34" borderId="89" xfId="56" applyFont="1" applyFill="1" applyBorder="1" applyAlignment="1">
      <alignment horizontal="center" vertical="center"/>
    </xf>
    <xf numFmtId="0" fontId="92" fillId="28" borderId="92" xfId="56" applyFont="1" applyFill="1" applyBorder="1"/>
    <xf numFmtId="0" fontId="92" fillId="28" borderId="93" xfId="56" applyFont="1" applyFill="1" applyBorder="1"/>
    <xf numFmtId="43" fontId="106" fillId="0" borderId="30" xfId="46" applyFont="1" applyBorder="1"/>
    <xf numFmtId="0" fontId="117" fillId="34" borderId="94" xfId="56" applyFont="1" applyFill="1" applyBorder="1" applyAlignment="1">
      <alignment horizontal="center" vertical="center" wrapText="1"/>
    </xf>
    <xf numFmtId="0" fontId="117" fillId="24" borderId="58" xfId="56" applyNumberFormat="1" applyFont="1" applyFill="1" applyBorder="1" applyAlignment="1">
      <alignment horizontal="center" vertical="center"/>
    </xf>
    <xf numFmtId="0" fontId="117" fillId="0" borderId="58" xfId="56" applyFont="1" applyBorder="1" applyAlignment="1">
      <alignment horizontal="center"/>
    </xf>
    <xf numFmtId="0" fontId="92" fillId="25" borderId="95" xfId="56" applyFont="1" applyFill="1" applyBorder="1"/>
    <xf numFmtId="0" fontId="92" fillId="25" borderId="95" xfId="56" applyFont="1" applyFill="1" applyBorder="1" applyAlignment="1">
      <alignment vertical="center"/>
    </xf>
    <xf numFmtId="0" fontId="92" fillId="25" borderId="95" xfId="56" applyFill="1" applyBorder="1"/>
    <xf numFmtId="0" fontId="92" fillId="0" borderId="95" xfId="56" applyBorder="1"/>
    <xf numFmtId="0" fontId="92" fillId="0" borderId="96" xfId="56" applyBorder="1"/>
    <xf numFmtId="4" fontId="94" fillId="25" borderId="90" xfId="56" applyNumberFormat="1" applyFont="1" applyFill="1" applyBorder="1" applyAlignment="1" applyProtection="1">
      <alignment horizontal="center" vertical="center"/>
      <protection locked="0"/>
    </xf>
    <xf numFmtId="0" fontId="26" fillId="0" borderId="13" xfId="1" applyFont="1" applyFill="1" applyBorder="1" applyAlignment="1">
      <alignment vertical="center"/>
    </xf>
    <xf numFmtId="0" fontId="26" fillId="0" borderId="13" xfId="1" applyFont="1" applyFill="1" applyBorder="1" applyAlignment="1">
      <alignment horizontal="center" vertical="center"/>
    </xf>
    <xf numFmtId="0" fontId="77" fillId="0" borderId="97" xfId="0" applyFont="1" applyFill="1" applyBorder="1" applyAlignment="1">
      <alignment wrapText="1"/>
    </xf>
    <xf numFmtId="0" fontId="125" fillId="0" borderId="13" xfId="1" applyFont="1" applyFill="1" applyBorder="1" applyAlignment="1">
      <alignment horizontal="center" vertical="center"/>
    </xf>
    <xf numFmtId="0" fontId="113" fillId="0" borderId="88" xfId="56" applyFont="1" applyBorder="1" applyAlignment="1">
      <alignment horizontal="center"/>
    </xf>
    <xf numFmtId="4" fontId="95" fillId="0" borderId="88" xfId="56" applyNumberFormat="1" applyFont="1" applyBorder="1" applyAlignment="1" applyProtection="1">
      <alignment horizontal="center" vertical="center"/>
      <protection locked="0"/>
    </xf>
    <xf numFmtId="0" fontId="126" fillId="0" borderId="0" xfId="0" applyFont="1" applyAlignment="1">
      <alignment horizontal="left"/>
    </xf>
    <xf numFmtId="0" fontId="126" fillId="0" borderId="0" xfId="0" applyFont="1"/>
    <xf numFmtId="0" fontId="126" fillId="0" borderId="0" xfId="0" applyFont="1" applyAlignment="1">
      <alignment horizontal="left" vertical="center"/>
    </xf>
    <xf numFmtId="0" fontId="126" fillId="0" borderId="0" xfId="0" applyFont="1" applyAlignment="1">
      <alignment vertical="top" wrapText="1"/>
    </xf>
    <xf numFmtId="14" fontId="126" fillId="0" borderId="0" xfId="0" applyNumberFormat="1" applyFont="1" applyAlignment="1">
      <alignment horizontal="left"/>
    </xf>
    <xf numFmtId="0" fontId="126" fillId="0" borderId="0" xfId="0" applyFont="1" applyAlignment="1">
      <alignment horizontal="right"/>
    </xf>
    <xf numFmtId="0" fontId="92" fillId="0" borderId="0" xfId="0" applyFont="1" applyFill="1" applyBorder="1" applyAlignment="1">
      <alignment vertical="center"/>
    </xf>
    <xf numFmtId="0" fontId="127" fillId="0" borderId="0" xfId="0" quotePrefix="1" applyFont="1" applyFill="1" applyAlignment="1">
      <alignment horizontal="left"/>
    </xf>
    <xf numFmtId="0" fontId="92" fillId="0" borderId="0" xfId="0" applyFont="1" applyFill="1" applyBorder="1" applyAlignment="1">
      <alignment horizontal="center" vertical="center"/>
    </xf>
    <xf numFmtId="0" fontId="92" fillId="0" borderId="0" xfId="0" quotePrefix="1" applyFont="1" applyFill="1" applyAlignment="1">
      <alignment horizontal="left"/>
    </xf>
    <xf numFmtId="0" fontId="128" fillId="24" borderId="36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top" wrapText="1"/>
    </xf>
    <xf numFmtId="4" fontId="0" fillId="0" borderId="0" xfId="0" applyNumberFormat="1" applyBorder="1" applyAlignment="1">
      <alignment horizontal="center" wrapText="1"/>
    </xf>
    <xf numFmtId="0" fontId="126" fillId="0" borderId="0" xfId="0" applyFont="1" applyAlignment="1"/>
    <xf numFmtId="0" fontId="0" fillId="0" borderId="0" xfId="0" applyFont="1"/>
    <xf numFmtId="0" fontId="126" fillId="0" borderId="0" xfId="0" applyFont="1" applyFill="1" applyAlignment="1">
      <alignment horizontal="left"/>
    </xf>
    <xf numFmtId="0" fontId="41" fillId="0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/>
    <xf numFmtId="0" fontId="126" fillId="0" borderId="0" xfId="0" applyFont="1" applyBorder="1" applyAlignment="1"/>
    <xf numFmtId="0" fontId="0" fillId="0" borderId="0" xfId="0" applyFont="1" applyFill="1" applyBorder="1"/>
    <xf numFmtId="0" fontId="128" fillId="24" borderId="36" xfId="0" quotePrefix="1" applyFont="1" applyFill="1" applyBorder="1" applyAlignment="1">
      <alignment horizontal="center" vertical="center" wrapText="1"/>
    </xf>
    <xf numFmtId="2" fontId="22" fillId="0" borderId="13" xfId="1" applyNumberFormat="1" applyFont="1" applyFill="1" applyBorder="1" applyAlignment="1">
      <alignment horizontal="center" vertical="center"/>
    </xf>
    <xf numFmtId="43" fontId="22" fillId="24" borderId="13" xfId="33" applyFont="1" applyFill="1" applyBorder="1" applyAlignment="1">
      <alignment horizontal="center"/>
    </xf>
    <xf numFmtId="1" fontId="105" fillId="0" borderId="0" xfId="0" applyNumberFormat="1" applyFont="1" applyFill="1" applyBorder="1" applyAlignment="1">
      <alignment horizontal="center" vertical="center"/>
    </xf>
    <xf numFmtId="0" fontId="10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right"/>
    </xf>
    <xf numFmtId="0" fontId="26" fillId="0" borderId="13" xfId="0" applyFont="1" applyFill="1" applyBorder="1" applyAlignment="1">
      <alignment vertical="center"/>
    </xf>
    <xf numFmtId="49" fontId="23" fillId="38" borderId="13" xfId="1" applyNumberFormat="1" applyFont="1" applyFill="1" applyBorder="1" applyAlignment="1">
      <alignment horizontal="center" vertical="center"/>
    </xf>
    <xf numFmtId="0" fontId="26" fillId="38" borderId="15" xfId="0" applyFont="1" applyFill="1" applyBorder="1" applyAlignment="1">
      <alignment vertical="center"/>
    </xf>
    <xf numFmtId="0" fontId="40" fillId="38" borderId="21" xfId="0" applyFont="1" applyFill="1" applyBorder="1" applyAlignment="1">
      <alignment vertical="center"/>
    </xf>
    <xf numFmtId="0" fontId="26" fillId="38" borderId="21" xfId="0" applyFont="1" applyFill="1" applyBorder="1" applyAlignment="1">
      <alignment vertical="center"/>
    </xf>
    <xf numFmtId="0" fontId="25" fillId="38" borderId="13" xfId="0" applyFont="1" applyFill="1" applyBorder="1" applyAlignment="1">
      <alignment vertical="center"/>
    </xf>
    <xf numFmtId="2" fontId="19" fillId="38" borderId="13" xfId="1" applyNumberFormat="1" applyFont="1" applyFill="1" applyBorder="1" applyAlignment="1">
      <alignment horizontal="center" vertical="center"/>
    </xf>
    <xf numFmtId="2" fontId="21" fillId="38" borderId="13" xfId="1" applyNumberFormat="1" applyFont="1" applyFill="1" applyBorder="1" applyAlignment="1">
      <alignment horizontal="center" vertical="center"/>
    </xf>
    <xf numFmtId="2" fontId="25" fillId="38" borderId="13" xfId="1" applyNumberFormat="1" applyFont="1" applyFill="1" applyBorder="1" applyAlignment="1">
      <alignment horizontal="center" vertical="center"/>
    </xf>
    <xf numFmtId="2" fontId="24" fillId="38" borderId="13" xfId="1" applyNumberFormat="1" applyFont="1" applyFill="1" applyBorder="1" applyAlignment="1">
      <alignment horizontal="center"/>
    </xf>
    <xf numFmtId="43" fontId="22" fillId="38" borderId="13" xfId="33" applyFont="1" applyFill="1" applyBorder="1" applyAlignment="1">
      <alignment horizontal="center"/>
    </xf>
    <xf numFmtId="0" fontId="26" fillId="38" borderId="13" xfId="1" applyFont="1" applyFill="1" applyBorder="1" applyAlignment="1">
      <alignment horizontal="center" vertical="center"/>
    </xf>
    <xf numFmtId="2" fontId="24" fillId="38" borderId="13" xfId="1" applyNumberFormat="1" applyFont="1" applyFill="1" applyBorder="1" applyAlignment="1">
      <alignment horizontal="center" vertical="center"/>
    </xf>
    <xf numFmtId="43" fontId="22" fillId="38" borderId="13" xfId="33" applyFont="1" applyFill="1" applyBorder="1" applyAlignment="1">
      <alignment horizontal="center" vertical="center"/>
    </xf>
    <xf numFmtId="0" fontId="125" fillId="0" borderId="98" xfId="0" applyFont="1" applyFill="1" applyBorder="1" applyAlignment="1">
      <alignment horizontal="center" vertical="center"/>
    </xf>
    <xf numFmtId="0" fontId="102" fillId="0" borderId="12" xfId="0" applyFont="1" applyFill="1" applyBorder="1" applyAlignment="1">
      <alignment horizontal="center" vertical="center"/>
    </xf>
    <xf numFmtId="0" fontId="102" fillId="0" borderId="10" xfId="0" applyFont="1" applyFill="1" applyBorder="1" applyAlignment="1">
      <alignment horizontal="center" vertical="center"/>
    </xf>
    <xf numFmtId="0" fontId="125" fillId="0" borderId="14" xfId="0" applyFont="1" applyFill="1" applyBorder="1" applyAlignment="1">
      <alignment horizontal="center" vertical="center"/>
    </xf>
    <xf numFmtId="2" fontId="22" fillId="24" borderId="13" xfId="1" applyNumberFormat="1" applyFont="1" applyFill="1" applyBorder="1" applyAlignment="1">
      <alignment horizontal="center" vertical="center"/>
    </xf>
    <xf numFmtId="2" fontId="132" fillId="0" borderId="13" xfId="1" applyNumberFormat="1" applyFont="1" applyFill="1" applyBorder="1" applyAlignment="1">
      <alignment horizontal="center" vertical="center"/>
    </xf>
    <xf numFmtId="0" fontId="133" fillId="0" borderId="13" xfId="1" applyFont="1" applyFill="1" applyBorder="1" applyAlignment="1">
      <alignment horizontal="center" vertical="center"/>
    </xf>
    <xf numFmtId="2" fontId="133" fillId="0" borderId="13" xfId="1" applyNumberFormat="1" applyFont="1" applyFill="1" applyBorder="1" applyAlignment="1">
      <alignment horizontal="center" vertical="center"/>
    </xf>
    <xf numFmtId="0" fontId="126" fillId="0" borderId="36" xfId="0" applyFont="1" applyBorder="1" applyAlignment="1">
      <alignment horizontal="center" vertical="center"/>
    </xf>
    <xf numFmtId="0" fontId="0" fillId="0" borderId="36" xfId="0" applyBorder="1" applyAlignment="1">
      <alignment horizontal="center" wrapText="1"/>
    </xf>
    <xf numFmtId="0" fontId="126" fillId="0" borderId="36" xfId="0" applyFont="1" applyBorder="1" applyAlignment="1">
      <alignment wrapText="1"/>
    </xf>
    <xf numFmtId="4" fontId="0" fillId="0" borderId="36" xfId="0" applyNumberFormat="1" applyBorder="1" applyAlignment="1">
      <alignment horizontal="center" wrapText="1"/>
    </xf>
    <xf numFmtId="2" fontId="126" fillId="0" borderId="36" xfId="0" applyNumberFormat="1" applyFont="1" applyBorder="1" applyAlignment="1">
      <alignment horizontal="center" vertical="center"/>
    </xf>
    <xf numFmtId="4" fontId="92" fillId="0" borderId="36" xfId="0" applyNumberFormat="1" applyFont="1" applyFill="1" applyBorder="1" applyAlignment="1">
      <alignment horizontal="center" vertical="center"/>
    </xf>
    <xf numFmtId="3" fontId="92" fillId="0" borderId="36" xfId="0" applyNumberFormat="1" applyFont="1" applyFill="1" applyBorder="1" applyAlignment="1">
      <alignment horizontal="center" vertical="center"/>
    </xf>
    <xf numFmtId="0" fontId="129" fillId="0" borderId="36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left" vertical="center"/>
    </xf>
    <xf numFmtId="0" fontId="129" fillId="0" borderId="36" xfId="0" applyFont="1" applyFill="1" applyBorder="1" applyAlignment="1">
      <alignment horizontal="left" vertical="center" wrapText="1"/>
    </xf>
    <xf numFmtId="0" fontId="0" fillId="0" borderId="36" xfId="0" applyBorder="1" applyAlignment="1">
      <alignment horizontal="center" vertical="center" wrapText="1"/>
    </xf>
    <xf numFmtId="9" fontId="77" fillId="0" borderId="36" xfId="49" applyFont="1" applyFill="1" applyBorder="1" applyAlignment="1">
      <alignment horizontal="center" vertical="center"/>
    </xf>
    <xf numFmtId="4" fontId="0" fillId="0" borderId="36" xfId="0" applyNumberFormat="1" applyBorder="1" applyAlignment="1">
      <alignment horizontal="center" vertical="center" wrapText="1"/>
    </xf>
    <xf numFmtId="0" fontId="125" fillId="0" borderId="13" xfId="0" applyFont="1" applyFill="1" applyBorder="1" applyAlignment="1">
      <alignment horizontal="left" vertical="center"/>
    </xf>
    <xf numFmtId="0" fontId="111" fillId="0" borderId="0" xfId="0" applyFont="1" applyFill="1" applyBorder="1" applyAlignment="1">
      <alignment horizontal="center" vertical="center"/>
    </xf>
    <xf numFmtId="0" fontId="130" fillId="0" borderId="0" xfId="0" applyFont="1" applyFill="1" applyBorder="1" applyAlignment="1">
      <alignment horizontal="center" vertical="center"/>
    </xf>
    <xf numFmtId="0" fontId="131" fillId="0" borderId="0" xfId="0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/>
    </xf>
    <xf numFmtId="0" fontId="109" fillId="0" borderId="0" xfId="0" applyFont="1" applyFill="1" applyBorder="1" applyAlignment="1">
      <alignment horizontal="center" vertical="center"/>
    </xf>
    <xf numFmtId="0" fontId="119" fillId="0" borderId="0" xfId="0" applyFont="1" applyFill="1" applyBorder="1" applyAlignment="1">
      <alignment horizontal="center" vertical="center"/>
    </xf>
    <xf numFmtId="0" fontId="40" fillId="0" borderId="0" xfId="1" applyFont="1" applyFill="1" applyBorder="1" applyAlignment="1">
      <alignment horizontal="center"/>
    </xf>
    <xf numFmtId="0" fontId="134" fillId="0" borderId="14" xfId="0" applyFont="1" applyFill="1" applyBorder="1" applyAlignment="1">
      <alignment horizontal="center" vertical="center"/>
    </xf>
    <xf numFmtId="2" fontId="22" fillId="25" borderId="13" xfId="1" applyNumberFormat="1" applyFont="1" applyFill="1" applyBorder="1" applyAlignment="1">
      <alignment horizontal="center" vertical="center"/>
    </xf>
    <xf numFmtId="43" fontId="0" fillId="0" borderId="0" xfId="0" applyNumberFormat="1"/>
    <xf numFmtId="43" fontId="23" fillId="35" borderId="0" xfId="33" applyFont="1" applyFill="1" applyBorder="1" applyAlignment="1">
      <alignment horizontal="center" vertical="center"/>
    </xf>
    <xf numFmtId="43" fontId="22" fillId="35" borderId="0" xfId="33" applyFont="1" applyFill="1" applyBorder="1" applyAlignment="1">
      <alignment horizontal="center" vertical="center"/>
    </xf>
    <xf numFmtId="49" fontId="26" fillId="36" borderId="0" xfId="1" applyNumberFormat="1" applyFont="1" applyFill="1" applyBorder="1" applyAlignment="1">
      <alignment horizontal="center" vertical="center"/>
    </xf>
    <xf numFmtId="43" fontId="22" fillId="0" borderId="0" xfId="33" applyFont="1" applyFill="1" applyBorder="1" applyAlignment="1">
      <alignment horizontal="center"/>
    </xf>
    <xf numFmtId="43" fontId="22" fillId="38" borderId="0" xfId="33" applyFont="1" applyFill="1" applyBorder="1" applyAlignment="1">
      <alignment horizontal="center"/>
    </xf>
    <xf numFmtId="43" fontId="22" fillId="38" borderId="0" xfId="33" applyFont="1" applyFill="1" applyBorder="1" applyAlignment="1">
      <alignment horizontal="center" vertical="center"/>
    </xf>
    <xf numFmtId="164" fontId="24" fillId="0" borderId="0" xfId="1" applyNumberFormat="1" applyFont="1" applyFill="1" applyBorder="1" applyAlignment="1">
      <alignment horizontal="center"/>
    </xf>
    <xf numFmtId="0" fontId="41" fillId="0" borderId="0" xfId="0" applyFont="1" applyFill="1" applyBorder="1"/>
    <xf numFmtId="0" fontId="128" fillId="24" borderId="10" xfId="0" applyFont="1" applyFill="1" applyBorder="1" applyAlignment="1">
      <alignment horizontal="center" vertical="center" wrapText="1"/>
    </xf>
    <xf numFmtId="4" fontId="92" fillId="0" borderId="0" xfId="0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0" fontId="33" fillId="26" borderId="34" xfId="0" applyFont="1" applyFill="1" applyBorder="1" applyAlignment="1">
      <alignment horizontal="center" vertical="center" wrapText="1"/>
    </xf>
    <xf numFmtId="0" fontId="33" fillId="26" borderId="38" xfId="0" applyFont="1" applyFill="1" applyBorder="1" applyAlignment="1">
      <alignment horizontal="center" vertical="center" wrapText="1"/>
    </xf>
    <xf numFmtId="0" fontId="33" fillId="26" borderId="35" xfId="0" applyFont="1" applyFill="1" applyBorder="1" applyAlignment="1">
      <alignment horizontal="center" vertical="center" wrapText="1"/>
    </xf>
    <xf numFmtId="0" fontId="33" fillId="26" borderId="27" xfId="0" applyFont="1" applyFill="1" applyBorder="1" applyAlignment="1">
      <alignment horizontal="center" vertical="center" wrapText="1"/>
    </xf>
    <xf numFmtId="0" fontId="33" fillId="26" borderId="28" xfId="0" applyFont="1" applyFill="1" applyBorder="1" applyAlignment="1">
      <alignment horizontal="center" vertical="center" wrapText="1"/>
    </xf>
    <xf numFmtId="0" fontId="33" fillId="26" borderId="29" xfId="0" applyFont="1" applyFill="1" applyBorder="1" applyAlignment="1">
      <alignment horizontal="center" vertical="center" wrapText="1"/>
    </xf>
    <xf numFmtId="0" fontId="34" fillId="0" borderId="4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34" fillId="0" borderId="48" xfId="0" applyFont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35" fillId="0" borderId="59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5" fillId="0" borderId="60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left" vertical="center" wrapText="1"/>
    </xf>
    <xf numFmtId="0" fontId="35" fillId="0" borderId="21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33" fillId="28" borderId="34" xfId="0" applyFont="1" applyFill="1" applyBorder="1" applyAlignment="1">
      <alignment horizontal="center" vertical="center" wrapText="1"/>
    </xf>
    <xf numFmtId="0" fontId="33" fillId="28" borderId="38" xfId="0" applyFont="1" applyFill="1" applyBorder="1" applyAlignment="1">
      <alignment horizontal="center" vertical="center" wrapText="1"/>
    </xf>
    <xf numFmtId="0" fontId="33" fillId="28" borderId="35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33" fillId="28" borderId="79" xfId="0" applyFont="1" applyFill="1" applyBorder="1" applyAlignment="1">
      <alignment horizontal="center" vertical="center" wrapText="1"/>
    </xf>
    <xf numFmtId="0" fontId="33" fillId="28" borderId="76" xfId="0" applyFont="1" applyFill="1" applyBorder="1" applyAlignment="1">
      <alignment horizontal="center" vertical="center" wrapText="1"/>
    </xf>
    <xf numFmtId="0" fontId="33" fillId="28" borderId="80" xfId="0" applyFont="1" applyFill="1" applyBorder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33" fillId="0" borderId="34" xfId="0" applyFont="1" applyBorder="1" applyAlignment="1">
      <alignment horizontal="left" vertical="center"/>
    </xf>
    <xf numFmtId="0" fontId="33" fillId="0" borderId="35" xfId="0" applyFont="1" applyBorder="1" applyAlignment="1">
      <alignment horizontal="left" vertical="center"/>
    </xf>
    <xf numFmtId="0" fontId="35" fillId="0" borderId="56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58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49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left" vertical="center" wrapText="1"/>
    </xf>
    <xf numFmtId="0" fontId="32" fillId="0" borderId="0" xfId="0" applyFont="1" applyAlignment="1">
      <alignment horizontal="center" vertical="center" wrapText="1"/>
    </xf>
    <xf numFmtId="0" fontId="47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33" fillId="31" borderId="73" xfId="0" applyFont="1" applyFill="1" applyBorder="1" applyAlignment="1">
      <alignment horizontal="center" vertical="center" wrapText="1"/>
    </xf>
    <xf numFmtId="0" fontId="33" fillId="31" borderId="74" xfId="0" applyFont="1" applyFill="1" applyBorder="1" applyAlignment="1">
      <alignment horizontal="center" vertical="center" wrapText="1"/>
    </xf>
    <xf numFmtId="0" fontId="33" fillId="31" borderId="75" xfId="0" applyFont="1" applyFill="1" applyBorder="1" applyAlignment="1">
      <alignment horizontal="center" vertical="center" wrapText="1"/>
    </xf>
    <xf numFmtId="0" fontId="33" fillId="24" borderId="30" xfId="0" applyFont="1" applyFill="1" applyBorder="1" applyAlignment="1">
      <alignment horizontal="center" vertical="center" wrapText="1"/>
    </xf>
    <xf numFmtId="0" fontId="33" fillId="24" borderId="0" xfId="0" applyFont="1" applyFill="1" applyAlignment="1">
      <alignment horizontal="center" vertical="center" wrapText="1"/>
    </xf>
    <xf numFmtId="0" fontId="33" fillId="24" borderId="31" xfId="0" applyFont="1" applyFill="1" applyBorder="1" applyAlignment="1">
      <alignment horizontal="center" vertical="center" wrapText="1"/>
    </xf>
    <xf numFmtId="0" fontId="33" fillId="24" borderId="79" xfId="0" applyFont="1" applyFill="1" applyBorder="1" applyAlignment="1">
      <alignment horizontal="center" vertical="center" wrapText="1"/>
    </xf>
    <xf numFmtId="0" fontId="33" fillId="24" borderId="76" xfId="0" applyFont="1" applyFill="1" applyBorder="1" applyAlignment="1">
      <alignment horizontal="center" vertical="center" wrapText="1"/>
    </xf>
    <xf numFmtId="0" fontId="33" fillId="24" borderId="80" xfId="0" applyFont="1" applyFill="1" applyBorder="1" applyAlignment="1">
      <alignment horizontal="center" vertical="center" wrapText="1"/>
    </xf>
    <xf numFmtId="0" fontId="33" fillId="24" borderId="34" xfId="0" applyFont="1" applyFill="1" applyBorder="1" applyAlignment="1">
      <alignment horizontal="center" vertical="center" wrapText="1"/>
    </xf>
    <xf numFmtId="0" fontId="33" fillId="24" borderId="38" xfId="0" applyFont="1" applyFill="1" applyBorder="1" applyAlignment="1">
      <alignment horizontal="center" vertical="center" wrapText="1"/>
    </xf>
    <xf numFmtId="0" fontId="33" fillId="24" borderId="35" xfId="0" applyFont="1" applyFill="1" applyBorder="1" applyAlignment="1">
      <alignment horizontal="center" vertical="center" wrapText="1"/>
    </xf>
    <xf numFmtId="0" fontId="46" fillId="26" borderId="30" xfId="0" applyFont="1" applyFill="1" applyBorder="1" applyAlignment="1">
      <alignment horizontal="center" vertical="center" wrapText="1"/>
    </xf>
    <xf numFmtId="0" fontId="46" fillId="26" borderId="0" xfId="0" applyFont="1" applyFill="1" applyAlignment="1">
      <alignment horizontal="center" vertical="center" wrapText="1"/>
    </xf>
    <xf numFmtId="0" fontId="46" fillId="26" borderId="31" xfId="0" applyFont="1" applyFill="1" applyBorder="1" applyAlignment="1">
      <alignment horizontal="center" vertical="center" wrapText="1"/>
    </xf>
    <xf numFmtId="0" fontId="46" fillId="26" borderId="79" xfId="0" applyFont="1" applyFill="1" applyBorder="1" applyAlignment="1">
      <alignment horizontal="center" vertical="center" wrapText="1"/>
    </xf>
    <xf numFmtId="0" fontId="46" fillId="26" borderId="76" xfId="0" applyFont="1" applyFill="1" applyBorder="1" applyAlignment="1">
      <alignment horizontal="center" vertical="center" wrapText="1"/>
    </xf>
    <xf numFmtId="0" fontId="46" fillId="26" borderId="80" xfId="0" applyFont="1" applyFill="1" applyBorder="1" applyAlignment="1">
      <alignment horizontal="center" vertical="center" wrapText="1"/>
    </xf>
    <xf numFmtId="0" fontId="33" fillId="24" borderId="73" xfId="0" applyFont="1" applyFill="1" applyBorder="1" applyAlignment="1">
      <alignment horizontal="center" vertical="center" wrapText="1"/>
    </xf>
    <xf numFmtId="0" fontId="33" fillId="24" borderId="74" xfId="0" applyFont="1" applyFill="1" applyBorder="1" applyAlignment="1">
      <alignment horizontal="center" vertical="center" wrapText="1"/>
    </xf>
    <xf numFmtId="0" fontId="33" fillId="24" borderId="75" xfId="0" applyFont="1" applyFill="1" applyBorder="1" applyAlignment="1">
      <alignment horizontal="center" vertical="center" wrapText="1"/>
    </xf>
    <xf numFmtId="0" fontId="47" fillId="0" borderId="36" xfId="0" applyFont="1" applyBorder="1" applyAlignment="1">
      <alignment horizontal="center" vertical="center" wrapText="1"/>
    </xf>
    <xf numFmtId="0" fontId="46" fillId="26" borderId="34" xfId="0" applyFont="1" applyFill="1" applyBorder="1" applyAlignment="1">
      <alignment horizontal="center" vertical="center" wrapText="1"/>
    </xf>
    <xf numFmtId="0" fontId="46" fillId="26" borderId="38" xfId="0" applyFont="1" applyFill="1" applyBorder="1" applyAlignment="1">
      <alignment horizontal="center" vertical="center" wrapText="1"/>
    </xf>
    <xf numFmtId="0" fontId="46" fillId="26" borderId="35" xfId="0" applyFont="1" applyFill="1" applyBorder="1" applyAlignment="1">
      <alignment horizontal="center" vertical="center" wrapText="1"/>
    </xf>
    <xf numFmtId="0" fontId="28" fillId="25" borderId="0" xfId="0" applyFont="1" applyFill="1" applyAlignment="1">
      <alignment horizontal="center"/>
    </xf>
    <xf numFmtId="0" fontId="28" fillId="25" borderId="31" xfId="0" applyFont="1" applyFill="1" applyBorder="1" applyAlignment="1">
      <alignment horizontal="center"/>
    </xf>
    <xf numFmtId="0" fontId="58" fillId="25" borderId="65" xfId="0" applyFont="1" applyFill="1" applyBorder="1" applyAlignment="1">
      <alignment horizontal="center" vertical="center"/>
    </xf>
    <xf numFmtId="0" fontId="58" fillId="25" borderId="66" xfId="0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58" fillId="0" borderId="62" xfId="0" applyFont="1" applyBorder="1" applyAlignment="1">
      <alignment horizontal="center" vertical="center"/>
    </xf>
    <xf numFmtId="0" fontId="58" fillId="0" borderId="70" xfId="0" applyFont="1" applyBorder="1" applyAlignment="1">
      <alignment horizontal="center" vertical="center"/>
    </xf>
    <xf numFmtId="0" fontId="59" fillId="0" borderId="63" xfId="0" applyFont="1" applyBorder="1" applyAlignment="1">
      <alignment horizontal="center" vertical="center"/>
    </xf>
    <xf numFmtId="0" fontId="59" fillId="0" borderId="14" xfId="0" applyFont="1" applyBorder="1" applyAlignment="1">
      <alignment horizontal="center" vertical="center"/>
    </xf>
    <xf numFmtId="0" fontId="58" fillId="0" borderId="63" xfId="0" applyFont="1" applyBorder="1" applyAlignment="1">
      <alignment horizontal="center" vertical="center"/>
    </xf>
    <xf numFmtId="0" fontId="58" fillId="0" borderId="14" xfId="0" applyFont="1" applyBorder="1" applyAlignment="1">
      <alignment horizontal="center" vertical="center"/>
    </xf>
    <xf numFmtId="0" fontId="131" fillId="0" borderId="0" xfId="0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/>
    </xf>
    <xf numFmtId="43" fontId="23" fillId="35" borderId="27" xfId="33" applyFont="1" applyFill="1" applyBorder="1" applyAlignment="1">
      <alignment horizontal="center" vertical="center"/>
    </xf>
    <xf numFmtId="43" fontId="23" fillId="35" borderId="91" xfId="33" applyFont="1" applyFill="1" applyBorder="1" applyAlignment="1">
      <alignment horizontal="center" vertical="center"/>
    </xf>
    <xf numFmtId="2" fontId="22" fillId="35" borderId="23" xfId="33" applyNumberFormat="1" applyFont="1" applyFill="1" applyBorder="1" applyAlignment="1">
      <alignment horizontal="center" vertical="center"/>
    </xf>
    <xf numFmtId="2" fontId="22" fillId="35" borderId="39" xfId="33" applyNumberFormat="1" applyFont="1" applyFill="1" applyBorder="1" applyAlignment="1">
      <alignment horizontal="center" vertical="center"/>
    </xf>
    <xf numFmtId="43" fontId="22" fillId="35" borderId="73" xfId="33" applyFont="1" applyFill="1" applyBorder="1" applyAlignment="1">
      <alignment horizontal="center" vertical="center"/>
    </xf>
    <xf numFmtId="43" fontId="22" fillId="35" borderId="79" xfId="33" applyFont="1" applyFill="1" applyBorder="1" applyAlignment="1">
      <alignment horizontal="center" vertical="center"/>
    </xf>
    <xf numFmtId="43" fontId="23" fillId="35" borderId="28" xfId="33" applyFont="1" applyFill="1" applyBorder="1" applyAlignment="1">
      <alignment horizontal="center" vertical="center"/>
    </xf>
    <xf numFmtId="43" fontId="23" fillId="35" borderId="29" xfId="33" applyFont="1" applyFill="1" applyBorder="1" applyAlignment="1">
      <alignment horizontal="center" vertical="center"/>
    </xf>
    <xf numFmtId="0" fontId="109" fillId="0" borderId="0" xfId="0" applyFont="1" applyFill="1" applyBorder="1" applyAlignment="1">
      <alignment horizontal="center" vertical="center"/>
    </xf>
    <xf numFmtId="0" fontId="119" fillId="0" borderId="0" xfId="0" applyFont="1" applyFill="1" applyBorder="1" applyAlignment="1">
      <alignment horizontal="center" vertical="center"/>
    </xf>
    <xf numFmtId="0" fontId="40" fillId="0" borderId="0" xfId="1" applyFont="1" applyFill="1" applyBorder="1" applyAlignment="1">
      <alignment horizontal="center"/>
    </xf>
    <xf numFmtId="0" fontId="23" fillId="35" borderId="23" xfId="1" applyFont="1" applyFill="1" applyBorder="1" applyAlignment="1">
      <alignment horizontal="center" vertical="center" textRotation="90"/>
    </xf>
    <xf numFmtId="0" fontId="23" fillId="35" borderId="24" xfId="1" applyFont="1" applyFill="1" applyBorder="1" applyAlignment="1">
      <alignment horizontal="center" vertical="center" textRotation="90"/>
    </xf>
    <xf numFmtId="0" fontId="23" fillId="35" borderId="39" xfId="1" applyFont="1" applyFill="1" applyBorder="1" applyAlignment="1">
      <alignment horizontal="center" vertical="center" textRotation="90"/>
    </xf>
    <xf numFmtId="43" fontId="23" fillId="35" borderId="27" xfId="33" applyFont="1" applyFill="1" applyBorder="1" applyAlignment="1">
      <alignment horizontal="center"/>
    </xf>
    <xf numFmtId="43" fontId="23" fillId="35" borderId="29" xfId="33" applyFont="1" applyFill="1" applyBorder="1" applyAlignment="1">
      <alignment horizontal="center"/>
    </xf>
    <xf numFmtId="0" fontId="22" fillId="35" borderId="23" xfId="1" applyFont="1" applyFill="1" applyBorder="1" applyAlignment="1">
      <alignment horizontal="center" vertical="center" textRotation="90"/>
    </xf>
    <xf numFmtId="0" fontId="22" fillId="35" borderId="24" xfId="1" applyFont="1" applyFill="1" applyBorder="1" applyAlignment="1">
      <alignment horizontal="center" vertical="center" textRotation="90"/>
    </xf>
    <xf numFmtId="0" fontId="22" fillId="35" borderId="39" xfId="1" applyFont="1" applyFill="1" applyBorder="1" applyAlignment="1">
      <alignment horizontal="center" vertical="center" textRotation="90"/>
    </xf>
    <xf numFmtId="0" fontId="130" fillId="0" borderId="0" xfId="0" applyFont="1" applyFill="1" applyBorder="1" applyAlignment="1">
      <alignment horizontal="center" vertical="center"/>
    </xf>
    <xf numFmtId="0" fontId="26" fillId="38" borderId="15" xfId="0" applyFont="1" applyFill="1" applyBorder="1" applyAlignment="1">
      <alignment horizontal="center" vertical="center"/>
    </xf>
    <xf numFmtId="0" fontId="26" fillId="38" borderId="21" xfId="0" applyFont="1" applyFill="1" applyBorder="1" applyAlignment="1">
      <alignment horizontal="center" vertical="center"/>
    </xf>
    <xf numFmtId="0" fontId="26" fillId="38" borderId="16" xfId="0" applyFont="1" applyFill="1" applyBorder="1" applyAlignment="1">
      <alignment horizontal="center" vertical="center"/>
    </xf>
    <xf numFmtId="0" fontId="26" fillId="38" borderId="15" xfId="0" applyFont="1" applyFill="1" applyBorder="1" applyAlignment="1">
      <alignment horizontal="right" vertical="center"/>
    </xf>
    <xf numFmtId="0" fontId="26" fillId="38" borderId="21" xfId="0" applyFont="1" applyFill="1" applyBorder="1" applyAlignment="1">
      <alignment horizontal="right" vertical="center"/>
    </xf>
    <xf numFmtId="0" fontId="26" fillId="38" borderId="16" xfId="0" applyFont="1" applyFill="1" applyBorder="1" applyAlignment="1">
      <alignment horizontal="right" vertical="center"/>
    </xf>
    <xf numFmtId="49" fontId="26" fillId="36" borderId="15" xfId="1" applyNumberFormat="1" applyFont="1" applyFill="1" applyBorder="1" applyAlignment="1">
      <alignment horizontal="center" vertical="center"/>
    </xf>
    <xf numFmtId="49" fontId="26" fillId="36" borderId="21" xfId="1" applyNumberFormat="1" applyFont="1" applyFill="1" applyBorder="1" applyAlignment="1">
      <alignment horizontal="center" vertical="center"/>
    </xf>
    <xf numFmtId="49" fontId="26" fillId="36" borderId="16" xfId="1" applyNumberFormat="1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40" fillId="35" borderId="23" xfId="1" applyFont="1" applyFill="1" applyBorder="1" applyAlignment="1">
      <alignment horizontal="center" vertical="center" textRotation="90"/>
    </xf>
    <xf numFmtId="0" fontId="40" fillId="35" borderId="24" xfId="1" applyFont="1" applyFill="1" applyBorder="1" applyAlignment="1">
      <alignment horizontal="center" vertical="center" textRotation="90"/>
    </xf>
    <xf numFmtId="0" fontId="40" fillId="35" borderId="39" xfId="1" applyFont="1" applyFill="1" applyBorder="1" applyAlignment="1">
      <alignment horizontal="center" vertical="center" textRotation="90"/>
    </xf>
    <xf numFmtId="43" fontId="23" fillId="35" borderId="23" xfId="33" applyFont="1" applyFill="1" applyBorder="1" applyAlignment="1">
      <alignment horizontal="center" vertical="center"/>
    </xf>
    <xf numFmtId="43" fontId="23" fillId="35" borderId="39" xfId="33" applyFont="1" applyFill="1" applyBorder="1" applyAlignment="1">
      <alignment horizontal="center" vertical="center"/>
    </xf>
    <xf numFmtId="0" fontId="126" fillId="0" borderId="0" xfId="0" applyFont="1" applyAlignment="1">
      <alignment horizontal="left" vertical="top" wrapText="1"/>
    </xf>
    <xf numFmtId="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6" fillId="26" borderId="83" xfId="0" applyFont="1" applyFill="1" applyBorder="1" applyAlignment="1">
      <alignment horizontal="center" vertical="center"/>
    </xf>
    <xf numFmtId="0" fontId="76" fillId="26" borderId="84" xfId="0" applyFont="1" applyFill="1" applyBorder="1" applyAlignment="1">
      <alignment horizontal="center" vertical="center"/>
    </xf>
    <xf numFmtId="0" fontId="76" fillId="33" borderId="27" xfId="0" applyFont="1" applyFill="1" applyBorder="1" applyAlignment="1">
      <alignment horizontal="center"/>
    </xf>
    <xf numFmtId="0" fontId="76" fillId="33" borderId="28" xfId="0" applyFont="1" applyFill="1" applyBorder="1" applyAlignment="1">
      <alignment horizontal="center"/>
    </xf>
    <xf numFmtId="0" fontId="76" fillId="33" borderId="29" xfId="0" applyFont="1" applyFill="1" applyBorder="1" applyAlignment="1">
      <alignment horizontal="center"/>
    </xf>
    <xf numFmtId="0" fontId="96" fillId="25" borderId="13" xfId="52" applyFont="1" applyFill="1" applyBorder="1" applyAlignment="1">
      <alignment horizontal="center" vertical="center" wrapText="1"/>
    </xf>
    <xf numFmtId="0" fontId="96" fillId="25" borderId="14" xfId="52" applyFont="1" applyFill="1" applyBorder="1" applyAlignment="1">
      <alignment horizontal="center" vertical="center" wrapText="1"/>
    </xf>
    <xf numFmtId="0" fontId="59" fillId="0" borderId="0" xfId="52" applyFont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7" fillId="26" borderId="85" xfId="0" applyFont="1" applyFill="1" applyBorder="1"/>
    <xf numFmtId="1" fontId="76" fillId="26" borderId="25" xfId="0" applyNumberFormat="1" applyFont="1" applyFill="1" applyBorder="1" applyAlignment="1">
      <alignment horizontal="center"/>
    </xf>
    <xf numFmtId="1" fontId="76" fillId="26" borderId="26" xfId="0" applyNumberFormat="1" applyFont="1" applyFill="1" applyBorder="1" applyAlignment="1">
      <alignment horizontal="center"/>
    </xf>
    <xf numFmtId="0" fontId="76" fillId="26" borderId="27" xfId="0" applyFont="1" applyFill="1" applyBorder="1" applyAlignment="1">
      <alignment horizontal="center" vertical="center"/>
    </xf>
    <xf numFmtId="0" fontId="76" fillId="26" borderId="28" xfId="0" applyFont="1" applyFill="1" applyBorder="1" applyAlignment="1">
      <alignment horizontal="center" vertical="center"/>
    </xf>
    <xf numFmtId="0" fontId="76" fillId="26" borderId="29" xfId="0" applyFont="1" applyFill="1" applyBorder="1" applyAlignment="1">
      <alignment horizontal="center" vertical="center"/>
    </xf>
    <xf numFmtId="0" fontId="41" fillId="0" borderId="34" xfId="0" applyFont="1" applyBorder="1" applyAlignment="1">
      <alignment horizontal="center"/>
    </xf>
    <xf numFmtId="0" fontId="41" fillId="0" borderId="38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1" fillId="0" borderId="34" xfId="0" applyFont="1" applyBorder="1" applyAlignment="1">
      <alignment horizontal="center" vertical="center"/>
    </xf>
    <xf numFmtId="0" fontId="41" fillId="0" borderId="38" xfId="0" applyFont="1" applyBorder="1" applyAlignment="1">
      <alignment horizontal="center" vertical="center"/>
    </xf>
    <xf numFmtId="0" fontId="41" fillId="0" borderId="35" xfId="0" applyFont="1" applyBorder="1" applyAlignment="1">
      <alignment horizontal="center" vertical="center"/>
    </xf>
    <xf numFmtId="4" fontId="80" fillId="33" borderId="34" xfId="0" applyNumberFormat="1" applyFont="1" applyFill="1" applyBorder="1" applyAlignment="1">
      <alignment horizontal="center" vertical="center"/>
    </xf>
    <xf numFmtId="4" fontId="80" fillId="33" borderId="38" xfId="0" applyNumberFormat="1" applyFont="1" applyFill="1" applyBorder="1" applyAlignment="1">
      <alignment horizontal="center" vertical="center"/>
    </xf>
    <xf numFmtId="4" fontId="80" fillId="33" borderId="86" xfId="0" applyNumberFormat="1" applyFont="1" applyFill="1" applyBorder="1" applyAlignment="1">
      <alignment horizontal="center" vertical="center"/>
    </xf>
    <xf numFmtId="0" fontId="54" fillId="0" borderId="26" xfId="0" applyFont="1" applyBorder="1" applyAlignment="1">
      <alignment horizontal="center" vertical="center"/>
    </xf>
    <xf numFmtId="0" fontId="54" fillId="0" borderId="75" xfId="0" applyFont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54" fillId="0" borderId="31" xfId="0" applyFont="1" applyBorder="1" applyAlignment="1">
      <alignment horizontal="center" vertical="center"/>
    </xf>
    <xf numFmtId="0" fontId="76" fillId="24" borderId="73" xfId="0" applyFont="1" applyFill="1" applyBorder="1" applyAlignment="1">
      <alignment horizontal="center" vertical="center"/>
    </xf>
    <xf numFmtId="0" fontId="76" fillId="24" borderId="74" xfId="0" applyFont="1" applyFill="1" applyBorder="1" applyAlignment="1">
      <alignment horizontal="center" vertical="center"/>
    </xf>
    <xf numFmtId="0" fontId="76" fillId="24" borderId="75" xfId="0" applyFont="1" applyFill="1" applyBorder="1" applyAlignment="1">
      <alignment horizontal="center" vertical="center"/>
    </xf>
    <xf numFmtId="2" fontId="55" fillId="33" borderId="73" xfId="0" applyNumberFormat="1" applyFont="1" applyFill="1" applyBorder="1" applyAlignment="1">
      <alignment horizontal="center" vertical="center"/>
    </xf>
    <xf numFmtId="2" fontId="55" fillId="33" borderId="74" xfId="0" applyNumberFormat="1" applyFont="1" applyFill="1" applyBorder="1" applyAlignment="1">
      <alignment horizontal="center" vertical="center"/>
    </xf>
    <xf numFmtId="2" fontId="55" fillId="33" borderId="25" xfId="0" applyNumberFormat="1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16" fillId="37" borderId="79" xfId="0" applyFont="1" applyFill="1" applyBorder="1" applyAlignment="1">
      <alignment horizontal="center" vertical="center"/>
    </xf>
    <xf numFmtId="0" fontId="116" fillId="37" borderId="76" xfId="0" applyFont="1" applyFill="1" applyBorder="1" applyAlignment="1">
      <alignment horizontal="center" vertical="center"/>
    </xf>
    <xf numFmtId="0" fontId="116" fillId="37" borderId="80" xfId="0" applyFont="1" applyFill="1" applyBorder="1" applyAlignment="1">
      <alignment horizontal="center" vertical="center"/>
    </xf>
    <xf numFmtId="0" fontId="116" fillId="0" borderId="76" xfId="0" applyFont="1" applyBorder="1" applyAlignment="1">
      <alignment horizontal="center" vertical="center"/>
    </xf>
    <xf numFmtId="0" fontId="116" fillId="37" borderId="73" xfId="0" applyFont="1" applyFill="1" applyBorder="1" applyAlignment="1">
      <alignment horizontal="center" vertical="center"/>
    </xf>
    <xf numFmtId="0" fontId="116" fillId="37" borderId="74" xfId="0" applyFont="1" applyFill="1" applyBorder="1" applyAlignment="1">
      <alignment horizontal="center" vertical="center"/>
    </xf>
    <xf numFmtId="0" fontId="116" fillId="37" borderId="75" xfId="0" applyFont="1" applyFill="1" applyBorder="1" applyAlignment="1">
      <alignment horizontal="center" vertical="center"/>
    </xf>
    <xf numFmtId="4" fontId="95" fillId="28" borderId="38" xfId="56" applyNumberFormat="1" applyFont="1" applyFill="1" applyBorder="1" applyAlignment="1">
      <alignment horizontal="center" vertical="center"/>
    </xf>
    <xf numFmtId="0" fontId="78" fillId="0" borderId="74" xfId="56" applyFont="1" applyBorder="1" applyAlignment="1">
      <alignment horizontal="center" vertical="center"/>
    </xf>
    <xf numFmtId="4" fontId="93" fillId="28" borderId="93" xfId="56" applyNumberFormat="1" applyFont="1" applyFill="1" applyBorder="1" applyAlignment="1">
      <alignment horizontal="center" vertical="center"/>
    </xf>
  </cellXfs>
  <cellStyles count="62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2 2" xfId="15"/>
    <cellStyle name="60 % - Accent3 2" xfId="16"/>
    <cellStyle name="60 % - Accent4 2" xfId="17"/>
    <cellStyle name="60 % - Accent5 2" xfId="18"/>
    <cellStyle name="60 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Avertissement 2" xfId="26"/>
    <cellStyle name="Calcul 2" xfId="27"/>
    <cellStyle name="Cellule liée 2" xfId="28"/>
    <cellStyle name="Commentaire 2" xfId="29"/>
    <cellStyle name="Entrée 2" xfId="30"/>
    <cellStyle name="Euro" xfId="31"/>
    <cellStyle name="Insatisfaisant 2" xfId="32"/>
    <cellStyle name="Milliers" xfId="46" builtinId="3"/>
    <cellStyle name="Milliers 2" xfId="33"/>
    <cellStyle name="Milliers 2 2" xfId="50"/>
    <cellStyle name="Milliers 2 3 2" xfId="48"/>
    <cellStyle name="Milliers 3" xfId="51"/>
    <cellStyle name="Milliers 3 2" xfId="55"/>
    <cellStyle name="Milliers 4" xfId="57"/>
    <cellStyle name="Neutre 2" xfId="34"/>
    <cellStyle name="Normal" xfId="0" builtinId="0"/>
    <cellStyle name="Normal 2" xfId="1"/>
    <cellStyle name="Normal 2 2" xfId="58"/>
    <cellStyle name="Normal 2 2 2" xfId="45"/>
    <cellStyle name="Normal 2 2 2 2" xfId="47"/>
    <cellStyle name="Normal 3" xfId="54"/>
    <cellStyle name="Normal 3 2" xfId="61"/>
    <cellStyle name="Normal 4" xfId="56"/>
    <cellStyle name="Normal 4 2" xfId="60"/>
    <cellStyle name="Normal 5" xfId="59"/>
    <cellStyle name="Normal_Feuil3" xfId="52"/>
    <cellStyle name="Pourcentage" xfId="49" builtinId="5"/>
    <cellStyle name="Pourcentage 2" xfId="53"/>
    <cellStyle name="Satisfaisant 2" xfId="35"/>
    <cellStyle name="Sortie 2" xfId="36"/>
    <cellStyle name="Texte explicatif 2" xfId="37"/>
    <cellStyle name="Titre 2" xfId="38"/>
    <cellStyle name="Titre 1 2" xfId="39"/>
    <cellStyle name="Titre 2 2" xfId="40"/>
    <cellStyle name="Titre 3 2" xfId="41"/>
    <cellStyle name="Titre 4 2" xfId="42"/>
    <cellStyle name="Total 2" xfId="43"/>
    <cellStyle name="Vérification 2" xfId="44"/>
  </cellStyles>
  <dxfs count="0"/>
  <tableStyles count="0" defaultTableStyle="TableStyleMedium9" defaultPivotStyle="PivotStyleLight16"/>
  <colors>
    <mruColors>
      <color rgb="FF28F8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116417</xdr:colOff>
      <xdr:row>0</xdr:row>
      <xdr:rowOff>206375</xdr:rowOff>
    </xdr:from>
    <xdr:to>
      <xdr:col>1</xdr:col>
      <xdr:colOff>1132416</xdr:colOff>
      <xdr:row>5</xdr:row>
      <xdr:rowOff>179918</xdr:rowOff>
    </xdr:to>
    <xdr:pic>
      <xdr:nvPicPr>
        <xdr:cNvPr id="3" name="Image 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417" y="206375"/>
          <a:ext cx="1481666" cy="1031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142765</xdr:colOff>
      <xdr:row>0</xdr:row>
      <xdr:rowOff>114300</xdr:rowOff>
    </xdr:from>
    <xdr:to>
      <xdr:col>1</xdr:col>
      <xdr:colOff>190500</xdr:colOff>
      <xdr:row>2</xdr:row>
      <xdr:rowOff>171120</xdr:rowOff>
    </xdr:to>
    <xdr:pic>
      <xdr:nvPicPr>
        <xdr:cNvPr id="2" name="Image 1" descr="C:\Users\admon\Documents\Aiseesoft Studio\Aiseesoft PDF Converter Ultimate\media\image1.jpe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65" y="114300"/>
          <a:ext cx="695435" cy="618795"/>
        </a:xfrm>
        <a:prstGeom prst="rect">
          <a:avLst/>
        </a:prstGeom>
        <a:noFill/>
      </xdr:spPr>
    </xdr:pic>
    <xdr:clientData/>
  </xdr:twoCellAnchor>
  <xdr:twoCellAnchor>
    <xdr:from>
      <xdr:col>0</xdr:col>
      <xdr:colOff>110906</xdr:colOff>
      <xdr:row>2</xdr:row>
      <xdr:rowOff>186248</xdr:rowOff>
    </xdr:from>
    <xdr:to>
      <xdr:col>1</xdr:col>
      <xdr:colOff>142875</xdr:colOff>
      <xdr:row>4</xdr:row>
      <xdr:rowOff>152400</xdr:rowOff>
    </xdr:to>
    <xdr:grpSp>
      <xdr:nvGrpSpPr>
        <xdr:cNvPr id="3" name="Group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10906" y="747165"/>
          <a:ext cx="677552" cy="347152"/>
          <a:chOff x="358" y="1831"/>
          <a:chExt cx="2095" cy="310"/>
        </a:xfrm>
      </xdr:grpSpPr>
      <xdr:pic>
        <xdr:nvPicPr>
          <xdr:cNvPr id="4" name="Picture 7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" y="1831"/>
            <a:ext cx="2095" cy="2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8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7" y="2104"/>
            <a:ext cx="1352" cy="3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A2E0C65\m&#233;tr&#233;%20RTM%20DE%20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0.4.66\Partage\Documents%20and%20Settings\p%20c\Bureau\sa-2005\salle%20de%20sport%20tanger\m&#233;tr&#233;\Documents%20and%20Settings\p%20c\Bureau\sa-2005\RTM%20MARRAKECH\METRE\m&#233;tr&#233;%20RTM%20DE%20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t\METRES_EN_COURS\Documents%20and%20Settings\Administrateur\Bureau\HC5&amp;HC1\plan%20b&#233;ton\CNCA%20DE%20modefier%20le25-03-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3_ELC\Disque_D\affaireSE\L_logements\L031_2004_SDEK_AnnasrTemara\L31_3_APS\L31_35_BET\L31_353_ELEC\L31_3531_Textes\L031_bp_APS_elec_annasr_modif0202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ahlam\VOLUMED\OUM%20RABIAA%20%20I\Oum%20Rabiaa%20I%20APS&amp;SHO\APS%20OUM%20RABIE\Borde.Prix\BP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nts%20and%20Settings\youssef\Bureau\Documents%20and%20Settings\Propri&#233;taire\Local%20Settings\Temporary%20Internet%20Files\Content.IE5\99VX65HK\Annasr%20confid%20elec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t\METRES_EN_COURS\Documents%20and%20Settings\Administrateur\Bureau\HC5&amp;HC1\plan%20b&#233;ton\RTM%20MARRAKECH\METRE\m&#233;tr&#233;%20modifier%20le%2018-03-05\PROJET%20DE%20DRD%20ET%20DE%20CRC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nts%20and%20Settings\youssef\Bureau\Volume_D\Dossier%20bureau\Divers%20dossier%20lazrak\DCE%20Annasr\L031_bp_DCE_elec_annasr_modifie1002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t\METRES_EN_COURS\Documents%20and%20Settings\Administrateur\Bureau\HC5&amp;HC1\plan%20b&#233;ton\RTM%20MARRAKECH\METRE\m&#233;tr&#233;%20modifier%20le%2018-03-05\divers\PROJET%20DE%20DRD%20ET%20DE%20CRC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ré"/>
      <sheetName val="AN1"/>
      <sheetName val="AN2"/>
      <sheetName val="AN3"/>
      <sheetName val="AN4"/>
      <sheetName val="situ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ré"/>
      <sheetName val="AN1"/>
      <sheetName val="AN2"/>
      <sheetName val="AN3"/>
      <sheetName val="AN4"/>
      <sheetName val="situ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ré"/>
      <sheetName val="AN1"/>
      <sheetName val="AN2"/>
      <sheetName val="AN3"/>
      <sheetName val="AN4"/>
      <sheetName val="G.O ao CN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S_elec_annasr_ImA.Com"/>
      <sheetName val="APS_elec_annasr_ImF"/>
      <sheetName val="NOURICES"/>
      <sheetName val="Feuil1"/>
      <sheetName val="bord.elec.annasr"/>
      <sheetName val="L031_bp_APS_elec_annasr_modif02"/>
      <sheetName val="Bache"/>
      <sheetName val="APS_elec_annasr_ImA_Com"/>
      <sheetName val="bord_elec_annasr"/>
      <sheetName val="APS_elec_annasr_ImA_Com1"/>
      <sheetName val="bord_elec_annasr1"/>
      <sheetName val="données et résultats"/>
      <sheetName val="APS_elec_annasr_ImA_Com3"/>
      <sheetName val="bord_elec_annasr3"/>
      <sheetName val="APS_elec_annasr_ImA_Com2"/>
      <sheetName val="bord_elec_annasr2"/>
      <sheetName val="AN2"/>
      <sheetName val="APS_elec_annasr_ImA_Com4"/>
      <sheetName val="bord_elec_annasr4"/>
      <sheetName val="données_et_résultats"/>
      <sheetName val="APS_elec_annasr_ImA_Com5"/>
      <sheetName val="bord_elec_annasr5"/>
      <sheetName val="données_et_résultats1"/>
      <sheetName val="APS_elec_annasr_ImA_Com6"/>
      <sheetName val="bord_elec_annasr6"/>
      <sheetName val="données_et_résultats2"/>
      <sheetName val="APS_elec_annasr_ImA_Com7"/>
      <sheetName val="bord_elec_annasr7"/>
      <sheetName val="APS_elec_annasr_ImA_Com8"/>
      <sheetName val="bord_elec_annasr8"/>
      <sheetName val="APS_elec_annasr_ImA_Com9"/>
      <sheetName val="bord_elec_annasr9"/>
      <sheetName val="APS_elec_annasr_ImA_Com10"/>
      <sheetName val="bord_elec_annasr10"/>
      <sheetName val="APS_elec_annasr_ImA_Com11"/>
      <sheetName val="bord_elec_annasr11"/>
      <sheetName val="APS_elec_annasr_ImA_Com12"/>
      <sheetName val="bord_elec_annasr12"/>
      <sheetName val="APS_elec_annasr_ImA_Com13"/>
      <sheetName val="bord_elec_annasr13"/>
      <sheetName val="APS_elec_annasr_ImA_Com14"/>
      <sheetName val="bord_elec_annasr14"/>
      <sheetName val="APS_elec_annasr_ImA_Com15"/>
      <sheetName val="bord_elec_annasr15"/>
      <sheetName val="APS_elec_annasr_ImA_Com16"/>
      <sheetName val="bord_elec_annasr16"/>
      <sheetName val="APS_elec_annasr_ImA_Com17"/>
      <sheetName val="bord_elec_annasr17"/>
      <sheetName val="APS_elec_annasr_ImA_Com18"/>
      <sheetName val="bord_elec_annasr18"/>
      <sheetName val="données_et_résultats3"/>
      <sheetName val="APS_elec_annasr_ImA_Com19"/>
      <sheetName val="bord_elec_annasr19"/>
      <sheetName val="données_et_résultats4"/>
      <sheetName val="APS_elec_annasr_ImA_Com20"/>
      <sheetName val="bord_elec_annasr20"/>
      <sheetName val="données_et_résultats5"/>
      <sheetName val="APS_elec_annasr_ImA_Com23"/>
      <sheetName val="bord_elec_annasr23"/>
      <sheetName val="données_et_résultats8"/>
      <sheetName val="APS_elec_annasr_ImA_Com22"/>
      <sheetName val="bord_elec_annasr22"/>
      <sheetName val="données_et_résultats7"/>
      <sheetName val="APS_elec_annasr_ImA_Com21"/>
      <sheetName val="bord_elec_annasr21"/>
      <sheetName val="données_et_résultats6"/>
      <sheetName val="APS_elec_annasr_ImA_Com24"/>
      <sheetName val="bord_elec_annasr24"/>
      <sheetName val="données_et_résultats9"/>
      <sheetName val="APS_elec_annasr_ImA_Com25"/>
      <sheetName val="bord_elec_annasr25"/>
      <sheetName val="données_et_résultats10"/>
      <sheetName val="APS_elec_annasr_ImA_Com26"/>
      <sheetName val="bord_elec_annasr26"/>
      <sheetName val="données_et_résultats11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.oe"/>
      <sheetName val="REV"/>
      <sheetName val="ETAN"/>
      <sheetName val="MBM"/>
      <sheetName val="MAL"/>
      <sheetName val="elec"/>
      <sheetName val="plom"/>
      <sheetName val="PEIN"/>
      <sheetName val="recap"/>
      <sheetName val="recap générale"/>
      <sheetName val="métrés"/>
      <sheetName val="Feuil1"/>
      <sheetName val="Go4.xls"/>
      <sheetName val="PG "/>
      <sheetName val="DP 2"/>
      <sheetName val="DP 3"/>
      <sheetName val="DP 4"/>
      <sheetName val="DP 8"/>
      <sheetName val="DP 9"/>
      <sheetName val="Bord"/>
      <sheetName val="Macro-cons"/>
      <sheetName val="gr_oe1"/>
      <sheetName val="recap_générale1"/>
      <sheetName val="Go4_xls1"/>
      <sheetName val="PG_1"/>
      <sheetName val="DP_21"/>
      <sheetName val="DP_31"/>
      <sheetName val="DP_41"/>
      <sheetName val="DP_81"/>
      <sheetName val="DP_91"/>
      <sheetName val="gr_oe"/>
      <sheetName val="recap_générale"/>
      <sheetName val="Go4_xls"/>
      <sheetName val="PG_"/>
      <sheetName val="DP_2"/>
      <sheetName val="DP_3"/>
      <sheetName val="DP_4"/>
      <sheetName val="DP_8"/>
      <sheetName val="DP_9"/>
      <sheetName val="PERSONNALISER"/>
      <sheetName val="gr_oe3"/>
      <sheetName val="recap_générale3"/>
      <sheetName val="Go4_xls3"/>
      <sheetName val="PG_3"/>
      <sheetName val="DP_23"/>
      <sheetName val="DP_33"/>
      <sheetName val="DP_43"/>
      <sheetName val="DP_83"/>
      <sheetName val="DP_93"/>
      <sheetName val="gr_oe2"/>
      <sheetName val="recap_générale2"/>
      <sheetName val="Go4_xls2"/>
      <sheetName val="PG_2"/>
      <sheetName val="DP_22"/>
      <sheetName val="DP_32"/>
      <sheetName val="DP_42"/>
      <sheetName val="DP_82"/>
      <sheetName val="DP_92"/>
      <sheetName val="BacheSR3NZ"/>
      <sheetName val="AN2"/>
      <sheetName val="Macro-press"/>
      <sheetName val="Macro-Dexterne"/>
      <sheetName val="Macro-Long"/>
      <sheetName val="gr_oe4"/>
      <sheetName val="recap_générale4"/>
      <sheetName val="Go4_xls4"/>
      <sheetName val="PG_4"/>
      <sheetName val="DP_24"/>
      <sheetName val="DP_34"/>
      <sheetName val="DP_44"/>
      <sheetName val="DP_84"/>
      <sheetName val="DP_94"/>
      <sheetName val="gr_oe6"/>
      <sheetName val="recap_générale6"/>
      <sheetName val="Go4_xls6"/>
      <sheetName val="PG_6"/>
      <sheetName val="DP_26"/>
      <sheetName val="DP_36"/>
      <sheetName val="DP_46"/>
      <sheetName val="DP_86"/>
      <sheetName val="DP_96"/>
      <sheetName val="gr_oe5"/>
      <sheetName val="recap_générale5"/>
      <sheetName val="Go4_xls5"/>
      <sheetName val="PG_5"/>
      <sheetName val="DP_25"/>
      <sheetName val="DP_35"/>
      <sheetName val="DP_45"/>
      <sheetName val="DP_85"/>
      <sheetName val="DP_95"/>
      <sheetName val="gr_oe7"/>
      <sheetName val="recap_générale7"/>
      <sheetName val="Go4_xls7"/>
      <sheetName val="PG_7"/>
      <sheetName val="DP_27"/>
      <sheetName val="DP_37"/>
      <sheetName val="DP_47"/>
      <sheetName val="DP_87"/>
      <sheetName val="DP_97"/>
      <sheetName val="gr_oe8"/>
      <sheetName val="recap_générale8"/>
      <sheetName val="Go4_xls8"/>
      <sheetName val="PG_8"/>
      <sheetName val="DP_28"/>
      <sheetName val="DP_38"/>
      <sheetName val="DP_48"/>
      <sheetName val="DP_88"/>
      <sheetName val="DP_98"/>
      <sheetName val="gr_oe9"/>
      <sheetName val="recap_générale9"/>
      <sheetName val="Go4_xls9"/>
      <sheetName val="PG_9"/>
      <sheetName val="DP_29"/>
      <sheetName val="DP_39"/>
      <sheetName val="DP_49"/>
      <sheetName val="DP_89"/>
      <sheetName val="DP_99"/>
      <sheetName val="gr_oe10"/>
      <sheetName val="recap_générale10"/>
      <sheetName val="Go4_xls10"/>
      <sheetName val="PG_10"/>
      <sheetName val="DP_210"/>
      <sheetName val="DP_310"/>
      <sheetName val="DP_410"/>
      <sheetName val="DP_810"/>
      <sheetName val="DP_910"/>
      <sheetName val="bord.elec.annasr"/>
      <sheetName val="Brd d'envoi"/>
      <sheetName val="Page de garde"/>
      <sheetName val="Décompte Provisoire"/>
      <sheetName val="RECAP QTE EQ25.EQ26"/>
      <sheetName val="DETAILS METRE EQ.25"/>
      <sheetName val=" Armature fondtion EQ 25"/>
      <sheetName val="LEVER ET COTE EQ 25"/>
      <sheetName val="DETAILS METRE EQ.26"/>
      <sheetName val=" Armature fondtion EQ 26"/>
      <sheetName val="LEVER ET COTE EQ 26"/>
      <sheetName val="B.PR"/>
      <sheetName val="Calcul"/>
      <sheetName val="gr_oe11"/>
      <sheetName val="recap_générale11"/>
      <sheetName val="Go4_xls11"/>
      <sheetName val="PG_11"/>
      <sheetName val="DP_211"/>
      <sheetName val="DP_311"/>
      <sheetName val="DP_411"/>
      <sheetName val="DP_811"/>
      <sheetName val="DP_911"/>
      <sheetName val="gr_oe12"/>
      <sheetName val="recap_générale12"/>
      <sheetName val="Go4_xls12"/>
      <sheetName val="PG_12"/>
      <sheetName val="DP_212"/>
      <sheetName val="DP_312"/>
      <sheetName val="DP_412"/>
      <sheetName val="DP_812"/>
      <sheetName val="DP_912"/>
      <sheetName val="gr_oe13"/>
      <sheetName val="recap_générale13"/>
      <sheetName val="Go4_xls13"/>
      <sheetName val="PG_13"/>
      <sheetName val="DP_213"/>
      <sheetName val="DP_313"/>
      <sheetName val="DP_413"/>
      <sheetName val="DP_813"/>
      <sheetName val="DP_913"/>
      <sheetName val="gr_oe14"/>
      <sheetName val="recap_générale14"/>
      <sheetName val="Go4_xls14"/>
      <sheetName val="PG_14"/>
      <sheetName val="DP_214"/>
      <sheetName val="DP_314"/>
      <sheetName val="DP_414"/>
      <sheetName val="DP_814"/>
      <sheetName val="DP_914"/>
      <sheetName val="gr_oe15"/>
      <sheetName val="recap_générale15"/>
      <sheetName val="Go4_xls15"/>
      <sheetName val="PG_15"/>
      <sheetName val="DP_215"/>
      <sheetName val="DP_315"/>
      <sheetName val="DP_415"/>
      <sheetName val="DP_815"/>
      <sheetName val="DP_915"/>
      <sheetName val="gr_oe16"/>
      <sheetName val="recap_générale16"/>
      <sheetName val="Go4_xls16"/>
      <sheetName val="PG_16"/>
      <sheetName val="DP_216"/>
      <sheetName val="DP_316"/>
      <sheetName val="DP_416"/>
      <sheetName val="DP_816"/>
      <sheetName val="DP_916"/>
      <sheetName val="gr_oe17"/>
      <sheetName val="recap_générale17"/>
      <sheetName val="Go4_xls17"/>
      <sheetName val="PG_17"/>
      <sheetName val="DP_217"/>
      <sheetName val="DP_317"/>
      <sheetName val="DP_417"/>
      <sheetName val="DP_817"/>
      <sheetName val="DP_917"/>
      <sheetName val="gr_oe18"/>
      <sheetName val="recap_générale18"/>
      <sheetName val="Go4_xls18"/>
      <sheetName val="PG_18"/>
      <sheetName val="DP_218"/>
      <sheetName val="DP_318"/>
      <sheetName val="DP_418"/>
      <sheetName val="DP_818"/>
      <sheetName val="DP_918"/>
      <sheetName val="gr_oe19"/>
      <sheetName val="recap_générale19"/>
      <sheetName val="Go4_xls19"/>
      <sheetName val="PG_19"/>
      <sheetName val="DP_219"/>
      <sheetName val="DP_319"/>
      <sheetName val="DP_419"/>
      <sheetName val="DP_819"/>
      <sheetName val="DP_919"/>
      <sheetName val="gr_oe20"/>
      <sheetName val="recap_générale20"/>
      <sheetName val="Go4_xls20"/>
      <sheetName val="PG_20"/>
      <sheetName val="DP_220"/>
      <sheetName val="DP_320"/>
      <sheetName val="DP_420"/>
      <sheetName val="DP_820"/>
      <sheetName val="DP_920"/>
      <sheetName val="gr_oe23"/>
      <sheetName val="recap_générale23"/>
      <sheetName val="Go4_xls23"/>
      <sheetName val="PG_23"/>
      <sheetName val="DP_223"/>
      <sheetName val="DP_323"/>
      <sheetName val="DP_423"/>
      <sheetName val="DP_823"/>
      <sheetName val="DP_923"/>
      <sheetName val="Brd_d'envoi2"/>
      <sheetName val="Page_de_garde2"/>
      <sheetName val="Décompte_Provisoire2"/>
      <sheetName val="RECAP_QTE_EQ25_EQ262"/>
      <sheetName val="DETAILS_METRE_EQ_252"/>
      <sheetName val="_Armature_fondtion_EQ_252"/>
      <sheetName val="LEVER_ET_COTE_EQ_252"/>
      <sheetName val="DETAILS_METRE_EQ_262"/>
      <sheetName val="_Armature_fondtion_EQ_262"/>
      <sheetName val="LEVER_ET_COTE_EQ_262"/>
      <sheetName val="B_PR2"/>
      <sheetName val="gr_oe22"/>
      <sheetName val="recap_générale22"/>
      <sheetName val="Go4_xls22"/>
      <sheetName val="PG_22"/>
      <sheetName val="DP_222"/>
      <sheetName val="DP_322"/>
      <sheetName val="DP_422"/>
      <sheetName val="DP_822"/>
      <sheetName val="DP_922"/>
      <sheetName val="Brd_d'envoi1"/>
      <sheetName val="Page_de_garde1"/>
      <sheetName val="Décompte_Provisoire1"/>
      <sheetName val="RECAP_QTE_EQ25_EQ261"/>
      <sheetName val="DETAILS_METRE_EQ_251"/>
      <sheetName val="_Armature_fondtion_EQ_251"/>
      <sheetName val="LEVER_ET_COTE_EQ_251"/>
      <sheetName val="DETAILS_METRE_EQ_261"/>
      <sheetName val="_Armature_fondtion_EQ_261"/>
      <sheetName val="LEVER_ET_COTE_EQ_261"/>
      <sheetName val="B_PR1"/>
      <sheetName val="gr_oe21"/>
      <sheetName val="recap_générale21"/>
      <sheetName val="Go4_xls21"/>
      <sheetName val="PG_21"/>
      <sheetName val="DP_221"/>
      <sheetName val="DP_321"/>
      <sheetName val="DP_421"/>
      <sheetName val="DP_821"/>
      <sheetName val="DP_921"/>
      <sheetName val="Brd_d'envoi"/>
      <sheetName val="Page_de_garde"/>
      <sheetName val="Décompte_Provisoire"/>
      <sheetName val="RECAP_QTE_EQ25_EQ26"/>
      <sheetName val="DETAILS_METRE_EQ_25"/>
      <sheetName val="_Armature_fondtion_EQ_25"/>
      <sheetName val="LEVER_ET_COTE_EQ_25"/>
      <sheetName val="DETAILS_METRE_EQ_26"/>
      <sheetName val="_Armature_fondtion_EQ_26"/>
      <sheetName val="LEVER_ET_COTE_EQ_26"/>
      <sheetName val="B_PR"/>
      <sheetName val="gr_oe24"/>
      <sheetName val="recap_générale24"/>
      <sheetName val="Go4_xls24"/>
      <sheetName val="PG_24"/>
      <sheetName val="DP_224"/>
      <sheetName val="DP_324"/>
      <sheetName val="DP_424"/>
      <sheetName val="DP_824"/>
      <sheetName val="DP_924"/>
      <sheetName val="Brd_d'envoi3"/>
      <sheetName val="Page_de_garde3"/>
      <sheetName val="Décompte_Provisoire3"/>
      <sheetName val="RECAP_QTE_EQ25_EQ263"/>
      <sheetName val="DETAILS_METRE_EQ_253"/>
      <sheetName val="_Armature_fondtion_EQ_253"/>
      <sheetName val="LEVER_ET_COTE_EQ_253"/>
      <sheetName val="DETAILS_METRE_EQ_263"/>
      <sheetName val="_Armature_fondtion_EQ_263"/>
      <sheetName val="LEVER_ET_COTE_EQ_263"/>
      <sheetName val="B_PR3"/>
      <sheetName val="gr_oe25"/>
      <sheetName val="recap_générale25"/>
      <sheetName val="Go4_xls25"/>
      <sheetName val="PG_25"/>
      <sheetName val="DP_225"/>
      <sheetName val="DP_325"/>
      <sheetName val="DP_425"/>
      <sheetName val="DP_825"/>
      <sheetName val="DP_925"/>
      <sheetName val="Brd_d'envoi4"/>
      <sheetName val="Page_de_garde4"/>
      <sheetName val="Décompte_Provisoire4"/>
      <sheetName val="RECAP_QTE_EQ25_EQ264"/>
      <sheetName val="DETAILS_METRE_EQ_254"/>
      <sheetName val="_Armature_fondtion_EQ_254"/>
      <sheetName val="LEVER_ET_COTE_EQ_254"/>
      <sheetName val="DETAILS_METRE_EQ_264"/>
      <sheetName val="_Armature_fondtion_EQ_264"/>
      <sheetName val="LEVER_ET_COTE_EQ_264"/>
      <sheetName val="B_PR4"/>
      <sheetName val="gr_oe26"/>
      <sheetName val="recap_générale26"/>
      <sheetName val="Go4_xls26"/>
      <sheetName val="PG_26"/>
      <sheetName val="DP_226"/>
      <sheetName val="DP_326"/>
      <sheetName val="DP_426"/>
      <sheetName val="DP_826"/>
      <sheetName val="DP_926"/>
      <sheetName val="Brd_d'envoi5"/>
      <sheetName val="Page_de_garde5"/>
      <sheetName val="Décompte_Provisoire5"/>
      <sheetName val="RECAP_QTE_EQ25_EQ265"/>
      <sheetName val="DETAILS_METRE_EQ_255"/>
      <sheetName val="_Armature_fondtion_EQ_255"/>
      <sheetName val="LEVER_ET_COTE_EQ_255"/>
      <sheetName val="DETAILS_METRE_EQ_265"/>
      <sheetName val="_Armature_fondtion_EQ_265"/>
      <sheetName val="LEVER_ET_COTE_EQ_265"/>
      <sheetName val="B_PR5"/>
      <sheetName val="DimensRESEAU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Plans"/>
      <sheetName val="NOURICES"/>
      <sheetName val="Feuil1"/>
      <sheetName val="Nbr "/>
      <sheetName val="BpElecEnnasr-Géneral"/>
      <sheetName val="BpElecEnnasr-Tranche4"/>
      <sheetName val="Nbr_1"/>
      <sheetName val="Nbr_"/>
      <sheetName val="Nbr_3"/>
      <sheetName val="Nbr_2"/>
      <sheetName val="AN2"/>
      <sheetName val=" G,O"/>
      <sheetName val="Macro-press"/>
      <sheetName val="DimensRESEAU (2)"/>
      <sheetName val="Notes"/>
      <sheetName val="Nbr_4"/>
      <sheetName val="DimensRESEAU_(2)"/>
      <sheetName val="_G,O"/>
      <sheetName val="Nbr_5"/>
      <sheetName val="_G,O1"/>
      <sheetName val="DimensRESEAU_(2)1"/>
      <sheetName val="Nbr_6"/>
      <sheetName val="_G,O2"/>
      <sheetName val="DimensRESEAU_(2)2"/>
      <sheetName val="S.P1"/>
      <sheetName val="1.1"/>
      <sheetName val="Nbr_9"/>
      <sheetName val="_G,O5"/>
      <sheetName val="DimensRESEAU_(2)5"/>
      <sheetName val="Nbr_8"/>
      <sheetName val="_G,O4"/>
      <sheetName val="DimensRESEAU_(2)4"/>
      <sheetName val="Nbr_7"/>
      <sheetName val="_G,O3"/>
      <sheetName val="DimensRESEAU_(2)3"/>
      <sheetName val="Nbr_10"/>
      <sheetName val="_G,O6"/>
      <sheetName val="DimensRESEAU_(2)6"/>
      <sheetName val="Nbr_11"/>
      <sheetName val="_G,O7"/>
      <sheetName val="DimensRESEAU_(2)7"/>
      <sheetName val="D.E1A"/>
    </sheetNames>
    <sheetDataSet>
      <sheetData sheetId="0"/>
      <sheetData sheetId="1"/>
      <sheetData sheetId="2"/>
      <sheetData sheetId="3"/>
      <sheetData sheetId="4">
        <row r="6">
          <cell r="BI6">
            <v>1</v>
          </cell>
          <cell r="BS6">
            <v>1</v>
          </cell>
          <cell r="CK6">
            <v>1</v>
          </cell>
        </row>
        <row r="7">
          <cell r="BI7" t="str">
            <v/>
          </cell>
          <cell r="BS7" t="str">
            <v/>
          </cell>
          <cell r="CK7" t="str">
            <v/>
          </cell>
        </row>
        <row r="8">
          <cell r="BI8">
            <v>16</v>
          </cell>
          <cell r="BS8">
            <v>20</v>
          </cell>
          <cell r="CK8">
            <v>1</v>
          </cell>
        </row>
        <row r="12">
          <cell r="BI12">
            <v>1</v>
          </cell>
          <cell r="BS12">
            <v>1</v>
          </cell>
          <cell r="CK12">
            <v>1</v>
          </cell>
        </row>
        <row r="13">
          <cell r="BI13">
            <v>0</v>
          </cell>
          <cell r="BS13">
            <v>0</v>
          </cell>
          <cell r="CK13">
            <v>0</v>
          </cell>
        </row>
        <row r="14">
          <cell r="BI14">
            <v>1</v>
          </cell>
          <cell r="BS14">
            <v>0</v>
          </cell>
          <cell r="CK14">
            <v>0</v>
          </cell>
        </row>
        <row r="15">
          <cell r="BI15">
            <v>0</v>
          </cell>
          <cell r="BS15">
            <v>0</v>
          </cell>
          <cell r="CK15">
            <v>0</v>
          </cell>
        </row>
        <row r="16">
          <cell r="BI16">
            <v>1</v>
          </cell>
          <cell r="BS16">
            <v>1</v>
          </cell>
          <cell r="CK16">
            <v>0</v>
          </cell>
        </row>
        <row r="17">
          <cell r="BI17">
            <v>0</v>
          </cell>
          <cell r="BS17">
            <v>0</v>
          </cell>
          <cell r="CK17">
            <v>0</v>
          </cell>
        </row>
        <row r="18">
          <cell r="BI18">
            <v>1</v>
          </cell>
          <cell r="BS18">
            <v>2</v>
          </cell>
          <cell r="CK18">
            <v>3</v>
          </cell>
        </row>
        <row r="19">
          <cell r="BI19">
            <v>0</v>
          </cell>
          <cell r="BS19">
            <v>0</v>
          </cell>
          <cell r="CK19">
            <v>0</v>
          </cell>
        </row>
        <row r="20">
          <cell r="BI20">
            <v>16</v>
          </cell>
          <cell r="BS20">
            <v>20</v>
          </cell>
          <cell r="CK20">
            <v>1</v>
          </cell>
        </row>
        <row r="21">
          <cell r="BI21">
            <v>0</v>
          </cell>
          <cell r="BS21">
            <v>0</v>
          </cell>
          <cell r="CK21">
            <v>0</v>
          </cell>
        </row>
        <row r="22">
          <cell r="BI22">
            <v>0</v>
          </cell>
          <cell r="BS22">
            <v>0</v>
          </cell>
          <cell r="CK22">
            <v>0</v>
          </cell>
        </row>
        <row r="23">
          <cell r="BI23">
            <v>0</v>
          </cell>
          <cell r="BS23">
            <v>0</v>
          </cell>
          <cell r="CK23">
            <v>0</v>
          </cell>
        </row>
        <row r="24">
          <cell r="BI24">
            <v>0</v>
          </cell>
          <cell r="BS24">
            <v>0</v>
          </cell>
          <cell r="CK24">
            <v>0</v>
          </cell>
        </row>
        <row r="25">
          <cell r="BI25">
            <v>0</v>
          </cell>
          <cell r="BS25">
            <v>50</v>
          </cell>
          <cell r="CK25">
            <v>50</v>
          </cell>
        </row>
        <row r="26">
          <cell r="BI26">
            <v>0</v>
          </cell>
          <cell r="BS26">
            <v>0</v>
          </cell>
          <cell r="CK26">
            <v>0</v>
          </cell>
        </row>
        <row r="27">
          <cell r="BI27">
            <v>50</v>
          </cell>
          <cell r="BS27">
            <v>0</v>
          </cell>
          <cell r="CK27">
            <v>0</v>
          </cell>
        </row>
        <row r="28">
          <cell r="BI28">
            <v>0</v>
          </cell>
          <cell r="BS28">
            <v>0</v>
          </cell>
          <cell r="CK28">
            <v>0</v>
          </cell>
        </row>
        <row r="29">
          <cell r="BI29">
            <v>0</v>
          </cell>
          <cell r="BS29">
            <v>0</v>
          </cell>
          <cell r="CK29">
            <v>0</v>
          </cell>
        </row>
        <row r="30">
          <cell r="BI30">
            <v>610</v>
          </cell>
          <cell r="BS30">
            <v>700</v>
          </cell>
          <cell r="CK30">
            <v>10</v>
          </cell>
        </row>
        <row r="31">
          <cell r="BI31">
            <v>0</v>
          </cell>
          <cell r="BS31">
            <v>0</v>
          </cell>
          <cell r="CK31">
            <v>0</v>
          </cell>
        </row>
        <row r="32">
          <cell r="BI32">
            <v>0</v>
          </cell>
          <cell r="BS32">
            <v>0</v>
          </cell>
          <cell r="CK32">
            <v>0</v>
          </cell>
        </row>
        <row r="33">
          <cell r="BI33">
            <v>0</v>
          </cell>
          <cell r="BS33">
            <v>0</v>
          </cell>
          <cell r="CK33">
            <v>0</v>
          </cell>
        </row>
        <row r="34">
          <cell r="BI34">
            <v>10</v>
          </cell>
          <cell r="BS34">
            <v>10</v>
          </cell>
          <cell r="CK34">
            <v>10</v>
          </cell>
        </row>
        <row r="35">
          <cell r="BI35">
            <v>0</v>
          </cell>
          <cell r="BS35">
            <v>0</v>
          </cell>
          <cell r="CK35">
            <v>0</v>
          </cell>
        </row>
        <row r="36">
          <cell r="BI36">
            <v>0</v>
          </cell>
          <cell r="BS36">
            <v>0</v>
          </cell>
          <cell r="CK36">
            <v>0</v>
          </cell>
        </row>
        <row r="37">
          <cell r="BI37">
            <v>1</v>
          </cell>
          <cell r="BS37">
            <v>1</v>
          </cell>
          <cell r="CK37">
            <v>1</v>
          </cell>
        </row>
        <row r="38">
          <cell r="BI38">
            <v>0</v>
          </cell>
          <cell r="BS38">
            <v>0</v>
          </cell>
          <cell r="CK38">
            <v>0</v>
          </cell>
        </row>
        <row r="39">
          <cell r="BI39">
            <v>15</v>
          </cell>
          <cell r="BS39">
            <v>12</v>
          </cell>
          <cell r="CK39">
            <v>0</v>
          </cell>
        </row>
        <row r="40">
          <cell r="BI40">
            <v>0</v>
          </cell>
          <cell r="BS40">
            <v>0</v>
          </cell>
          <cell r="CK40">
            <v>0</v>
          </cell>
        </row>
        <row r="41">
          <cell r="BI41">
            <v>0</v>
          </cell>
          <cell r="BS41">
            <v>7</v>
          </cell>
          <cell r="CK41">
            <v>0</v>
          </cell>
        </row>
        <row r="42">
          <cell r="BI42">
            <v>0</v>
          </cell>
          <cell r="BS42">
            <v>0</v>
          </cell>
          <cell r="CK42">
            <v>0</v>
          </cell>
        </row>
        <row r="43">
          <cell r="BI43">
            <v>0</v>
          </cell>
          <cell r="BS43">
            <v>0</v>
          </cell>
          <cell r="CK43">
            <v>0</v>
          </cell>
        </row>
        <row r="44">
          <cell r="BI44">
            <v>0</v>
          </cell>
          <cell r="BS44">
            <v>0</v>
          </cell>
          <cell r="CK44">
            <v>0</v>
          </cell>
        </row>
        <row r="45">
          <cell r="BI45">
            <v>0</v>
          </cell>
          <cell r="BS45">
            <v>0</v>
          </cell>
          <cell r="CK45">
            <v>0</v>
          </cell>
        </row>
        <row r="46">
          <cell r="BI46">
            <v>0</v>
          </cell>
          <cell r="BS46">
            <v>0</v>
          </cell>
          <cell r="CK46">
            <v>0</v>
          </cell>
        </row>
        <row r="47">
          <cell r="BI47">
            <v>0</v>
          </cell>
          <cell r="BS47">
            <v>0</v>
          </cell>
          <cell r="CK47">
            <v>0</v>
          </cell>
        </row>
        <row r="48">
          <cell r="BI48">
            <v>0</v>
          </cell>
          <cell r="BS48">
            <v>0</v>
          </cell>
          <cell r="CK48">
            <v>0</v>
          </cell>
        </row>
        <row r="49">
          <cell r="BI49">
            <v>1</v>
          </cell>
          <cell r="BS49">
            <v>1</v>
          </cell>
          <cell r="CK49">
            <v>1</v>
          </cell>
        </row>
        <row r="50">
          <cell r="BI50">
            <v>0</v>
          </cell>
          <cell r="BS50">
            <v>0</v>
          </cell>
          <cell r="CK50">
            <v>0</v>
          </cell>
        </row>
        <row r="51">
          <cell r="BI51">
            <v>13</v>
          </cell>
          <cell r="BS51">
            <v>13</v>
          </cell>
          <cell r="CK51">
            <v>13</v>
          </cell>
        </row>
        <row r="52">
          <cell r="BI52">
            <v>0</v>
          </cell>
          <cell r="BS52">
            <v>0</v>
          </cell>
          <cell r="CK52">
            <v>0</v>
          </cell>
        </row>
        <row r="53">
          <cell r="BI53">
            <v>93</v>
          </cell>
          <cell r="BS53">
            <v>90</v>
          </cell>
          <cell r="CK53">
            <v>4</v>
          </cell>
        </row>
        <row r="54">
          <cell r="BI54">
            <v>0</v>
          </cell>
          <cell r="BS54">
            <v>0</v>
          </cell>
          <cell r="CK54">
            <v>0</v>
          </cell>
        </row>
        <row r="55">
          <cell r="BI55">
            <v>15</v>
          </cell>
          <cell r="BS55">
            <v>12</v>
          </cell>
          <cell r="CK55">
            <v>0</v>
          </cell>
        </row>
        <row r="56">
          <cell r="BI56">
            <v>0</v>
          </cell>
          <cell r="BS56">
            <v>0</v>
          </cell>
          <cell r="CK56">
            <v>0</v>
          </cell>
        </row>
        <row r="57">
          <cell r="BI57">
            <v>26</v>
          </cell>
          <cell r="BS57">
            <v>38</v>
          </cell>
          <cell r="CK57">
            <v>12</v>
          </cell>
        </row>
        <row r="58">
          <cell r="BI58">
            <v>0</v>
          </cell>
          <cell r="BS58">
            <v>0</v>
          </cell>
          <cell r="CK58">
            <v>0</v>
          </cell>
        </row>
        <row r="59">
          <cell r="BI59">
            <v>15</v>
          </cell>
          <cell r="BS59">
            <v>12</v>
          </cell>
          <cell r="CK59">
            <v>0</v>
          </cell>
        </row>
        <row r="60">
          <cell r="BI60">
            <v>0</v>
          </cell>
          <cell r="BS60">
            <v>0</v>
          </cell>
          <cell r="CK60">
            <v>0</v>
          </cell>
        </row>
        <row r="61">
          <cell r="BI61">
            <v>74</v>
          </cell>
          <cell r="BS61">
            <v>67</v>
          </cell>
          <cell r="CK61">
            <v>0</v>
          </cell>
        </row>
        <row r="62">
          <cell r="BI62">
            <v>0</v>
          </cell>
          <cell r="BS62">
            <v>0</v>
          </cell>
          <cell r="CK62">
            <v>0</v>
          </cell>
        </row>
        <row r="63">
          <cell r="BI63">
            <v>0</v>
          </cell>
          <cell r="BS63">
            <v>0</v>
          </cell>
          <cell r="CK63">
            <v>0</v>
          </cell>
        </row>
        <row r="64">
          <cell r="BI64">
            <v>0</v>
          </cell>
          <cell r="BS64">
            <v>0</v>
          </cell>
          <cell r="CK64">
            <v>0</v>
          </cell>
        </row>
        <row r="65">
          <cell r="BI65">
            <v>0</v>
          </cell>
          <cell r="BS65">
            <v>0</v>
          </cell>
          <cell r="CK65">
            <v>0</v>
          </cell>
        </row>
        <row r="66">
          <cell r="BI66">
            <v>3</v>
          </cell>
          <cell r="BS66">
            <v>3</v>
          </cell>
          <cell r="CK66">
            <v>3</v>
          </cell>
        </row>
        <row r="67">
          <cell r="BI67">
            <v>0</v>
          </cell>
          <cell r="BS67">
            <v>0</v>
          </cell>
          <cell r="CK67">
            <v>0</v>
          </cell>
        </row>
        <row r="68">
          <cell r="BI68">
            <v>0</v>
          </cell>
          <cell r="BS68">
            <v>0</v>
          </cell>
          <cell r="CK68">
            <v>0</v>
          </cell>
        </row>
        <row r="69">
          <cell r="BI69">
            <v>14</v>
          </cell>
          <cell r="BS69">
            <v>14</v>
          </cell>
          <cell r="CK69">
            <v>14</v>
          </cell>
        </row>
        <row r="70">
          <cell r="BI70">
            <v>0</v>
          </cell>
          <cell r="BS70">
            <v>0</v>
          </cell>
          <cell r="CK70">
            <v>0</v>
          </cell>
        </row>
        <row r="71">
          <cell r="BI71">
            <v>0</v>
          </cell>
          <cell r="BS71">
            <v>0</v>
          </cell>
          <cell r="CK71">
            <v>0</v>
          </cell>
        </row>
        <row r="72">
          <cell r="BI72">
            <v>0</v>
          </cell>
          <cell r="BS72">
            <v>0</v>
          </cell>
          <cell r="CK72">
            <v>0</v>
          </cell>
        </row>
        <row r="73">
          <cell r="BI73">
            <v>0</v>
          </cell>
          <cell r="BS73">
            <v>0</v>
          </cell>
          <cell r="CK73">
            <v>0</v>
          </cell>
        </row>
        <row r="74">
          <cell r="BI74">
            <v>1</v>
          </cell>
          <cell r="BS74">
            <v>1</v>
          </cell>
          <cell r="CK74">
            <v>1</v>
          </cell>
        </row>
        <row r="75">
          <cell r="BI75">
            <v>0</v>
          </cell>
          <cell r="BS75">
            <v>0</v>
          </cell>
          <cell r="CK75">
            <v>0</v>
          </cell>
        </row>
        <row r="76">
          <cell r="BI76">
            <v>1</v>
          </cell>
          <cell r="BS76">
            <v>1</v>
          </cell>
          <cell r="CK76">
            <v>1</v>
          </cell>
        </row>
        <row r="77">
          <cell r="BI77">
            <v>0</v>
          </cell>
          <cell r="BS77">
            <v>0</v>
          </cell>
          <cell r="CK77">
            <v>0</v>
          </cell>
        </row>
        <row r="78">
          <cell r="BI78">
            <v>30</v>
          </cell>
          <cell r="BS78">
            <v>31</v>
          </cell>
          <cell r="CK78">
            <v>0</v>
          </cell>
        </row>
        <row r="79">
          <cell r="BI79">
            <v>0</v>
          </cell>
          <cell r="BS79">
            <v>0</v>
          </cell>
          <cell r="CK79">
            <v>0</v>
          </cell>
        </row>
        <row r="80">
          <cell r="BI80">
            <v>0</v>
          </cell>
          <cell r="BS80">
            <v>0</v>
          </cell>
          <cell r="CK80">
            <v>0</v>
          </cell>
        </row>
        <row r="81">
          <cell r="BI81">
            <v>0</v>
          </cell>
          <cell r="BS81">
            <v>0</v>
          </cell>
          <cell r="CK81">
            <v>0</v>
          </cell>
        </row>
        <row r="82">
          <cell r="BI82">
            <v>0</v>
          </cell>
          <cell r="BS82">
            <v>0</v>
          </cell>
          <cell r="CK82">
            <v>0</v>
          </cell>
        </row>
        <row r="83">
          <cell r="BI83">
            <v>0</v>
          </cell>
          <cell r="BS83">
            <v>0</v>
          </cell>
          <cell r="CK83">
            <v>0</v>
          </cell>
        </row>
        <row r="84">
          <cell r="BI84">
            <v>15</v>
          </cell>
          <cell r="BS84">
            <v>12</v>
          </cell>
          <cell r="CK84">
            <v>0</v>
          </cell>
        </row>
        <row r="85">
          <cell r="BI85">
            <v>0</v>
          </cell>
          <cell r="BS85">
            <v>0</v>
          </cell>
          <cell r="CK85">
            <v>0</v>
          </cell>
        </row>
        <row r="86">
          <cell r="BI86">
            <v>0</v>
          </cell>
          <cell r="BS86">
            <v>7</v>
          </cell>
          <cell r="CK86">
            <v>0</v>
          </cell>
        </row>
        <row r="87">
          <cell r="BI87">
            <v>0</v>
          </cell>
          <cell r="BS87">
            <v>0</v>
          </cell>
          <cell r="CK87">
            <v>0</v>
          </cell>
        </row>
        <row r="88">
          <cell r="BI88">
            <v>15</v>
          </cell>
          <cell r="BS88">
            <v>12</v>
          </cell>
          <cell r="CK88">
            <v>0</v>
          </cell>
        </row>
        <row r="89">
          <cell r="BI89">
            <v>0</v>
          </cell>
          <cell r="BS89">
            <v>0</v>
          </cell>
          <cell r="CK89">
            <v>0</v>
          </cell>
        </row>
        <row r="90">
          <cell r="BI90">
            <v>0</v>
          </cell>
          <cell r="BS90">
            <v>7</v>
          </cell>
          <cell r="CK90">
            <v>0</v>
          </cell>
        </row>
        <row r="91">
          <cell r="BI91">
            <v>0</v>
          </cell>
          <cell r="BS91">
            <v>0</v>
          </cell>
          <cell r="CK91">
            <v>0</v>
          </cell>
        </row>
        <row r="92">
          <cell r="BI92">
            <v>1</v>
          </cell>
          <cell r="BS92">
            <v>1</v>
          </cell>
          <cell r="CK92">
            <v>1</v>
          </cell>
        </row>
        <row r="93">
          <cell r="BI93">
            <v>0</v>
          </cell>
          <cell r="BS93">
            <v>0</v>
          </cell>
          <cell r="CK93">
            <v>0</v>
          </cell>
        </row>
        <row r="94">
          <cell r="BI94">
            <v>1</v>
          </cell>
          <cell r="BS94">
            <v>1</v>
          </cell>
          <cell r="CK94">
            <v>1</v>
          </cell>
        </row>
        <row r="95">
          <cell r="BI95">
            <v>0</v>
          </cell>
          <cell r="BS95">
            <v>0</v>
          </cell>
          <cell r="CK95">
            <v>0</v>
          </cell>
        </row>
        <row r="96">
          <cell r="BI96">
            <v>1</v>
          </cell>
          <cell r="BS96">
            <v>1</v>
          </cell>
          <cell r="CK96">
            <v>1</v>
          </cell>
        </row>
        <row r="97">
          <cell r="BI97">
            <v>0</v>
          </cell>
          <cell r="BS97">
            <v>0</v>
          </cell>
          <cell r="CK97">
            <v>0</v>
          </cell>
        </row>
        <row r="98">
          <cell r="BI98">
            <v>0</v>
          </cell>
          <cell r="BS98">
            <v>0</v>
          </cell>
          <cell r="CK98">
            <v>0</v>
          </cell>
        </row>
      </sheetData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ré"/>
      <sheetName val="AN1"/>
      <sheetName val="AN2"/>
      <sheetName val="AN3"/>
      <sheetName val="AN4"/>
      <sheetName val="situ"/>
      <sheetName val="personnaliser"/>
    </sheetNames>
    <sheetDataSet>
      <sheetData sheetId="0"/>
      <sheetData sheetId="1"/>
      <sheetData sheetId="2"/>
      <sheetData sheetId="3">
        <row r="6">
          <cell r="H6">
            <v>0.1</v>
          </cell>
        </row>
      </sheetData>
      <sheetData sheetId="4"/>
      <sheetData sheetId="5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Plans"/>
      <sheetName val="NOURICES"/>
      <sheetName val="Feuil1"/>
      <sheetName val="Nbr "/>
      <sheetName val="BpElecEnnasr-Géneral"/>
      <sheetName val="BpElecEnnasr-Tranche1"/>
      <sheetName val="BpElecEnnasr-Tranche2"/>
      <sheetName val="BpElecEnnasr-Tranche3"/>
      <sheetName val="BpElecEnnasr-Tranche4"/>
      <sheetName val="Acier Fond"/>
      <sheetName val="Nbr_1"/>
      <sheetName val="Nbr_"/>
      <sheetName val="Nbr_3"/>
      <sheetName val="Nbr_2"/>
      <sheetName val="Bache 50 m3_SR1"/>
      <sheetName val="Nbr_4"/>
      <sheetName val="Bache_50_m3_SR1"/>
      <sheetName val="Nbr_5"/>
      <sheetName val="Bache_50_m3_SR11"/>
      <sheetName val="Nbr_6"/>
      <sheetName val="Bache_50_m3_SR12"/>
      <sheetName val="personnaliser"/>
      <sheetName val="Nbr_9"/>
      <sheetName val="Bache_50_m3_SR15"/>
      <sheetName val="Nbr_8"/>
      <sheetName val="Bache_50_m3_SR14"/>
      <sheetName val="Nbr_7"/>
      <sheetName val="Bache_50_m3_SR13"/>
      <sheetName val="Nbr_10"/>
      <sheetName val="Bache_50_m3_SR16"/>
      <sheetName val="Nbr_11"/>
      <sheetName val="Bache_50_m3_SR17"/>
      <sheetName val="AN3"/>
    </sheetNames>
    <sheetDataSet>
      <sheetData sheetId="0"/>
      <sheetData sheetId="1"/>
      <sheetData sheetId="2"/>
      <sheetData sheetId="3">
        <row r="17">
          <cell r="C17">
            <v>5</v>
          </cell>
          <cell r="D17">
            <v>0</v>
          </cell>
          <cell r="E17">
            <v>2</v>
          </cell>
          <cell r="F17">
            <v>1</v>
          </cell>
          <cell r="G17">
            <v>0</v>
          </cell>
          <cell r="H17">
            <v>4</v>
          </cell>
          <cell r="I17">
            <v>2</v>
          </cell>
          <cell r="J17">
            <v>5</v>
          </cell>
          <cell r="K17">
            <v>0</v>
          </cell>
          <cell r="L17">
            <v>2</v>
          </cell>
          <cell r="M17">
            <v>0</v>
          </cell>
          <cell r="N17">
            <v>0</v>
          </cell>
          <cell r="O17">
            <v>2</v>
          </cell>
          <cell r="P17">
            <v>4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2</v>
          </cell>
        </row>
        <row r="26">
          <cell r="C26">
            <v>2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3</v>
          </cell>
          <cell r="I26">
            <v>0</v>
          </cell>
          <cell r="J26">
            <v>3</v>
          </cell>
          <cell r="K26">
            <v>0</v>
          </cell>
          <cell r="L26">
            <v>5</v>
          </cell>
          <cell r="M26">
            <v>4</v>
          </cell>
          <cell r="N26">
            <v>0</v>
          </cell>
          <cell r="O26">
            <v>0</v>
          </cell>
          <cell r="P26">
            <v>2</v>
          </cell>
          <cell r="Q26">
            <v>0</v>
          </cell>
          <cell r="R26">
            <v>4</v>
          </cell>
          <cell r="S26">
            <v>0</v>
          </cell>
          <cell r="T26">
            <v>0</v>
          </cell>
          <cell r="U26">
            <v>0</v>
          </cell>
        </row>
        <row r="39">
          <cell r="V39">
            <v>7</v>
          </cell>
          <cell r="W39">
            <v>4</v>
          </cell>
          <cell r="X39">
            <v>0</v>
          </cell>
          <cell r="Y39">
            <v>0</v>
          </cell>
          <cell r="Z39">
            <v>0</v>
          </cell>
          <cell r="AA39">
            <v>1</v>
          </cell>
          <cell r="AB39">
            <v>2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3</v>
          </cell>
          <cell r="AH39">
            <v>1</v>
          </cell>
          <cell r="AI39">
            <v>0</v>
          </cell>
          <cell r="AJ39">
            <v>1</v>
          </cell>
          <cell r="AK39">
            <v>1</v>
          </cell>
          <cell r="AL39">
            <v>4</v>
          </cell>
          <cell r="AM39">
            <v>2</v>
          </cell>
          <cell r="AN39">
            <v>2</v>
          </cell>
          <cell r="AO39">
            <v>9</v>
          </cell>
          <cell r="AP39">
            <v>0</v>
          </cell>
          <cell r="AQ39">
            <v>0</v>
          </cell>
          <cell r="AR39">
            <v>4</v>
          </cell>
          <cell r="AS39">
            <v>1</v>
          </cell>
          <cell r="AT39">
            <v>1</v>
          </cell>
          <cell r="AU39">
            <v>1</v>
          </cell>
          <cell r="AV39">
            <v>3</v>
          </cell>
        </row>
        <row r="45">
          <cell r="V45">
            <v>2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1</v>
          </cell>
          <cell r="AC45">
            <v>1</v>
          </cell>
          <cell r="AD45">
            <v>2</v>
          </cell>
          <cell r="AE45">
            <v>0</v>
          </cell>
          <cell r="AF45">
            <v>1</v>
          </cell>
          <cell r="AG45">
            <v>3</v>
          </cell>
          <cell r="AH45">
            <v>0</v>
          </cell>
          <cell r="AI45">
            <v>0</v>
          </cell>
          <cell r="AJ45">
            <v>1</v>
          </cell>
          <cell r="AK45">
            <v>0</v>
          </cell>
          <cell r="AL45">
            <v>1</v>
          </cell>
          <cell r="AM45">
            <v>0</v>
          </cell>
          <cell r="AN45">
            <v>2</v>
          </cell>
          <cell r="AO45">
            <v>1</v>
          </cell>
          <cell r="AP45">
            <v>1</v>
          </cell>
          <cell r="AQ45">
            <v>1</v>
          </cell>
          <cell r="AR45">
            <v>2</v>
          </cell>
          <cell r="AS45">
            <v>0</v>
          </cell>
          <cell r="AT45">
            <v>1</v>
          </cell>
          <cell r="AU45">
            <v>1</v>
          </cell>
          <cell r="AV45">
            <v>3</v>
          </cell>
        </row>
        <row r="49">
          <cell r="V49">
            <v>1</v>
          </cell>
          <cell r="W49">
            <v>1</v>
          </cell>
          <cell r="X49">
            <v>0</v>
          </cell>
          <cell r="Y49">
            <v>0</v>
          </cell>
          <cell r="Z49">
            <v>0</v>
          </cell>
          <cell r="AA49">
            <v>1</v>
          </cell>
          <cell r="AB49">
            <v>1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1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2</v>
          </cell>
          <cell r="AP49">
            <v>2</v>
          </cell>
          <cell r="AQ49">
            <v>0</v>
          </cell>
          <cell r="AR49">
            <v>0</v>
          </cell>
          <cell r="AS49">
            <v>1</v>
          </cell>
          <cell r="AT49">
            <v>0</v>
          </cell>
        </row>
        <row r="55">
          <cell r="V55">
            <v>4</v>
          </cell>
          <cell r="W55">
            <v>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1</v>
          </cell>
          <cell r="AL55">
            <v>3</v>
          </cell>
          <cell r="AM55">
            <v>2</v>
          </cell>
          <cell r="AN55">
            <v>0</v>
          </cell>
          <cell r="AO55">
            <v>2</v>
          </cell>
          <cell r="AP55">
            <v>0</v>
          </cell>
          <cell r="AQ55">
            <v>0</v>
          </cell>
          <cell r="AR55">
            <v>2</v>
          </cell>
          <cell r="AS55">
            <v>0</v>
          </cell>
          <cell r="AT55">
            <v>0</v>
          </cell>
        </row>
        <row r="61">
          <cell r="V61">
            <v>3</v>
          </cell>
          <cell r="W61">
            <v>1</v>
          </cell>
          <cell r="X61">
            <v>0</v>
          </cell>
          <cell r="Y61">
            <v>1</v>
          </cell>
          <cell r="Z61">
            <v>2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1</v>
          </cell>
          <cell r="AL61">
            <v>3</v>
          </cell>
          <cell r="AM61">
            <v>2</v>
          </cell>
          <cell r="AN61">
            <v>0</v>
          </cell>
          <cell r="AO61">
            <v>0</v>
          </cell>
          <cell r="AP61">
            <v>2</v>
          </cell>
          <cell r="AQ61">
            <v>0</v>
          </cell>
          <cell r="AR61">
            <v>2</v>
          </cell>
          <cell r="AS61">
            <v>0</v>
          </cell>
          <cell r="AT61">
            <v>0</v>
          </cell>
        </row>
        <row r="68">
          <cell r="C68">
            <v>2</v>
          </cell>
          <cell r="D68">
            <v>2</v>
          </cell>
          <cell r="E68">
            <v>0</v>
          </cell>
          <cell r="F68">
            <v>3</v>
          </cell>
          <cell r="G68">
            <v>1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9</v>
          </cell>
          <cell r="M68">
            <v>0</v>
          </cell>
          <cell r="N68">
            <v>1</v>
          </cell>
          <cell r="O68">
            <v>0</v>
          </cell>
          <cell r="P68">
            <v>0</v>
          </cell>
          <cell r="Q68">
            <v>2</v>
          </cell>
          <cell r="R68">
            <v>0</v>
          </cell>
          <cell r="S68">
            <v>3</v>
          </cell>
          <cell r="T68">
            <v>1</v>
          </cell>
          <cell r="U68">
            <v>0</v>
          </cell>
        </row>
        <row r="75">
          <cell r="C75">
            <v>2</v>
          </cell>
          <cell r="D75">
            <v>2</v>
          </cell>
          <cell r="E75">
            <v>0</v>
          </cell>
          <cell r="F75">
            <v>3</v>
          </cell>
          <cell r="G75">
            <v>1</v>
          </cell>
          <cell r="H75">
            <v>0</v>
          </cell>
          <cell r="I75">
            <v>0</v>
          </cell>
          <cell r="J75">
            <v>3</v>
          </cell>
          <cell r="K75">
            <v>2</v>
          </cell>
          <cell r="L75">
            <v>4</v>
          </cell>
          <cell r="M75">
            <v>0</v>
          </cell>
          <cell r="N75">
            <v>5</v>
          </cell>
          <cell r="O75">
            <v>0</v>
          </cell>
          <cell r="P75">
            <v>0</v>
          </cell>
          <cell r="Q75">
            <v>2</v>
          </cell>
          <cell r="R75">
            <v>0</v>
          </cell>
          <cell r="S75">
            <v>1</v>
          </cell>
          <cell r="T75">
            <v>1</v>
          </cell>
          <cell r="U75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>
        <row r="17">
          <cell r="C17">
            <v>5</v>
          </cell>
        </row>
      </sheetData>
      <sheetData sheetId="11" refreshError="1"/>
      <sheetData sheetId="12">
        <row r="17">
          <cell r="C17">
            <v>5</v>
          </cell>
        </row>
      </sheetData>
      <sheetData sheetId="13">
        <row r="17">
          <cell r="C17">
            <v>5</v>
          </cell>
        </row>
      </sheetData>
      <sheetData sheetId="14" refreshError="1"/>
      <sheetData sheetId="15">
        <row r="17">
          <cell r="C17">
            <v>5</v>
          </cell>
        </row>
      </sheetData>
      <sheetData sheetId="16">
        <row r="17">
          <cell r="C17">
            <v>5</v>
          </cell>
        </row>
      </sheetData>
      <sheetData sheetId="17">
        <row r="17">
          <cell r="C17">
            <v>5</v>
          </cell>
        </row>
      </sheetData>
      <sheetData sheetId="18">
        <row r="17">
          <cell r="C17">
            <v>5</v>
          </cell>
        </row>
      </sheetData>
      <sheetData sheetId="19">
        <row r="17">
          <cell r="C17">
            <v>5</v>
          </cell>
        </row>
      </sheetData>
      <sheetData sheetId="20">
        <row r="17">
          <cell r="C17">
            <v>5</v>
          </cell>
        </row>
      </sheetData>
      <sheetData sheetId="21" refreshError="1"/>
      <sheetData sheetId="22">
        <row r="17">
          <cell r="C17">
            <v>5</v>
          </cell>
        </row>
      </sheetData>
      <sheetData sheetId="23">
        <row r="17">
          <cell r="C17">
            <v>5</v>
          </cell>
        </row>
      </sheetData>
      <sheetData sheetId="24">
        <row r="17">
          <cell r="C17">
            <v>5</v>
          </cell>
        </row>
      </sheetData>
      <sheetData sheetId="25">
        <row r="17">
          <cell r="C17">
            <v>5</v>
          </cell>
        </row>
      </sheetData>
      <sheetData sheetId="26">
        <row r="17">
          <cell r="C17">
            <v>5</v>
          </cell>
        </row>
      </sheetData>
      <sheetData sheetId="27">
        <row r="17">
          <cell r="C17">
            <v>5</v>
          </cell>
        </row>
      </sheetData>
      <sheetData sheetId="28">
        <row r="17">
          <cell r="C17">
            <v>5</v>
          </cell>
        </row>
      </sheetData>
      <sheetData sheetId="29">
        <row r="17">
          <cell r="C17">
            <v>5</v>
          </cell>
        </row>
      </sheetData>
      <sheetData sheetId="30">
        <row r="17">
          <cell r="C17">
            <v>5</v>
          </cell>
        </row>
      </sheetData>
      <sheetData sheetId="31"/>
      <sheetData sheetId="3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ré"/>
      <sheetName val="AN1"/>
      <sheetName val="AN2"/>
      <sheetName val="AN3"/>
      <sheetName val="AN5"/>
      <sheetName val="situ"/>
      <sheetName val="AN4"/>
    </sheetNames>
    <sheetDataSet>
      <sheetData sheetId="0"/>
      <sheetData sheetId="1"/>
      <sheetData sheetId="2"/>
      <sheetData sheetId="3">
        <row r="6">
          <cell r="H6">
            <v>0.1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4"/>
  <sheetViews>
    <sheetView view="pageBreakPreview" topLeftCell="A490" zoomScale="85" zoomScaleNormal="60" zoomScaleSheetLayoutView="85" workbookViewId="0">
      <selection activeCell="B228" sqref="B228"/>
    </sheetView>
  </sheetViews>
  <sheetFormatPr baseColWidth="10" defaultColWidth="11.42578125" defaultRowHeight="15"/>
  <cols>
    <col min="1" max="1" width="14.140625" customWidth="1"/>
    <col min="2" max="2" width="84.85546875" customWidth="1"/>
    <col min="3" max="3" width="6.5703125" customWidth="1"/>
    <col min="4" max="4" width="18.85546875" customWidth="1"/>
    <col min="5" max="5" width="19.42578125" customWidth="1"/>
    <col min="6" max="6" width="26.7109375" customWidth="1"/>
    <col min="8" max="8" width="21" customWidth="1"/>
  </cols>
  <sheetData>
    <row r="1" spans="1:6" ht="21" customHeight="1">
      <c r="A1" s="498" t="s">
        <v>21</v>
      </c>
      <c r="B1" s="498"/>
      <c r="C1" s="498"/>
      <c r="D1" s="498"/>
      <c r="E1" s="498"/>
      <c r="F1" s="498"/>
    </row>
    <row r="2" spans="1:6" ht="21" customHeight="1">
      <c r="A2" s="498" t="s">
        <v>65</v>
      </c>
      <c r="B2" s="498"/>
      <c r="C2" s="498"/>
      <c r="D2" s="498"/>
      <c r="E2" s="498"/>
      <c r="F2" s="498"/>
    </row>
    <row r="3" spans="1:6" ht="20.25" customHeight="1">
      <c r="A3" s="498" t="s">
        <v>66</v>
      </c>
      <c r="B3" s="498"/>
      <c r="C3" s="498"/>
      <c r="D3" s="498"/>
      <c r="E3" s="498"/>
      <c r="F3" s="498"/>
    </row>
    <row r="4" spans="1:6" ht="20.25" customHeight="1">
      <c r="A4" s="498" t="s">
        <v>59</v>
      </c>
      <c r="B4" s="498"/>
      <c r="C4" s="498"/>
      <c r="D4" s="498"/>
      <c r="E4" s="498"/>
      <c r="F4" s="498"/>
    </row>
    <row r="5" spans="1:6" ht="20.25" customHeight="1">
      <c r="A5" s="498" t="s">
        <v>67</v>
      </c>
      <c r="B5" s="498"/>
      <c r="C5" s="498"/>
      <c r="D5" s="498"/>
      <c r="E5" s="498"/>
      <c r="F5" s="498"/>
    </row>
    <row r="6" spans="1:6" ht="20.25" customHeight="1">
      <c r="A6" s="498" t="s">
        <v>68</v>
      </c>
      <c r="B6" s="498"/>
      <c r="C6" s="498"/>
      <c r="D6" s="498"/>
      <c r="E6" s="498"/>
      <c r="F6" s="498"/>
    </row>
    <row r="7" spans="1:6" ht="20.25" customHeight="1">
      <c r="A7" s="498" t="s">
        <v>69</v>
      </c>
      <c r="B7" s="498"/>
      <c r="C7" s="498"/>
      <c r="D7" s="498"/>
      <c r="E7" s="498"/>
      <c r="F7" s="498"/>
    </row>
    <row r="8" spans="1:6" ht="12.75" customHeight="1">
      <c r="C8" s="2"/>
      <c r="D8" s="23"/>
      <c r="E8" s="23"/>
      <c r="F8" s="23"/>
    </row>
    <row r="9" spans="1:6" ht="20.25" customHeight="1">
      <c r="A9" s="498" t="s">
        <v>32</v>
      </c>
      <c r="B9" s="498"/>
      <c r="C9" s="498"/>
      <c r="D9" s="498"/>
      <c r="E9" s="498"/>
      <c r="F9" s="498"/>
    </row>
    <row r="10" spans="1:6" ht="20.25" customHeight="1"/>
    <row r="11" spans="1:6" ht="24" customHeight="1">
      <c r="A11" s="500" t="s">
        <v>62</v>
      </c>
      <c r="B11" s="500"/>
      <c r="C11" s="500"/>
      <c r="D11" s="500"/>
      <c r="E11" s="500"/>
      <c r="F11" s="500"/>
    </row>
    <row r="12" spans="1:6" ht="24" customHeight="1">
      <c r="A12" s="499" t="s">
        <v>61</v>
      </c>
      <c r="B12" s="501"/>
      <c r="C12" s="501"/>
      <c r="D12" s="501"/>
      <c r="E12" s="501"/>
      <c r="F12" s="501"/>
    </row>
    <row r="13" spans="1:6" ht="24" customHeight="1">
      <c r="A13" s="499" t="s">
        <v>63</v>
      </c>
      <c r="B13" s="499"/>
      <c r="C13" s="499"/>
      <c r="D13" s="499"/>
      <c r="E13" s="499"/>
      <c r="F13" s="499"/>
    </row>
    <row r="14" spans="1:6" ht="12.75" customHeight="1">
      <c r="A14" s="63"/>
      <c r="B14" s="63"/>
      <c r="C14" s="63"/>
      <c r="D14" s="63"/>
      <c r="E14" s="63"/>
      <c r="F14" s="63"/>
    </row>
    <row r="15" spans="1:6" ht="24.95" customHeight="1">
      <c r="A15" s="502" t="s">
        <v>1356</v>
      </c>
      <c r="B15" s="502"/>
      <c r="C15" s="502"/>
      <c r="D15" s="502"/>
      <c r="E15" s="502"/>
      <c r="F15" s="502"/>
    </row>
    <row r="16" spans="1:6" ht="21" customHeight="1" thickBot="1">
      <c r="A16" s="4"/>
      <c r="B16" s="3"/>
      <c r="C16" s="4"/>
      <c r="D16" s="1"/>
      <c r="E16" s="1"/>
      <c r="F16" s="1"/>
    </row>
    <row r="17" spans="1:16384" ht="18.75" customHeight="1">
      <c r="A17" s="509" t="s">
        <v>22</v>
      </c>
      <c r="B17" s="511" t="s">
        <v>23</v>
      </c>
      <c r="C17" s="511" t="s">
        <v>16</v>
      </c>
      <c r="D17" s="511" t="s">
        <v>24</v>
      </c>
      <c r="E17" s="31" t="s">
        <v>25</v>
      </c>
      <c r="F17" s="513" t="s">
        <v>26</v>
      </c>
    </row>
    <row r="18" spans="1:16384" ht="18.75" customHeight="1" thickBot="1">
      <c r="A18" s="510"/>
      <c r="B18" s="512"/>
      <c r="C18" s="512"/>
      <c r="D18" s="512"/>
      <c r="E18" s="32" t="s">
        <v>27</v>
      </c>
      <c r="F18" s="514"/>
    </row>
    <row r="19" spans="1:16384" ht="24.95" customHeight="1">
      <c r="A19" s="7"/>
      <c r="B19" s="515" t="s">
        <v>265</v>
      </c>
      <c r="C19" s="516"/>
      <c r="D19" s="517"/>
      <c r="E19" s="8"/>
      <c r="F19" s="9"/>
    </row>
    <row r="20" spans="1:16384" ht="24.95" customHeight="1">
      <c r="A20" s="15" t="s">
        <v>266</v>
      </c>
      <c r="B20" s="16" t="s">
        <v>267</v>
      </c>
      <c r="C20" s="24" t="s">
        <v>264</v>
      </c>
      <c r="D20" s="8" t="e">
        <f>#REF!</f>
        <v>#REF!</v>
      </c>
      <c r="E20" s="8">
        <v>50000</v>
      </c>
      <c r="F20" s="9" t="e">
        <f>E20*D20</f>
        <v>#REF!</v>
      </c>
    </row>
    <row r="21" spans="1:16384" ht="24.95" customHeight="1">
      <c r="A21" s="15" t="s">
        <v>268</v>
      </c>
      <c r="B21" s="16" t="s">
        <v>274</v>
      </c>
      <c r="C21" s="24" t="s">
        <v>259</v>
      </c>
      <c r="D21" s="8" t="e">
        <f>#REF!</f>
        <v>#REF!</v>
      </c>
      <c r="E21" s="8">
        <v>15</v>
      </c>
      <c r="F21" s="9" t="e">
        <f t="shared" ref="F21:F27" si="0">E21*D21</f>
        <v>#REF!</v>
      </c>
    </row>
    <row r="22" spans="1:16384" ht="24.95" customHeight="1">
      <c r="A22" s="15" t="s">
        <v>269</v>
      </c>
      <c r="B22" s="16" t="s">
        <v>275</v>
      </c>
      <c r="C22" s="24" t="s">
        <v>16</v>
      </c>
      <c r="D22" s="8" t="e">
        <f>#REF!</f>
        <v>#REF!</v>
      </c>
      <c r="E22" s="8">
        <v>100</v>
      </c>
      <c r="F22" s="9" t="e">
        <f t="shared" si="0"/>
        <v>#REF!</v>
      </c>
    </row>
    <row r="23" spans="1:16384" ht="24.95" customHeight="1">
      <c r="A23" s="15" t="s">
        <v>270</v>
      </c>
      <c r="B23" s="16" t="s">
        <v>276</v>
      </c>
      <c r="C23" s="24" t="s">
        <v>16</v>
      </c>
      <c r="D23" s="8" t="e">
        <f>#REF!</f>
        <v>#REF!</v>
      </c>
      <c r="E23" s="8">
        <v>50</v>
      </c>
      <c r="F23" s="9" t="e">
        <f t="shared" si="0"/>
        <v>#REF!</v>
      </c>
    </row>
    <row r="24" spans="1:16384" ht="24.95" customHeight="1">
      <c r="A24" s="15" t="s">
        <v>271</v>
      </c>
      <c r="B24" s="16" t="s">
        <v>277</v>
      </c>
      <c r="C24" s="24" t="s">
        <v>16</v>
      </c>
      <c r="D24" s="8" t="e">
        <f>#REF!</f>
        <v>#REF!</v>
      </c>
      <c r="E24" s="8">
        <v>100</v>
      </c>
      <c r="F24" s="9" t="e">
        <f t="shared" si="0"/>
        <v>#REF!</v>
      </c>
    </row>
    <row r="25" spans="1:16384" ht="24.95" customHeight="1">
      <c r="A25" s="15" t="s">
        <v>272</v>
      </c>
      <c r="B25" s="16" t="s">
        <v>278</v>
      </c>
      <c r="C25" s="24" t="s">
        <v>264</v>
      </c>
      <c r="D25" s="8">
        <v>1</v>
      </c>
      <c r="E25" s="8">
        <v>30000</v>
      </c>
      <c r="F25" s="9">
        <f t="shared" si="0"/>
        <v>30000</v>
      </c>
    </row>
    <row r="26" spans="1:16384" ht="24.95" customHeight="1">
      <c r="A26" s="15" t="s">
        <v>1122</v>
      </c>
      <c r="B26" s="16" t="s">
        <v>389</v>
      </c>
      <c r="C26" s="24" t="s">
        <v>16</v>
      </c>
      <c r="D26" s="8" t="e">
        <f>#REF!</f>
        <v>#REF!</v>
      </c>
      <c r="E26" s="8">
        <v>400</v>
      </c>
      <c r="F26" s="9" t="e">
        <f t="shared" ref="F26" si="1">E26*D26</f>
        <v>#REF!</v>
      </c>
    </row>
    <row r="27" spans="1:16384" ht="24.95" customHeight="1" thickBot="1">
      <c r="A27" s="15" t="s">
        <v>273</v>
      </c>
      <c r="B27" s="16" t="s">
        <v>279</v>
      </c>
      <c r="C27" s="24" t="s">
        <v>259</v>
      </c>
      <c r="D27" s="8" t="e">
        <f>#REF!</f>
        <v>#REF!</v>
      </c>
      <c r="E27" s="8">
        <v>15</v>
      </c>
      <c r="F27" s="9" t="e">
        <f t="shared" si="0"/>
        <v>#REF!</v>
      </c>
    </row>
    <row r="28" spans="1:16384" ht="24.95" customHeight="1" thickBot="1">
      <c r="A28" s="521" t="s">
        <v>280</v>
      </c>
      <c r="B28" s="522"/>
      <c r="C28" s="522"/>
      <c r="D28" s="522"/>
      <c r="E28" s="523"/>
      <c r="F28" s="104" t="e">
        <f>SUM(F20:F27)</f>
        <v>#REF!</v>
      </c>
      <c r="G28" s="190"/>
      <c r="H28" s="190"/>
      <c r="I28" s="190"/>
      <c r="J28" s="190"/>
      <c r="K28" s="191"/>
      <c r="L28" s="104"/>
      <c r="M28" s="521"/>
      <c r="N28" s="522"/>
      <c r="O28" s="522"/>
      <c r="P28" s="522"/>
      <c r="Q28" s="523"/>
      <c r="R28" s="104"/>
      <c r="S28" s="521"/>
      <c r="T28" s="522"/>
      <c r="U28" s="522"/>
      <c r="V28" s="522"/>
      <c r="W28" s="523"/>
      <c r="X28" s="104"/>
      <c r="Y28" s="521"/>
      <c r="Z28" s="522"/>
      <c r="AA28" s="522"/>
      <c r="AB28" s="522"/>
      <c r="AC28" s="523"/>
      <c r="AD28" s="104"/>
      <c r="AE28" s="521"/>
      <c r="AF28" s="522"/>
      <c r="AG28" s="522"/>
      <c r="AH28" s="522"/>
      <c r="AI28" s="523"/>
      <c r="AJ28" s="104"/>
      <c r="AK28" s="521"/>
      <c r="AL28" s="522"/>
      <c r="AM28" s="522"/>
      <c r="AN28" s="522"/>
      <c r="AO28" s="523"/>
      <c r="AP28" s="104"/>
      <c r="AQ28" s="521"/>
      <c r="AR28" s="522"/>
      <c r="AS28" s="522"/>
      <c r="AT28" s="522"/>
      <c r="AU28" s="523"/>
      <c r="AV28" s="104"/>
      <c r="AW28" s="521"/>
      <c r="AX28" s="522"/>
      <c r="AY28" s="522"/>
      <c r="AZ28" s="522"/>
      <c r="BA28" s="523"/>
      <c r="BB28" s="104"/>
      <c r="BC28" s="521"/>
      <c r="BD28" s="522"/>
      <c r="BE28" s="522"/>
      <c r="BF28" s="522"/>
      <c r="BG28" s="523"/>
      <c r="BH28" s="104"/>
      <c r="BI28" s="521"/>
      <c r="BJ28" s="522"/>
      <c r="BK28" s="522"/>
      <c r="BL28" s="522"/>
      <c r="BM28" s="523"/>
      <c r="BN28" s="104"/>
      <c r="BO28" s="521"/>
      <c r="BP28" s="522"/>
      <c r="BQ28" s="522"/>
      <c r="BR28" s="522"/>
      <c r="BS28" s="523"/>
      <c r="BT28" s="104"/>
      <c r="BU28" s="521"/>
      <c r="BV28" s="522"/>
      <c r="BW28" s="522"/>
      <c r="BX28" s="522"/>
      <c r="BY28" s="523"/>
      <c r="BZ28" s="104"/>
      <c r="CA28" s="521"/>
      <c r="CB28" s="522"/>
      <c r="CC28" s="522"/>
      <c r="CD28" s="522"/>
      <c r="CE28" s="523"/>
      <c r="CF28" s="104"/>
      <c r="CG28" s="521"/>
      <c r="CH28" s="522"/>
      <c r="CI28" s="522"/>
      <c r="CJ28" s="522"/>
      <c r="CK28" s="523"/>
      <c r="CL28" s="104"/>
      <c r="CM28" s="521"/>
      <c r="CN28" s="522"/>
      <c r="CO28" s="522"/>
      <c r="CP28" s="522"/>
      <c r="CQ28" s="523"/>
      <c r="CR28" s="104"/>
      <c r="CS28" s="521"/>
      <c r="CT28" s="522"/>
      <c r="CU28" s="522"/>
      <c r="CV28" s="522"/>
      <c r="CW28" s="523"/>
      <c r="CX28" s="104"/>
      <c r="CY28" s="521"/>
      <c r="CZ28" s="522"/>
      <c r="DA28" s="522"/>
      <c r="DB28" s="522"/>
      <c r="DC28" s="523"/>
      <c r="DD28" s="104"/>
      <c r="DE28" s="521"/>
      <c r="DF28" s="522"/>
      <c r="DG28" s="522"/>
      <c r="DH28" s="522"/>
      <c r="DI28" s="523"/>
      <c r="DJ28" s="104"/>
      <c r="DK28" s="521"/>
      <c r="DL28" s="522"/>
      <c r="DM28" s="522"/>
      <c r="DN28" s="522"/>
      <c r="DO28" s="523"/>
      <c r="DP28" s="104"/>
      <c r="DQ28" s="521"/>
      <c r="DR28" s="522"/>
      <c r="DS28" s="522"/>
      <c r="DT28" s="522"/>
      <c r="DU28" s="523"/>
      <c r="DV28" s="104"/>
      <c r="DW28" s="521"/>
      <c r="DX28" s="522"/>
      <c r="DY28" s="522"/>
      <c r="DZ28" s="522"/>
      <c r="EA28" s="523"/>
      <c r="EB28" s="104"/>
      <c r="EC28" s="521"/>
      <c r="ED28" s="522"/>
      <c r="EE28" s="522"/>
      <c r="EF28" s="522"/>
      <c r="EG28" s="523"/>
      <c r="EH28" s="104"/>
      <c r="EI28" s="521"/>
      <c r="EJ28" s="522"/>
      <c r="EK28" s="522"/>
      <c r="EL28" s="522"/>
      <c r="EM28" s="523"/>
      <c r="EN28" s="104"/>
      <c r="EO28" s="521"/>
      <c r="EP28" s="522"/>
      <c r="EQ28" s="522"/>
      <c r="ER28" s="522"/>
      <c r="ES28" s="523"/>
      <c r="ET28" s="104"/>
      <c r="EU28" s="521"/>
      <c r="EV28" s="522"/>
      <c r="EW28" s="522"/>
      <c r="EX28" s="522"/>
      <c r="EY28" s="523"/>
      <c r="EZ28" s="104"/>
      <c r="FA28" s="521"/>
      <c r="FB28" s="522"/>
      <c r="FC28" s="522"/>
      <c r="FD28" s="522"/>
      <c r="FE28" s="523"/>
      <c r="FF28" s="104"/>
      <c r="FG28" s="521"/>
      <c r="FH28" s="522"/>
      <c r="FI28" s="522"/>
      <c r="FJ28" s="522"/>
      <c r="FK28" s="523"/>
      <c r="FL28" s="104"/>
      <c r="FM28" s="521"/>
      <c r="FN28" s="522"/>
      <c r="FO28" s="522"/>
      <c r="FP28" s="522"/>
      <c r="FQ28" s="523"/>
      <c r="FR28" s="104"/>
      <c r="FS28" s="521"/>
      <c r="FT28" s="522"/>
      <c r="FU28" s="522"/>
      <c r="FV28" s="522"/>
      <c r="FW28" s="523"/>
      <c r="FX28" s="104"/>
      <c r="FY28" s="521"/>
      <c r="FZ28" s="522"/>
      <c r="GA28" s="522"/>
      <c r="GB28" s="522"/>
      <c r="GC28" s="523"/>
      <c r="GD28" s="104"/>
      <c r="GE28" s="521"/>
      <c r="GF28" s="522"/>
      <c r="GG28" s="522"/>
      <c r="GH28" s="522"/>
      <c r="GI28" s="523"/>
      <c r="GJ28" s="104"/>
      <c r="GK28" s="521"/>
      <c r="GL28" s="522"/>
      <c r="GM28" s="522"/>
      <c r="GN28" s="522"/>
      <c r="GO28" s="523"/>
      <c r="GP28" s="104"/>
      <c r="GQ28" s="521"/>
      <c r="GR28" s="522"/>
      <c r="GS28" s="522"/>
      <c r="GT28" s="522"/>
      <c r="GU28" s="523"/>
      <c r="GV28" s="104"/>
      <c r="GW28" s="521"/>
      <c r="GX28" s="522"/>
      <c r="GY28" s="522"/>
      <c r="GZ28" s="522"/>
      <c r="HA28" s="523"/>
      <c r="HB28" s="104"/>
      <c r="HC28" s="521"/>
      <c r="HD28" s="522"/>
      <c r="HE28" s="522"/>
      <c r="HF28" s="522"/>
      <c r="HG28" s="523"/>
      <c r="HH28" s="104"/>
      <c r="HI28" s="521"/>
      <c r="HJ28" s="522"/>
      <c r="HK28" s="522"/>
      <c r="HL28" s="522"/>
      <c r="HM28" s="523"/>
      <c r="HN28" s="104"/>
      <c r="HO28" s="521"/>
      <c r="HP28" s="522"/>
      <c r="HQ28" s="522"/>
      <c r="HR28" s="522"/>
      <c r="HS28" s="523"/>
      <c r="HT28" s="104"/>
      <c r="HU28" s="521"/>
      <c r="HV28" s="522"/>
      <c r="HW28" s="522"/>
      <c r="HX28" s="522"/>
      <c r="HY28" s="523"/>
      <c r="HZ28" s="104"/>
      <c r="IA28" s="521"/>
      <c r="IB28" s="522"/>
      <c r="IC28" s="522"/>
      <c r="ID28" s="522"/>
      <c r="IE28" s="523"/>
      <c r="IF28" s="104"/>
      <c r="IG28" s="521"/>
      <c r="IH28" s="522"/>
      <c r="II28" s="522"/>
      <c r="IJ28" s="522"/>
      <c r="IK28" s="523"/>
      <c r="IL28" s="104"/>
      <c r="IM28" s="521"/>
      <c r="IN28" s="522"/>
      <c r="IO28" s="522"/>
      <c r="IP28" s="522"/>
      <c r="IQ28" s="523"/>
      <c r="IR28" s="104"/>
      <c r="IS28" s="521"/>
      <c r="IT28" s="522"/>
      <c r="IU28" s="522"/>
      <c r="IV28" s="522"/>
      <c r="IW28" s="523"/>
      <c r="IX28" s="104"/>
      <c r="IY28" s="521"/>
      <c r="IZ28" s="522"/>
      <c r="JA28" s="522"/>
      <c r="JB28" s="522"/>
      <c r="JC28" s="523"/>
      <c r="JD28" s="104"/>
      <c r="JE28" s="521"/>
      <c r="JF28" s="522"/>
      <c r="JG28" s="522"/>
      <c r="JH28" s="522"/>
      <c r="JI28" s="523"/>
      <c r="JJ28" s="104"/>
      <c r="JK28" s="521"/>
      <c r="JL28" s="522"/>
      <c r="JM28" s="522"/>
      <c r="JN28" s="522"/>
      <c r="JO28" s="523"/>
      <c r="JP28" s="104"/>
      <c r="JQ28" s="521"/>
      <c r="JR28" s="522"/>
      <c r="JS28" s="522"/>
      <c r="JT28" s="522"/>
      <c r="JU28" s="523"/>
      <c r="JV28" s="104"/>
      <c r="JW28" s="521"/>
      <c r="JX28" s="522"/>
      <c r="JY28" s="522"/>
      <c r="JZ28" s="522"/>
      <c r="KA28" s="523"/>
      <c r="KB28" s="104"/>
      <c r="KC28" s="521"/>
      <c r="KD28" s="522"/>
      <c r="KE28" s="522"/>
      <c r="KF28" s="522"/>
      <c r="KG28" s="523"/>
      <c r="KH28" s="104"/>
      <c r="KI28" s="521"/>
      <c r="KJ28" s="522"/>
      <c r="KK28" s="522"/>
      <c r="KL28" s="522"/>
      <c r="KM28" s="523"/>
      <c r="KN28" s="104"/>
      <c r="KO28" s="521"/>
      <c r="KP28" s="522"/>
      <c r="KQ28" s="522"/>
      <c r="KR28" s="522"/>
      <c r="KS28" s="523"/>
      <c r="KT28" s="104"/>
      <c r="KU28" s="521"/>
      <c r="KV28" s="522"/>
      <c r="KW28" s="522"/>
      <c r="KX28" s="522"/>
      <c r="KY28" s="523"/>
      <c r="KZ28" s="104"/>
      <c r="LA28" s="521"/>
      <c r="LB28" s="522"/>
      <c r="LC28" s="522"/>
      <c r="LD28" s="522"/>
      <c r="LE28" s="523"/>
      <c r="LF28" s="104"/>
      <c r="LG28" s="521"/>
      <c r="LH28" s="522"/>
      <c r="LI28" s="522"/>
      <c r="LJ28" s="522"/>
      <c r="LK28" s="523"/>
      <c r="LL28" s="104"/>
      <c r="LM28" s="521"/>
      <c r="LN28" s="522"/>
      <c r="LO28" s="522"/>
      <c r="LP28" s="522"/>
      <c r="LQ28" s="523"/>
      <c r="LR28" s="104"/>
      <c r="LS28" s="521"/>
      <c r="LT28" s="522"/>
      <c r="LU28" s="522"/>
      <c r="LV28" s="522"/>
      <c r="LW28" s="523"/>
      <c r="LX28" s="104"/>
      <c r="LY28" s="521"/>
      <c r="LZ28" s="522"/>
      <c r="MA28" s="522"/>
      <c r="MB28" s="522"/>
      <c r="MC28" s="523"/>
      <c r="MD28" s="104"/>
      <c r="ME28" s="521"/>
      <c r="MF28" s="522"/>
      <c r="MG28" s="522"/>
      <c r="MH28" s="522"/>
      <c r="MI28" s="523"/>
      <c r="MJ28" s="104"/>
      <c r="MK28" s="521"/>
      <c r="ML28" s="522"/>
      <c r="MM28" s="522"/>
      <c r="MN28" s="522"/>
      <c r="MO28" s="523"/>
      <c r="MP28" s="104"/>
      <c r="MQ28" s="521"/>
      <c r="MR28" s="522"/>
      <c r="MS28" s="522"/>
      <c r="MT28" s="522"/>
      <c r="MU28" s="523"/>
      <c r="MV28" s="104"/>
      <c r="MW28" s="521"/>
      <c r="MX28" s="522"/>
      <c r="MY28" s="522"/>
      <c r="MZ28" s="522"/>
      <c r="NA28" s="523"/>
      <c r="NB28" s="104"/>
      <c r="NC28" s="521"/>
      <c r="ND28" s="522"/>
      <c r="NE28" s="522"/>
      <c r="NF28" s="522"/>
      <c r="NG28" s="523"/>
      <c r="NH28" s="104"/>
      <c r="NI28" s="521"/>
      <c r="NJ28" s="522"/>
      <c r="NK28" s="522"/>
      <c r="NL28" s="522"/>
      <c r="NM28" s="523"/>
      <c r="NN28" s="104"/>
      <c r="NO28" s="521"/>
      <c r="NP28" s="522"/>
      <c r="NQ28" s="522"/>
      <c r="NR28" s="522"/>
      <c r="NS28" s="523"/>
      <c r="NT28" s="104"/>
      <c r="NU28" s="521"/>
      <c r="NV28" s="522"/>
      <c r="NW28" s="522"/>
      <c r="NX28" s="522"/>
      <c r="NY28" s="523"/>
      <c r="NZ28" s="104"/>
      <c r="OA28" s="521"/>
      <c r="OB28" s="522"/>
      <c r="OC28" s="522"/>
      <c r="OD28" s="522"/>
      <c r="OE28" s="523"/>
      <c r="OF28" s="104"/>
      <c r="OG28" s="521"/>
      <c r="OH28" s="522"/>
      <c r="OI28" s="522"/>
      <c r="OJ28" s="522"/>
      <c r="OK28" s="523"/>
      <c r="OL28" s="104"/>
      <c r="OM28" s="521"/>
      <c r="ON28" s="522"/>
      <c r="OO28" s="522"/>
      <c r="OP28" s="522"/>
      <c r="OQ28" s="523"/>
      <c r="OR28" s="104"/>
      <c r="OS28" s="521"/>
      <c r="OT28" s="522"/>
      <c r="OU28" s="522"/>
      <c r="OV28" s="522"/>
      <c r="OW28" s="523"/>
      <c r="OX28" s="104"/>
      <c r="OY28" s="521"/>
      <c r="OZ28" s="522"/>
      <c r="PA28" s="522"/>
      <c r="PB28" s="522"/>
      <c r="PC28" s="523"/>
      <c r="PD28" s="104"/>
      <c r="PE28" s="521"/>
      <c r="PF28" s="522"/>
      <c r="PG28" s="522"/>
      <c r="PH28" s="522"/>
      <c r="PI28" s="523"/>
      <c r="PJ28" s="104"/>
      <c r="PK28" s="521"/>
      <c r="PL28" s="522"/>
      <c r="PM28" s="522"/>
      <c r="PN28" s="522"/>
      <c r="PO28" s="523"/>
      <c r="PP28" s="104"/>
      <c r="PQ28" s="521"/>
      <c r="PR28" s="522"/>
      <c r="PS28" s="522"/>
      <c r="PT28" s="522"/>
      <c r="PU28" s="523"/>
      <c r="PV28" s="104"/>
      <c r="PW28" s="521"/>
      <c r="PX28" s="522"/>
      <c r="PY28" s="522"/>
      <c r="PZ28" s="522"/>
      <c r="QA28" s="523"/>
      <c r="QB28" s="104"/>
      <c r="QC28" s="521"/>
      <c r="QD28" s="522"/>
      <c r="QE28" s="522"/>
      <c r="QF28" s="522"/>
      <c r="QG28" s="523"/>
      <c r="QH28" s="104"/>
      <c r="QI28" s="521"/>
      <c r="QJ28" s="522"/>
      <c r="QK28" s="522"/>
      <c r="QL28" s="522"/>
      <c r="QM28" s="523"/>
      <c r="QN28" s="104"/>
      <c r="QO28" s="521"/>
      <c r="QP28" s="522"/>
      <c r="QQ28" s="522"/>
      <c r="QR28" s="522"/>
      <c r="QS28" s="523"/>
      <c r="QT28" s="104"/>
      <c r="QU28" s="521"/>
      <c r="QV28" s="522"/>
      <c r="QW28" s="522"/>
      <c r="QX28" s="522"/>
      <c r="QY28" s="523"/>
      <c r="QZ28" s="104"/>
      <c r="RA28" s="521"/>
      <c r="RB28" s="522"/>
      <c r="RC28" s="522"/>
      <c r="RD28" s="522"/>
      <c r="RE28" s="523"/>
      <c r="RF28" s="104"/>
      <c r="RG28" s="521"/>
      <c r="RH28" s="522"/>
      <c r="RI28" s="522"/>
      <c r="RJ28" s="522"/>
      <c r="RK28" s="523"/>
      <c r="RL28" s="104"/>
      <c r="RM28" s="521"/>
      <c r="RN28" s="522"/>
      <c r="RO28" s="522"/>
      <c r="RP28" s="522"/>
      <c r="RQ28" s="523"/>
      <c r="RR28" s="104"/>
      <c r="RS28" s="521"/>
      <c r="RT28" s="522"/>
      <c r="RU28" s="522"/>
      <c r="RV28" s="522"/>
      <c r="RW28" s="523"/>
      <c r="RX28" s="104"/>
      <c r="RY28" s="521"/>
      <c r="RZ28" s="522"/>
      <c r="SA28" s="522"/>
      <c r="SB28" s="522"/>
      <c r="SC28" s="523"/>
      <c r="SD28" s="104"/>
      <c r="SE28" s="521"/>
      <c r="SF28" s="522"/>
      <c r="SG28" s="522"/>
      <c r="SH28" s="522"/>
      <c r="SI28" s="523"/>
      <c r="SJ28" s="104"/>
      <c r="SK28" s="521"/>
      <c r="SL28" s="522"/>
      <c r="SM28" s="522"/>
      <c r="SN28" s="522"/>
      <c r="SO28" s="523"/>
      <c r="SP28" s="104"/>
      <c r="SQ28" s="521"/>
      <c r="SR28" s="522"/>
      <c r="SS28" s="522"/>
      <c r="ST28" s="522"/>
      <c r="SU28" s="523"/>
      <c r="SV28" s="104"/>
      <c r="SW28" s="521"/>
      <c r="SX28" s="522"/>
      <c r="SY28" s="522"/>
      <c r="SZ28" s="522"/>
      <c r="TA28" s="523"/>
      <c r="TB28" s="104"/>
      <c r="TC28" s="521"/>
      <c r="TD28" s="522"/>
      <c r="TE28" s="522"/>
      <c r="TF28" s="522"/>
      <c r="TG28" s="523"/>
      <c r="TH28" s="104"/>
      <c r="TI28" s="521"/>
      <c r="TJ28" s="522"/>
      <c r="TK28" s="522"/>
      <c r="TL28" s="522"/>
      <c r="TM28" s="523"/>
      <c r="TN28" s="104"/>
      <c r="TO28" s="521"/>
      <c r="TP28" s="522"/>
      <c r="TQ28" s="522"/>
      <c r="TR28" s="522"/>
      <c r="TS28" s="523"/>
      <c r="TT28" s="104"/>
      <c r="TU28" s="521"/>
      <c r="TV28" s="522"/>
      <c r="TW28" s="522"/>
      <c r="TX28" s="522"/>
      <c r="TY28" s="523"/>
      <c r="TZ28" s="104"/>
      <c r="UA28" s="521"/>
      <c r="UB28" s="522"/>
      <c r="UC28" s="522"/>
      <c r="UD28" s="522"/>
      <c r="UE28" s="523"/>
      <c r="UF28" s="104"/>
      <c r="UG28" s="521"/>
      <c r="UH28" s="522"/>
      <c r="UI28" s="522"/>
      <c r="UJ28" s="522"/>
      <c r="UK28" s="523"/>
      <c r="UL28" s="104"/>
      <c r="UM28" s="521"/>
      <c r="UN28" s="522"/>
      <c r="UO28" s="522"/>
      <c r="UP28" s="522"/>
      <c r="UQ28" s="523"/>
      <c r="UR28" s="104"/>
      <c r="US28" s="521"/>
      <c r="UT28" s="522"/>
      <c r="UU28" s="522"/>
      <c r="UV28" s="522"/>
      <c r="UW28" s="523"/>
      <c r="UX28" s="104"/>
      <c r="UY28" s="521"/>
      <c r="UZ28" s="522"/>
      <c r="VA28" s="522"/>
      <c r="VB28" s="522"/>
      <c r="VC28" s="523"/>
      <c r="VD28" s="104"/>
      <c r="VE28" s="521"/>
      <c r="VF28" s="522"/>
      <c r="VG28" s="522"/>
      <c r="VH28" s="522"/>
      <c r="VI28" s="523"/>
      <c r="VJ28" s="104"/>
      <c r="VK28" s="521"/>
      <c r="VL28" s="522"/>
      <c r="VM28" s="522"/>
      <c r="VN28" s="522"/>
      <c r="VO28" s="523"/>
      <c r="VP28" s="104"/>
      <c r="VQ28" s="521"/>
      <c r="VR28" s="522"/>
      <c r="VS28" s="522"/>
      <c r="VT28" s="522"/>
      <c r="VU28" s="523"/>
      <c r="VV28" s="104"/>
      <c r="VW28" s="521"/>
      <c r="VX28" s="522"/>
      <c r="VY28" s="522"/>
      <c r="VZ28" s="522"/>
      <c r="WA28" s="523"/>
      <c r="WB28" s="104"/>
      <c r="WC28" s="521"/>
      <c r="WD28" s="522"/>
      <c r="WE28" s="522"/>
      <c r="WF28" s="522"/>
      <c r="WG28" s="523"/>
      <c r="WH28" s="104"/>
      <c r="WI28" s="521"/>
      <c r="WJ28" s="522"/>
      <c r="WK28" s="522"/>
      <c r="WL28" s="522"/>
      <c r="WM28" s="523"/>
      <c r="WN28" s="104"/>
      <c r="WO28" s="521"/>
      <c r="WP28" s="522"/>
      <c r="WQ28" s="522"/>
      <c r="WR28" s="522"/>
      <c r="WS28" s="523"/>
      <c r="WT28" s="104"/>
      <c r="WU28" s="521"/>
      <c r="WV28" s="522"/>
      <c r="WW28" s="522"/>
      <c r="WX28" s="522"/>
      <c r="WY28" s="523"/>
      <c r="WZ28" s="104"/>
      <c r="XA28" s="521"/>
      <c r="XB28" s="522"/>
      <c r="XC28" s="522"/>
      <c r="XD28" s="522"/>
      <c r="XE28" s="523"/>
      <c r="XF28" s="104"/>
      <c r="XG28" s="521"/>
      <c r="XH28" s="522"/>
      <c r="XI28" s="522"/>
      <c r="XJ28" s="522"/>
      <c r="XK28" s="523"/>
      <c r="XL28" s="104"/>
      <c r="XM28" s="521"/>
      <c r="XN28" s="522"/>
      <c r="XO28" s="522"/>
      <c r="XP28" s="522"/>
      <c r="XQ28" s="523"/>
      <c r="XR28" s="104"/>
      <c r="XS28" s="521"/>
      <c r="XT28" s="522"/>
      <c r="XU28" s="522"/>
      <c r="XV28" s="522"/>
      <c r="XW28" s="523"/>
      <c r="XX28" s="104"/>
      <c r="XY28" s="521"/>
      <c r="XZ28" s="522"/>
      <c r="YA28" s="522"/>
      <c r="YB28" s="522"/>
      <c r="YC28" s="523"/>
      <c r="YD28" s="104"/>
      <c r="YE28" s="521"/>
      <c r="YF28" s="522"/>
      <c r="YG28" s="522"/>
      <c r="YH28" s="522"/>
      <c r="YI28" s="523"/>
      <c r="YJ28" s="104"/>
      <c r="YK28" s="521"/>
      <c r="YL28" s="522"/>
      <c r="YM28" s="522"/>
      <c r="YN28" s="522"/>
      <c r="YO28" s="523"/>
      <c r="YP28" s="104"/>
      <c r="YQ28" s="521"/>
      <c r="YR28" s="522"/>
      <c r="YS28" s="522"/>
      <c r="YT28" s="522"/>
      <c r="YU28" s="523"/>
      <c r="YV28" s="104"/>
      <c r="YW28" s="521"/>
      <c r="YX28" s="522"/>
      <c r="YY28" s="522"/>
      <c r="YZ28" s="522"/>
      <c r="ZA28" s="523"/>
      <c r="ZB28" s="104"/>
      <c r="ZC28" s="521"/>
      <c r="ZD28" s="522"/>
      <c r="ZE28" s="522"/>
      <c r="ZF28" s="522"/>
      <c r="ZG28" s="523"/>
      <c r="ZH28" s="104"/>
      <c r="ZI28" s="521"/>
      <c r="ZJ28" s="522"/>
      <c r="ZK28" s="522"/>
      <c r="ZL28" s="522"/>
      <c r="ZM28" s="523"/>
      <c r="ZN28" s="104"/>
      <c r="ZO28" s="521"/>
      <c r="ZP28" s="522"/>
      <c r="ZQ28" s="522"/>
      <c r="ZR28" s="522"/>
      <c r="ZS28" s="523"/>
      <c r="ZT28" s="104"/>
      <c r="ZU28" s="521"/>
      <c r="ZV28" s="522"/>
      <c r="ZW28" s="522"/>
      <c r="ZX28" s="522"/>
      <c r="ZY28" s="523"/>
      <c r="ZZ28" s="104"/>
      <c r="AAA28" s="521"/>
      <c r="AAB28" s="522"/>
      <c r="AAC28" s="522"/>
      <c r="AAD28" s="522"/>
      <c r="AAE28" s="523"/>
      <c r="AAF28" s="104"/>
      <c r="AAG28" s="521"/>
      <c r="AAH28" s="522"/>
      <c r="AAI28" s="522"/>
      <c r="AAJ28" s="522"/>
      <c r="AAK28" s="523"/>
      <c r="AAL28" s="104"/>
      <c r="AAM28" s="521"/>
      <c r="AAN28" s="522"/>
      <c r="AAO28" s="522"/>
      <c r="AAP28" s="522"/>
      <c r="AAQ28" s="523"/>
      <c r="AAR28" s="104"/>
      <c r="AAS28" s="521"/>
      <c r="AAT28" s="522"/>
      <c r="AAU28" s="522"/>
      <c r="AAV28" s="522"/>
      <c r="AAW28" s="523"/>
      <c r="AAX28" s="104"/>
      <c r="AAY28" s="521"/>
      <c r="AAZ28" s="522"/>
      <c r="ABA28" s="522"/>
      <c r="ABB28" s="522"/>
      <c r="ABC28" s="523"/>
      <c r="ABD28" s="104"/>
      <c r="ABE28" s="521"/>
      <c r="ABF28" s="522"/>
      <c r="ABG28" s="522"/>
      <c r="ABH28" s="522"/>
      <c r="ABI28" s="523"/>
      <c r="ABJ28" s="104"/>
      <c r="ABK28" s="521"/>
      <c r="ABL28" s="522"/>
      <c r="ABM28" s="522"/>
      <c r="ABN28" s="522"/>
      <c r="ABO28" s="523"/>
      <c r="ABP28" s="104"/>
      <c r="ABQ28" s="521"/>
      <c r="ABR28" s="522"/>
      <c r="ABS28" s="522"/>
      <c r="ABT28" s="522"/>
      <c r="ABU28" s="523"/>
      <c r="ABV28" s="104"/>
      <c r="ABW28" s="521"/>
      <c r="ABX28" s="522"/>
      <c r="ABY28" s="522"/>
      <c r="ABZ28" s="522"/>
      <c r="ACA28" s="523"/>
      <c r="ACB28" s="104"/>
      <c r="ACC28" s="521"/>
      <c r="ACD28" s="522"/>
      <c r="ACE28" s="522"/>
      <c r="ACF28" s="522"/>
      <c r="ACG28" s="523"/>
      <c r="ACH28" s="104"/>
      <c r="ACI28" s="521"/>
      <c r="ACJ28" s="522"/>
      <c r="ACK28" s="522"/>
      <c r="ACL28" s="522"/>
      <c r="ACM28" s="523"/>
      <c r="ACN28" s="104"/>
      <c r="ACO28" s="521"/>
      <c r="ACP28" s="522"/>
      <c r="ACQ28" s="522"/>
      <c r="ACR28" s="522"/>
      <c r="ACS28" s="523"/>
      <c r="ACT28" s="104"/>
      <c r="ACU28" s="521"/>
      <c r="ACV28" s="522"/>
      <c r="ACW28" s="522"/>
      <c r="ACX28" s="522"/>
      <c r="ACY28" s="523"/>
      <c r="ACZ28" s="104"/>
      <c r="ADA28" s="521"/>
      <c r="ADB28" s="522"/>
      <c r="ADC28" s="522"/>
      <c r="ADD28" s="522"/>
      <c r="ADE28" s="523"/>
      <c r="ADF28" s="104"/>
      <c r="ADG28" s="521"/>
      <c r="ADH28" s="522"/>
      <c r="ADI28" s="522"/>
      <c r="ADJ28" s="522"/>
      <c r="ADK28" s="523"/>
      <c r="ADL28" s="104"/>
      <c r="ADM28" s="521"/>
      <c r="ADN28" s="522"/>
      <c r="ADO28" s="522"/>
      <c r="ADP28" s="522"/>
      <c r="ADQ28" s="523"/>
      <c r="ADR28" s="104"/>
      <c r="ADS28" s="521"/>
      <c r="ADT28" s="522"/>
      <c r="ADU28" s="522"/>
      <c r="ADV28" s="522"/>
      <c r="ADW28" s="523"/>
      <c r="ADX28" s="104"/>
      <c r="ADY28" s="521"/>
      <c r="ADZ28" s="522"/>
      <c r="AEA28" s="522"/>
      <c r="AEB28" s="522"/>
      <c r="AEC28" s="523"/>
      <c r="AED28" s="104"/>
      <c r="AEE28" s="521"/>
      <c r="AEF28" s="522"/>
      <c r="AEG28" s="522"/>
      <c r="AEH28" s="522"/>
      <c r="AEI28" s="523"/>
      <c r="AEJ28" s="104"/>
      <c r="AEK28" s="521"/>
      <c r="AEL28" s="522"/>
      <c r="AEM28" s="522"/>
      <c r="AEN28" s="522"/>
      <c r="AEO28" s="523"/>
      <c r="AEP28" s="104"/>
      <c r="AEQ28" s="521"/>
      <c r="AER28" s="522"/>
      <c r="AES28" s="522"/>
      <c r="AET28" s="522"/>
      <c r="AEU28" s="523"/>
      <c r="AEV28" s="104"/>
      <c r="AEW28" s="521"/>
      <c r="AEX28" s="522"/>
      <c r="AEY28" s="522"/>
      <c r="AEZ28" s="522"/>
      <c r="AFA28" s="523"/>
      <c r="AFB28" s="104"/>
      <c r="AFC28" s="521"/>
      <c r="AFD28" s="522"/>
      <c r="AFE28" s="522"/>
      <c r="AFF28" s="522"/>
      <c r="AFG28" s="523"/>
      <c r="AFH28" s="104"/>
      <c r="AFI28" s="521"/>
      <c r="AFJ28" s="522"/>
      <c r="AFK28" s="522"/>
      <c r="AFL28" s="522"/>
      <c r="AFM28" s="523"/>
      <c r="AFN28" s="104"/>
      <c r="AFO28" s="521"/>
      <c r="AFP28" s="522"/>
      <c r="AFQ28" s="522"/>
      <c r="AFR28" s="522"/>
      <c r="AFS28" s="523"/>
      <c r="AFT28" s="104"/>
      <c r="AFU28" s="521"/>
      <c r="AFV28" s="522"/>
      <c r="AFW28" s="522"/>
      <c r="AFX28" s="522"/>
      <c r="AFY28" s="523"/>
      <c r="AFZ28" s="104"/>
      <c r="AGA28" s="521"/>
      <c r="AGB28" s="522"/>
      <c r="AGC28" s="522"/>
      <c r="AGD28" s="522"/>
      <c r="AGE28" s="523"/>
      <c r="AGF28" s="104"/>
      <c r="AGG28" s="521"/>
      <c r="AGH28" s="522"/>
      <c r="AGI28" s="522"/>
      <c r="AGJ28" s="522"/>
      <c r="AGK28" s="523"/>
      <c r="AGL28" s="104"/>
      <c r="AGM28" s="521"/>
      <c r="AGN28" s="522"/>
      <c r="AGO28" s="522"/>
      <c r="AGP28" s="522"/>
      <c r="AGQ28" s="523"/>
      <c r="AGR28" s="104"/>
      <c r="AGS28" s="521"/>
      <c r="AGT28" s="522"/>
      <c r="AGU28" s="522"/>
      <c r="AGV28" s="522"/>
      <c r="AGW28" s="523"/>
      <c r="AGX28" s="104"/>
      <c r="AGY28" s="521"/>
      <c r="AGZ28" s="522"/>
      <c r="AHA28" s="522"/>
      <c r="AHB28" s="522"/>
      <c r="AHC28" s="523"/>
      <c r="AHD28" s="104"/>
      <c r="AHE28" s="521"/>
      <c r="AHF28" s="522"/>
      <c r="AHG28" s="522"/>
      <c r="AHH28" s="522"/>
      <c r="AHI28" s="523"/>
      <c r="AHJ28" s="104"/>
      <c r="AHK28" s="521"/>
      <c r="AHL28" s="522"/>
      <c r="AHM28" s="522"/>
      <c r="AHN28" s="522"/>
      <c r="AHO28" s="523"/>
      <c r="AHP28" s="104"/>
      <c r="AHQ28" s="521"/>
      <c r="AHR28" s="522"/>
      <c r="AHS28" s="522"/>
      <c r="AHT28" s="522"/>
      <c r="AHU28" s="523"/>
      <c r="AHV28" s="104"/>
      <c r="AHW28" s="521"/>
      <c r="AHX28" s="522"/>
      <c r="AHY28" s="522"/>
      <c r="AHZ28" s="522"/>
      <c r="AIA28" s="523"/>
      <c r="AIB28" s="104"/>
      <c r="AIC28" s="521"/>
      <c r="AID28" s="522"/>
      <c r="AIE28" s="522"/>
      <c r="AIF28" s="522"/>
      <c r="AIG28" s="523"/>
      <c r="AIH28" s="104"/>
      <c r="AII28" s="521"/>
      <c r="AIJ28" s="522"/>
      <c r="AIK28" s="522"/>
      <c r="AIL28" s="522"/>
      <c r="AIM28" s="523"/>
      <c r="AIN28" s="104"/>
      <c r="AIO28" s="521"/>
      <c r="AIP28" s="522"/>
      <c r="AIQ28" s="522"/>
      <c r="AIR28" s="522"/>
      <c r="AIS28" s="523"/>
      <c r="AIT28" s="104"/>
      <c r="AIU28" s="521"/>
      <c r="AIV28" s="522"/>
      <c r="AIW28" s="522"/>
      <c r="AIX28" s="522"/>
      <c r="AIY28" s="523"/>
      <c r="AIZ28" s="104"/>
      <c r="AJA28" s="521"/>
      <c r="AJB28" s="522"/>
      <c r="AJC28" s="522"/>
      <c r="AJD28" s="522"/>
      <c r="AJE28" s="523"/>
      <c r="AJF28" s="104"/>
      <c r="AJG28" s="521"/>
      <c r="AJH28" s="522"/>
      <c r="AJI28" s="522"/>
      <c r="AJJ28" s="522"/>
      <c r="AJK28" s="523"/>
      <c r="AJL28" s="104"/>
      <c r="AJM28" s="521"/>
      <c r="AJN28" s="522"/>
      <c r="AJO28" s="522"/>
      <c r="AJP28" s="522"/>
      <c r="AJQ28" s="523"/>
      <c r="AJR28" s="104"/>
      <c r="AJS28" s="521"/>
      <c r="AJT28" s="522"/>
      <c r="AJU28" s="522"/>
      <c r="AJV28" s="522"/>
      <c r="AJW28" s="523"/>
      <c r="AJX28" s="104"/>
      <c r="AJY28" s="521"/>
      <c r="AJZ28" s="522"/>
      <c r="AKA28" s="522"/>
      <c r="AKB28" s="522"/>
      <c r="AKC28" s="523"/>
      <c r="AKD28" s="104"/>
      <c r="AKE28" s="521"/>
      <c r="AKF28" s="522"/>
      <c r="AKG28" s="522"/>
      <c r="AKH28" s="522"/>
      <c r="AKI28" s="523"/>
      <c r="AKJ28" s="104"/>
      <c r="AKK28" s="521"/>
      <c r="AKL28" s="522"/>
      <c r="AKM28" s="522"/>
      <c r="AKN28" s="522"/>
      <c r="AKO28" s="523"/>
      <c r="AKP28" s="104"/>
      <c r="AKQ28" s="521"/>
      <c r="AKR28" s="522"/>
      <c r="AKS28" s="522"/>
      <c r="AKT28" s="522"/>
      <c r="AKU28" s="523"/>
      <c r="AKV28" s="104"/>
      <c r="AKW28" s="521"/>
      <c r="AKX28" s="522"/>
      <c r="AKY28" s="522"/>
      <c r="AKZ28" s="522"/>
      <c r="ALA28" s="523"/>
      <c r="ALB28" s="104"/>
      <c r="ALC28" s="521"/>
      <c r="ALD28" s="522"/>
      <c r="ALE28" s="522"/>
      <c r="ALF28" s="522"/>
      <c r="ALG28" s="523"/>
      <c r="ALH28" s="104"/>
      <c r="ALI28" s="521"/>
      <c r="ALJ28" s="522"/>
      <c r="ALK28" s="522"/>
      <c r="ALL28" s="522"/>
      <c r="ALM28" s="523"/>
      <c r="ALN28" s="104"/>
      <c r="ALO28" s="521"/>
      <c r="ALP28" s="522"/>
      <c r="ALQ28" s="522"/>
      <c r="ALR28" s="522"/>
      <c r="ALS28" s="523"/>
      <c r="ALT28" s="104"/>
      <c r="ALU28" s="521"/>
      <c r="ALV28" s="522"/>
      <c r="ALW28" s="522"/>
      <c r="ALX28" s="522"/>
      <c r="ALY28" s="523"/>
      <c r="ALZ28" s="104"/>
      <c r="AMA28" s="521"/>
      <c r="AMB28" s="522"/>
      <c r="AMC28" s="522"/>
      <c r="AMD28" s="522"/>
      <c r="AME28" s="523"/>
      <c r="AMF28" s="104"/>
      <c r="AMG28" s="521"/>
      <c r="AMH28" s="522"/>
      <c r="AMI28" s="522"/>
      <c r="AMJ28" s="522"/>
      <c r="AMK28" s="523"/>
      <c r="AML28" s="104"/>
      <c r="AMM28" s="521"/>
      <c r="AMN28" s="522"/>
      <c r="AMO28" s="522"/>
      <c r="AMP28" s="522"/>
      <c r="AMQ28" s="523"/>
      <c r="AMR28" s="104"/>
      <c r="AMS28" s="521"/>
      <c r="AMT28" s="522"/>
      <c r="AMU28" s="522"/>
      <c r="AMV28" s="522"/>
      <c r="AMW28" s="523"/>
      <c r="AMX28" s="104"/>
      <c r="AMY28" s="521"/>
      <c r="AMZ28" s="522"/>
      <c r="ANA28" s="522"/>
      <c r="ANB28" s="522"/>
      <c r="ANC28" s="523"/>
      <c r="AND28" s="104"/>
      <c r="ANE28" s="521"/>
      <c r="ANF28" s="522"/>
      <c r="ANG28" s="522"/>
      <c r="ANH28" s="522"/>
      <c r="ANI28" s="523"/>
      <c r="ANJ28" s="104"/>
      <c r="ANK28" s="521"/>
      <c r="ANL28" s="522"/>
      <c r="ANM28" s="522"/>
      <c r="ANN28" s="522"/>
      <c r="ANO28" s="523"/>
      <c r="ANP28" s="104"/>
      <c r="ANQ28" s="521"/>
      <c r="ANR28" s="522"/>
      <c r="ANS28" s="522"/>
      <c r="ANT28" s="522"/>
      <c r="ANU28" s="523"/>
      <c r="ANV28" s="104"/>
      <c r="ANW28" s="521"/>
      <c r="ANX28" s="522"/>
      <c r="ANY28" s="522"/>
      <c r="ANZ28" s="522"/>
      <c r="AOA28" s="523"/>
      <c r="AOB28" s="104"/>
      <c r="AOC28" s="521"/>
      <c r="AOD28" s="522"/>
      <c r="AOE28" s="522"/>
      <c r="AOF28" s="522"/>
      <c r="AOG28" s="523"/>
      <c r="AOH28" s="104"/>
      <c r="AOI28" s="521"/>
      <c r="AOJ28" s="522"/>
      <c r="AOK28" s="522"/>
      <c r="AOL28" s="522"/>
      <c r="AOM28" s="523"/>
      <c r="AON28" s="104"/>
      <c r="AOO28" s="521"/>
      <c r="AOP28" s="522"/>
      <c r="AOQ28" s="522"/>
      <c r="AOR28" s="522"/>
      <c r="AOS28" s="523"/>
      <c r="AOT28" s="104"/>
      <c r="AOU28" s="521"/>
      <c r="AOV28" s="522"/>
      <c r="AOW28" s="522"/>
      <c r="AOX28" s="522"/>
      <c r="AOY28" s="523"/>
      <c r="AOZ28" s="104"/>
      <c r="APA28" s="521"/>
      <c r="APB28" s="522"/>
      <c r="APC28" s="522"/>
      <c r="APD28" s="522"/>
      <c r="APE28" s="523"/>
      <c r="APF28" s="104"/>
      <c r="APG28" s="521"/>
      <c r="APH28" s="522"/>
      <c r="API28" s="522"/>
      <c r="APJ28" s="522"/>
      <c r="APK28" s="523"/>
      <c r="APL28" s="104"/>
      <c r="APM28" s="521"/>
      <c r="APN28" s="522"/>
      <c r="APO28" s="522"/>
      <c r="APP28" s="522"/>
      <c r="APQ28" s="523"/>
      <c r="APR28" s="104"/>
      <c r="APS28" s="521"/>
      <c r="APT28" s="522"/>
      <c r="APU28" s="522"/>
      <c r="APV28" s="522"/>
      <c r="APW28" s="523"/>
      <c r="APX28" s="104"/>
      <c r="APY28" s="521"/>
      <c r="APZ28" s="522"/>
      <c r="AQA28" s="522"/>
      <c r="AQB28" s="522"/>
      <c r="AQC28" s="523"/>
      <c r="AQD28" s="104"/>
      <c r="AQE28" s="521"/>
      <c r="AQF28" s="522"/>
      <c r="AQG28" s="522"/>
      <c r="AQH28" s="522"/>
      <c r="AQI28" s="523"/>
      <c r="AQJ28" s="104"/>
      <c r="AQK28" s="521"/>
      <c r="AQL28" s="522"/>
      <c r="AQM28" s="522"/>
      <c r="AQN28" s="522"/>
      <c r="AQO28" s="523"/>
      <c r="AQP28" s="104"/>
      <c r="AQQ28" s="521"/>
      <c r="AQR28" s="522"/>
      <c r="AQS28" s="522"/>
      <c r="AQT28" s="522"/>
      <c r="AQU28" s="523"/>
      <c r="AQV28" s="104"/>
      <c r="AQW28" s="521"/>
      <c r="AQX28" s="522"/>
      <c r="AQY28" s="522"/>
      <c r="AQZ28" s="522"/>
      <c r="ARA28" s="523"/>
      <c r="ARB28" s="104"/>
      <c r="ARC28" s="521"/>
      <c r="ARD28" s="522"/>
      <c r="ARE28" s="522"/>
      <c r="ARF28" s="522"/>
      <c r="ARG28" s="523"/>
      <c r="ARH28" s="104"/>
      <c r="ARI28" s="521"/>
      <c r="ARJ28" s="522"/>
      <c r="ARK28" s="522"/>
      <c r="ARL28" s="522"/>
      <c r="ARM28" s="523"/>
      <c r="ARN28" s="104"/>
      <c r="ARO28" s="521"/>
      <c r="ARP28" s="522"/>
      <c r="ARQ28" s="522"/>
      <c r="ARR28" s="522"/>
      <c r="ARS28" s="523"/>
      <c r="ART28" s="104"/>
      <c r="ARU28" s="521"/>
      <c r="ARV28" s="522"/>
      <c r="ARW28" s="522"/>
      <c r="ARX28" s="522"/>
      <c r="ARY28" s="523"/>
      <c r="ARZ28" s="104"/>
      <c r="ASA28" s="521"/>
      <c r="ASB28" s="522"/>
      <c r="ASC28" s="522"/>
      <c r="ASD28" s="522"/>
      <c r="ASE28" s="523"/>
      <c r="ASF28" s="104"/>
      <c r="ASG28" s="521"/>
      <c r="ASH28" s="522"/>
      <c r="ASI28" s="522"/>
      <c r="ASJ28" s="522"/>
      <c r="ASK28" s="523"/>
      <c r="ASL28" s="104"/>
      <c r="ASM28" s="521"/>
      <c r="ASN28" s="522"/>
      <c r="ASO28" s="522"/>
      <c r="ASP28" s="522"/>
      <c r="ASQ28" s="523"/>
      <c r="ASR28" s="104"/>
      <c r="ASS28" s="521"/>
      <c r="AST28" s="522"/>
      <c r="ASU28" s="522"/>
      <c r="ASV28" s="522"/>
      <c r="ASW28" s="523"/>
      <c r="ASX28" s="104"/>
      <c r="ASY28" s="521"/>
      <c r="ASZ28" s="522"/>
      <c r="ATA28" s="522"/>
      <c r="ATB28" s="522"/>
      <c r="ATC28" s="523"/>
      <c r="ATD28" s="104"/>
      <c r="ATE28" s="521"/>
      <c r="ATF28" s="522"/>
      <c r="ATG28" s="522"/>
      <c r="ATH28" s="522"/>
      <c r="ATI28" s="523"/>
      <c r="ATJ28" s="104"/>
      <c r="ATK28" s="521"/>
      <c r="ATL28" s="522"/>
      <c r="ATM28" s="522"/>
      <c r="ATN28" s="522"/>
      <c r="ATO28" s="523"/>
      <c r="ATP28" s="104"/>
      <c r="ATQ28" s="521"/>
      <c r="ATR28" s="522"/>
      <c r="ATS28" s="522"/>
      <c r="ATT28" s="522"/>
      <c r="ATU28" s="523"/>
      <c r="ATV28" s="104"/>
      <c r="ATW28" s="521"/>
      <c r="ATX28" s="522"/>
      <c r="ATY28" s="522"/>
      <c r="ATZ28" s="522"/>
      <c r="AUA28" s="523"/>
      <c r="AUB28" s="104"/>
      <c r="AUC28" s="521"/>
      <c r="AUD28" s="522"/>
      <c r="AUE28" s="522"/>
      <c r="AUF28" s="522"/>
      <c r="AUG28" s="523"/>
      <c r="AUH28" s="104"/>
      <c r="AUI28" s="521"/>
      <c r="AUJ28" s="522"/>
      <c r="AUK28" s="522"/>
      <c r="AUL28" s="522"/>
      <c r="AUM28" s="523"/>
      <c r="AUN28" s="104"/>
      <c r="AUO28" s="521"/>
      <c r="AUP28" s="522"/>
      <c r="AUQ28" s="522"/>
      <c r="AUR28" s="522"/>
      <c r="AUS28" s="523"/>
      <c r="AUT28" s="104"/>
      <c r="AUU28" s="521"/>
      <c r="AUV28" s="522"/>
      <c r="AUW28" s="522"/>
      <c r="AUX28" s="522"/>
      <c r="AUY28" s="523"/>
      <c r="AUZ28" s="104"/>
      <c r="AVA28" s="521"/>
      <c r="AVB28" s="522"/>
      <c r="AVC28" s="522"/>
      <c r="AVD28" s="522"/>
      <c r="AVE28" s="523"/>
      <c r="AVF28" s="104"/>
      <c r="AVG28" s="521"/>
      <c r="AVH28" s="522"/>
      <c r="AVI28" s="522"/>
      <c r="AVJ28" s="522"/>
      <c r="AVK28" s="523"/>
      <c r="AVL28" s="104"/>
      <c r="AVM28" s="521"/>
      <c r="AVN28" s="522"/>
      <c r="AVO28" s="522"/>
      <c r="AVP28" s="522"/>
      <c r="AVQ28" s="523"/>
      <c r="AVR28" s="104"/>
      <c r="AVS28" s="521"/>
      <c r="AVT28" s="522"/>
      <c r="AVU28" s="522"/>
      <c r="AVV28" s="522"/>
      <c r="AVW28" s="523"/>
      <c r="AVX28" s="104"/>
      <c r="AVY28" s="521"/>
      <c r="AVZ28" s="522"/>
      <c r="AWA28" s="522"/>
      <c r="AWB28" s="522"/>
      <c r="AWC28" s="523"/>
      <c r="AWD28" s="104"/>
      <c r="AWE28" s="521"/>
      <c r="AWF28" s="522"/>
      <c r="AWG28" s="522"/>
      <c r="AWH28" s="522"/>
      <c r="AWI28" s="523"/>
      <c r="AWJ28" s="104"/>
      <c r="AWK28" s="521"/>
      <c r="AWL28" s="522"/>
      <c r="AWM28" s="522"/>
      <c r="AWN28" s="522"/>
      <c r="AWO28" s="523"/>
      <c r="AWP28" s="104"/>
      <c r="AWQ28" s="521"/>
      <c r="AWR28" s="522"/>
      <c r="AWS28" s="522"/>
      <c r="AWT28" s="522"/>
      <c r="AWU28" s="523"/>
      <c r="AWV28" s="104"/>
      <c r="AWW28" s="521"/>
      <c r="AWX28" s="522"/>
      <c r="AWY28" s="522"/>
      <c r="AWZ28" s="522"/>
      <c r="AXA28" s="523"/>
      <c r="AXB28" s="104"/>
      <c r="AXC28" s="521"/>
      <c r="AXD28" s="522"/>
      <c r="AXE28" s="522"/>
      <c r="AXF28" s="522"/>
      <c r="AXG28" s="523"/>
      <c r="AXH28" s="104"/>
      <c r="AXI28" s="521"/>
      <c r="AXJ28" s="522"/>
      <c r="AXK28" s="522"/>
      <c r="AXL28" s="522"/>
      <c r="AXM28" s="523"/>
      <c r="AXN28" s="104"/>
      <c r="AXO28" s="521"/>
      <c r="AXP28" s="522"/>
      <c r="AXQ28" s="522"/>
      <c r="AXR28" s="522"/>
      <c r="AXS28" s="523"/>
      <c r="AXT28" s="104"/>
      <c r="AXU28" s="521"/>
      <c r="AXV28" s="522"/>
      <c r="AXW28" s="522"/>
      <c r="AXX28" s="522"/>
      <c r="AXY28" s="523"/>
      <c r="AXZ28" s="104"/>
      <c r="AYA28" s="521"/>
      <c r="AYB28" s="522"/>
      <c r="AYC28" s="522"/>
      <c r="AYD28" s="522"/>
      <c r="AYE28" s="523"/>
      <c r="AYF28" s="104"/>
      <c r="AYG28" s="521"/>
      <c r="AYH28" s="522"/>
      <c r="AYI28" s="522"/>
      <c r="AYJ28" s="522"/>
      <c r="AYK28" s="523"/>
      <c r="AYL28" s="104"/>
      <c r="AYM28" s="521"/>
      <c r="AYN28" s="522"/>
      <c r="AYO28" s="522"/>
      <c r="AYP28" s="522"/>
      <c r="AYQ28" s="523"/>
      <c r="AYR28" s="104"/>
      <c r="AYS28" s="521"/>
      <c r="AYT28" s="522"/>
      <c r="AYU28" s="522"/>
      <c r="AYV28" s="522"/>
      <c r="AYW28" s="523"/>
      <c r="AYX28" s="104"/>
      <c r="AYY28" s="521"/>
      <c r="AYZ28" s="522"/>
      <c r="AZA28" s="522"/>
      <c r="AZB28" s="522"/>
      <c r="AZC28" s="523"/>
      <c r="AZD28" s="104"/>
      <c r="AZE28" s="521"/>
      <c r="AZF28" s="522"/>
      <c r="AZG28" s="522"/>
      <c r="AZH28" s="522"/>
      <c r="AZI28" s="523"/>
      <c r="AZJ28" s="104"/>
      <c r="AZK28" s="521"/>
      <c r="AZL28" s="522"/>
      <c r="AZM28" s="522"/>
      <c r="AZN28" s="522"/>
      <c r="AZO28" s="523"/>
      <c r="AZP28" s="104"/>
      <c r="AZQ28" s="521"/>
      <c r="AZR28" s="522"/>
      <c r="AZS28" s="522"/>
      <c r="AZT28" s="522"/>
      <c r="AZU28" s="523"/>
      <c r="AZV28" s="104"/>
      <c r="AZW28" s="521"/>
      <c r="AZX28" s="522"/>
      <c r="AZY28" s="522"/>
      <c r="AZZ28" s="522"/>
      <c r="BAA28" s="523"/>
      <c r="BAB28" s="104"/>
      <c r="BAC28" s="521"/>
      <c r="BAD28" s="522"/>
      <c r="BAE28" s="522"/>
      <c r="BAF28" s="522"/>
      <c r="BAG28" s="523"/>
      <c r="BAH28" s="104"/>
      <c r="BAI28" s="521"/>
      <c r="BAJ28" s="522"/>
      <c r="BAK28" s="522"/>
      <c r="BAL28" s="522"/>
      <c r="BAM28" s="523"/>
      <c r="BAN28" s="104"/>
      <c r="BAO28" s="521"/>
      <c r="BAP28" s="522"/>
      <c r="BAQ28" s="522"/>
      <c r="BAR28" s="522"/>
      <c r="BAS28" s="523"/>
      <c r="BAT28" s="104"/>
      <c r="BAU28" s="521"/>
      <c r="BAV28" s="522"/>
      <c r="BAW28" s="522"/>
      <c r="BAX28" s="522"/>
      <c r="BAY28" s="523"/>
      <c r="BAZ28" s="104"/>
      <c r="BBA28" s="521"/>
      <c r="BBB28" s="522"/>
      <c r="BBC28" s="522"/>
      <c r="BBD28" s="522"/>
      <c r="BBE28" s="523"/>
      <c r="BBF28" s="104"/>
      <c r="BBG28" s="521"/>
      <c r="BBH28" s="522"/>
      <c r="BBI28" s="522"/>
      <c r="BBJ28" s="522"/>
      <c r="BBK28" s="523"/>
      <c r="BBL28" s="104"/>
      <c r="BBM28" s="521"/>
      <c r="BBN28" s="522"/>
      <c r="BBO28" s="522"/>
      <c r="BBP28" s="522"/>
      <c r="BBQ28" s="523"/>
      <c r="BBR28" s="104"/>
      <c r="BBS28" s="521"/>
      <c r="BBT28" s="522"/>
      <c r="BBU28" s="522"/>
      <c r="BBV28" s="522"/>
      <c r="BBW28" s="523"/>
      <c r="BBX28" s="104"/>
      <c r="BBY28" s="521"/>
      <c r="BBZ28" s="522"/>
      <c r="BCA28" s="522"/>
      <c r="BCB28" s="522"/>
      <c r="BCC28" s="523"/>
      <c r="BCD28" s="104"/>
      <c r="BCE28" s="521"/>
      <c r="BCF28" s="522"/>
      <c r="BCG28" s="522"/>
      <c r="BCH28" s="522"/>
      <c r="BCI28" s="523"/>
      <c r="BCJ28" s="104"/>
      <c r="BCK28" s="521"/>
      <c r="BCL28" s="522"/>
      <c r="BCM28" s="522"/>
      <c r="BCN28" s="522"/>
      <c r="BCO28" s="523"/>
      <c r="BCP28" s="104"/>
      <c r="BCQ28" s="521"/>
      <c r="BCR28" s="522"/>
      <c r="BCS28" s="522"/>
      <c r="BCT28" s="522"/>
      <c r="BCU28" s="523"/>
      <c r="BCV28" s="104"/>
      <c r="BCW28" s="521"/>
      <c r="BCX28" s="522"/>
      <c r="BCY28" s="522"/>
      <c r="BCZ28" s="522"/>
      <c r="BDA28" s="523"/>
      <c r="BDB28" s="104"/>
      <c r="BDC28" s="521"/>
      <c r="BDD28" s="522"/>
      <c r="BDE28" s="522"/>
      <c r="BDF28" s="522"/>
      <c r="BDG28" s="523"/>
      <c r="BDH28" s="104"/>
      <c r="BDI28" s="521"/>
      <c r="BDJ28" s="522"/>
      <c r="BDK28" s="522"/>
      <c r="BDL28" s="522"/>
      <c r="BDM28" s="523"/>
      <c r="BDN28" s="104"/>
      <c r="BDO28" s="521"/>
      <c r="BDP28" s="522"/>
      <c r="BDQ28" s="522"/>
      <c r="BDR28" s="522"/>
      <c r="BDS28" s="523"/>
      <c r="BDT28" s="104"/>
      <c r="BDU28" s="521"/>
      <c r="BDV28" s="522"/>
      <c r="BDW28" s="522"/>
      <c r="BDX28" s="522"/>
      <c r="BDY28" s="523"/>
      <c r="BDZ28" s="104"/>
      <c r="BEA28" s="521"/>
      <c r="BEB28" s="522"/>
      <c r="BEC28" s="522"/>
      <c r="BED28" s="522"/>
      <c r="BEE28" s="523"/>
      <c r="BEF28" s="104"/>
      <c r="BEG28" s="521"/>
      <c r="BEH28" s="522"/>
      <c r="BEI28" s="522"/>
      <c r="BEJ28" s="522"/>
      <c r="BEK28" s="523"/>
      <c r="BEL28" s="104"/>
      <c r="BEM28" s="521"/>
      <c r="BEN28" s="522"/>
      <c r="BEO28" s="522"/>
      <c r="BEP28" s="522"/>
      <c r="BEQ28" s="523"/>
      <c r="BER28" s="104"/>
      <c r="BES28" s="521"/>
      <c r="BET28" s="522"/>
      <c r="BEU28" s="522"/>
      <c r="BEV28" s="522"/>
      <c r="BEW28" s="523"/>
      <c r="BEX28" s="104"/>
      <c r="BEY28" s="521"/>
      <c r="BEZ28" s="522"/>
      <c r="BFA28" s="522"/>
      <c r="BFB28" s="522"/>
      <c r="BFC28" s="523"/>
      <c r="BFD28" s="104"/>
      <c r="BFE28" s="521"/>
      <c r="BFF28" s="522"/>
      <c r="BFG28" s="522"/>
      <c r="BFH28" s="522"/>
      <c r="BFI28" s="523"/>
      <c r="BFJ28" s="104"/>
      <c r="BFK28" s="521"/>
      <c r="BFL28" s="522"/>
      <c r="BFM28" s="522"/>
      <c r="BFN28" s="522"/>
      <c r="BFO28" s="523"/>
      <c r="BFP28" s="104"/>
      <c r="BFQ28" s="521"/>
      <c r="BFR28" s="522"/>
      <c r="BFS28" s="522"/>
      <c r="BFT28" s="522"/>
      <c r="BFU28" s="523"/>
      <c r="BFV28" s="104"/>
      <c r="BFW28" s="521"/>
      <c r="BFX28" s="522"/>
      <c r="BFY28" s="522"/>
      <c r="BFZ28" s="522"/>
      <c r="BGA28" s="523"/>
      <c r="BGB28" s="104"/>
      <c r="BGC28" s="521"/>
      <c r="BGD28" s="522"/>
      <c r="BGE28" s="522"/>
      <c r="BGF28" s="522"/>
      <c r="BGG28" s="523"/>
      <c r="BGH28" s="104"/>
      <c r="BGI28" s="521"/>
      <c r="BGJ28" s="522"/>
      <c r="BGK28" s="522"/>
      <c r="BGL28" s="522"/>
      <c r="BGM28" s="523"/>
      <c r="BGN28" s="104"/>
      <c r="BGO28" s="521"/>
      <c r="BGP28" s="522"/>
      <c r="BGQ28" s="522"/>
      <c r="BGR28" s="522"/>
      <c r="BGS28" s="523"/>
      <c r="BGT28" s="104"/>
      <c r="BGU28" s="521"/>
      <c r="BGV28" s="522"/>
      <c r="BGW28" s="522"/>
      <c r="BGX28" s="522"/>
      <c r="BGY28" s="523"/>
      <c r="BGZ28" s="104"/>
      <c r="BHA28" s="521"/>
      <c r="BHB28" s="522"/>
      <c r="BHC28" s="522"/>
      <c r="BHD28" s="522"/>
      <c r="BHE28" s="523"/>
      <c r="BHF28" s="104"/>
      <c r="BHG28" s="521"/>
      <c r="BHH28" s="522"/>
      <c r="BHI28" s="522"/>
      <c r="BHJ28" s="522"/>
      <c r="BHK28" s="523"/>
      <c r="BHL28" s="104"/>
      <c r="BHM28" s="521"/>
      <c r="BHN28" s="522"/>
      <c r="BHO28" s="522"/>
      <c r="BHP28" s="522"/>
      <c r="BHQ28" s="523"/>
      <c r="BHR28" s="104"/>
      <c r="BHS28" s="521"/>
      <c r="BHT28" s="522"/>
      <c r="BHU28" s="522"/>
      <c r="BHV28" s="522"/>
      <c r="BHW28" s="523"/>
      <c r="BHX28" s="104"/>
      <c r="BHY28" s="521"/>
      <c r="BHZ28" s="522"/>
      <c r="BIA28" s="522"/>
      <c r="BIB28" s="522"/>
      <c r="BIC28" s="523"/>
      <c r="BID28" s="104"/>
      <c r="BIE28" s="521"/>
      <c r="BIF28" s="522"/>
      <c r="BIG28" s="522"/>
      <c r="BIH28" s="522"/>
      <c r="BII28" s="523"/>
      <c r="BIJ28" s="104"/>
      <c r="BIK28" s="521"/>
      <c r="BIL28" s="522"/>
      <c r="BIM28" s="522"/>
      <c r="BIN28" s="522"/>
      <c r="BIO28" s="523"/>
      <c r="BIP28" s="104"/>
      <c r="BIQ28" s="521"/>
      <c r="BIR28" s="522"/>
      <c r="BIS28" s="522"/>
      <c r="BIT28" s="522"/>
      <c r="BIU28" s="523"/>
      <c r="BIV28" s="104"/>
      <c r="BIW28" s="521"/>
      <c r="BIX28" s="522"/>
      <c r="BIY28" s="522"/>
      <c r="BIZ28" s="522"/>
      <c r="BJA28" s="523"/>
      <c r="BJB28" s="104"/>
      <c r="BJC28" s="521"/>
      <c r="BJD28" s="522"/>
      <c r="BJE28" s="522"/>
      <c r="BJF28" s="522"/>
      <c r="BJG28" s="523"/>
      <c r="BJH28" s="104"/>
      <c r="BJI28" s="521"/>
      <c r="BJJ28" s="522"/>
      <c r="BJK28" s="522"/>
      <c r="BJL28" s="522"/>
      <c r="BJM28" s="523"/>
      <c r="BJN28" s="104"/>
      <c r="BJO28" s="521"/>
      <c r="BJP28" s="522"/>
      <c r="BJQ28" s="522"/>
      <c r="BJR28" s="522"/>
      <c r="BJS28" s="523"/>
      <c r="BJT28" s="104"/>
      <c r="BJU28" s="521"/>
      <c r="BJV28" s="522"/>
      <c r="BJW28" s="522"/>
      <c r="BJX28" s="522"/>
      <c r="BJY28" s="523"/>
      <c r="BJZ28" s="104"/>
      <c r="BKA28" s="521"/>
      <c r="BKB28" s="522"/>
      <c r="BKC28" s="522"/>
      <c r="BKD28" s="522"/>
      <c r="BKE28" s="523"/>
      <c r="BKF28" s="104"/>
      <c r="BKG28" s="521"/>
      <c r="BKH28" s="522"/>
      <c r="BKI28" s="522"/>
      <c r="BKJ28" s="522"/>
      <c r="BKK28" s="523"/>
      <c r="BKL28" s="104"/>
      <c r="BKM28" s="521"/>
      <c r="BKN28" s="522"/>
      <c r="BKO28" s="522"/>
      <c r="BKP28" s="522"/>
      <c r="BKQ28" s="523"/>
      <c r="BKR28" s="104"/>
      <c r="BKS28" s="521"/>
      <c r="BKT28" s="522"/>
      <c r="BKU28" s="522"/>
      <c r="BKV28" s="522"/>
      <c r="BKW28" s="523"/>
      <c r="BKX28" s="104"/>
      <c r="BKY28" s="521"/>
      <c r="BKZ28" s="522"/>
      <c r="BLA28" s="522"/>
      <c r="BLB28" s="522"/>
      <c r="BLC28" s="523"/>
      <c r="BLD28" s="104"/>
      <c r="BLE28" s="521"/>
      <c r="BLF28" s="522"/>
      <c r="BLG28" s="522"/>
      <c r="BLH28" s="522"/>
      <c r="BLI28" s="523"/>
      <c r="BLJ28" s="104"/>
      <c r="BLK28" s="521"/>
      <c r="BLL28" s="522"/>
      <c r="BLM28" s="522"/>
      <c r="BLN28" s="522"/>
      <c r="BLO28" s="523"/>
      <c r="BLP28" s="104"/>
      <c r="BLQ28" s="521"/>
      <c r="BLR28" s="522"/>
      <c r="BLS28" s="522"/>
      <c r="BLT28" s="522"/>
      <c r="BLU28" s="523"/>
      <c r="BLV28" s="104"/>
      <c r="BLW28" s="521"/>
      <c r="BLX28" s="522"/>
      <c r="BLY28" s="522"/>
      <c r="BLZ28" s="522"/>
      <c r="BMA28" s="523"/>
      <c r="BMB28" s="104"/>
      <c r="BMC28" s="521"/>
      <c r="BMD28" s="522"/>
      <c r="BME28" s="522"/>
      <c r="BMF28" s="522"/>
      <c r="BMG28" s="523"/>
      <c r="BMH28" s="104"/>
      <c r="BMI28" s="521"/>
      <c r="BMJ28" s="522"/>
      <c r="BMK28" s="522"/>
      <c r="BML28" s="522"/>
      <c r="BMM28" s="523"/>
      <c r="BMN28" s="104"/>
      <c r="BMO28" s="521"/>
      <c r="BMP28" s="522"/>
      <c r="BMQ28" s="522"/>
      <c r="BMR28" s="522"/>
      <c r="BMS28" s="523"/>
      <c r="BMT28" s="104"/>
      <c r="BMU28" s="521"/>
      <c r="BMV28" s="522"/>
      <c r="BMW28" s="522"/>
      <c r="BMX28" s="522"/>
      <c r="BMY28" s="523"/>
      <c r="BMZ28" s="104"/>
      <c r="BNA28" s="521"/>
      <c r="BNB28" s="522"/>
      <c r="BNC28" s="522"/>
      <c r="BND28" s="522"/>
      <c r="BNE28" s="523"/>
      <c r="BNF28" s="104"/>
      <c r="BNG28" s="521"/>
      <c r="BNH28" s="522"/>
      <c r="BNI28" s="522"/>
      <c r="BNJ28" s="522"/>
      <c r="BNK28" s="523"/>
      <c r="BNL28" s="104"/>
      <c r="BNM28" s="521"/>
      <c r="BNN28" s="522"/>
      <c r="BNO28" s="522"/>
      <c r="BNP28" s="522"/>
      <c r="BNQ28" s="523"/>
      <c r="BNR28" s="104"/>
      <c r="BNS28" s="521"/>
      <c r="BNT28" s="522"/>
      <c r="BNU28" s="522"/>
      <c r="BNV28" s="522"/>
      <c r="BNW28" s="523"/>
      <c r="BNX28" s="104"/>
      <c r="BNY28" s="521"/>
      <c r="BNZ28" s="522"/>
      <c r="BOA28" s="522"/>
      <c r="BOB28" s="522"/>
      <c r="BOC28" s="523"/>
      <c r="BOD28" s="104"/>
      <c r="BOE28" s="521"/>
      <c r="BOF28" s="522"/>
      <c r="BOG28" s="522"/>
      <c r="BOH28" s="522"/>
      <c r="BOI28" s="523"/>
      <c r="BOJ28" s="104"/>
      <c r="BOK28" s="521"/>
      <c r="BOL28" s="522"/>
      <c r="BOM28" s="522"/>
      <c r="BON28" s="522"/>
      <c r="BOO28" s="523"/>
      <c r="BOP28" s="104"/>
      <c r="BOQ28" s="521"/>
      <c r="BOR28" s="522"/>
      <c r="BOS28" s="522"/>
      <c r="BOT28" s="522"/>
      <c r="BOU28" s="523"/>
      <c r="BOV28" s="104"/>
      <c r="BOW28" s="521"/>
      <c r="BOX28" s="522"/>
      <c r="BOY28" s="522"/>
      <c r="BOZ28" s="522"/>
      <c r="BPA28" s="523"/>
      <c r="BPB28" s="104"/>
      <c r="BPC28" s="521"/>
      <c r="BPD28" s="522"/>
      <c r="BPE28" s="522"/>
      <c r="BPF28" s="522"/>
      <c r="BPG28" s="523"/>
      <c r="BPH28" s="104"/>
      <c r="BPI28" s="521"/>
      <c r="BPJ28" s="522"/>
      <c r="BPK28" s="522"/>
      <c r="BPL28" s="522"/>
      <c r="BPM28" s="523"/>
      <c r="BPN28" s="104"/>
      <c r="BPO28" s="521"/>
      <c r="BPP28" s="522"/>
      <c r="BPQ28" s="522"/>
      <c r="BPR28" s="522"/>
      <c r="BPS28" s="523"/>
      <c r="BPT28" s="104"/>
      <c r="BPU28" s="521"/>
      <c r="BPV28" s="522"/>
      <c r="BPW28" s="522"/>
      <c r="BPX28" s="522"/>
      <c r="BPY28" s="523"/>
      <c r="BPZ28" s="104"/>
      <c r="BQA28" s="521"/>
      <c r="BQB28" s="522"/>
      <c r="BQC28" s="522"/>
      <c r="BQD28" s="522"/>
      <c r="BQE28" s="523"/>
      <c r="BQF28" s="104"/>
      <c r="BQG28" s="521"/>
      <c r="BQH28" s="522"/>
      <c r="BQI28" s="522"/>
      <c r="BQJ28" s="522"/>
      <c r="BQK28" s="523"/>
      <c r="BQL28" s="104"/>
      <c r="BQM28" s="521"/>
      <c r="BQN28" s="522"/>
      <c r="BQO28" s="522"/>
      <c r="BQP28" s="522"/>
      <c r="BQQ28" s="523"/>
      <c r="BQR28" s="104"/>
      <c r="BQS28" s="521"/>
      <c r="BQT28" s="522"/>
      <c r="BQU28" s="522"/>
      <c r="BQV28" s="522"/>
      <c r="BQW28" s="523"/>
      <c r="BQX28" s="104"/>
      <c r="BQY28" s="521"/>
      <c r="BQZ28" s="522"/>
      <c r="BRA28" s="522"/>
      <c r="BRB28" s="522"/>
      <c r="BRC28" s="523"/>
      <c r="BRD28" s="104"/>
      <c r="BRE28" s="521"/>
      <c r="BRF28" s="522"/>
      <c r="BRG28" s="522"/>
      <c r="BRH28" s="522"/>
      <c r="BRI28" s="523"/>
      <c r="BRJ28" s="104"/>
      <c r="BRK28" s="521"/>
      <c r="BRL28" s="522"/>
      <c r="BRM28" s="522"/>
      <c r="BRN28" s="522"/>
      <c r="BRO28" s="523"/>
      <c r="BRP28" s="104"/>
      <c r="BRQ28" s="521"/>
      <c r="BRR28" s="522"/>
      <c r="BRS28" s="522"/>
      <c r="BRT28" s="522"/>
      <c r="BRU28" s="523"/>
      <c r="BRV28" s="104"/>
      <c r="BRW28" s="521"/>
      <c r="BRX28" s="522"/>
      <c r="BRY28" s="522"/>
      <c r="BRZ28" s="522"/>
      <c r="BSA28" s="523"/>
      <c r="BSB28" s="104"/>
      <c r="BSC28" s="521"/>
      <c r="BSD28" s="522"/>
      <c r="BSE28" s="522"/>
      <c r="BSF28" s="522"/>
      <c r="BSG28" s="523"/>
      <c r="BSH28" s="104"/>
      <c r="BSI28" s="521"/>
      <c r="BSJ28" s="522"/>
      <c r="BSK28" s="522"/>
      <c r="BSL28" s="522"/>
      <c r="BSM28" s="523"/>
      <c r="BSN28" s="104"/>
      <c r="BSO28" s="521"/>
      <c r="BSP28" s="522"/>
      <c r="BSQ28" s="522"/>
      <c r="BSR28" s="522"/>
      <c r="BSS28" s="523"/>
      <c r="BST28" s="104"/>
      <c r="BSU28" s="521"/>
      <c r="BSV28" s="522"/>
      <c r="BSW28" s="522"/>
      <c r="BSX28" s="522"/>
      <c r="BSY28" s="523"/>
      <c r="BSZ28" s="104"/>
      <c r="BTA28" s="521"/>
      <c r="BTB28" s="522"/>
      <c r="BTC28" s="522"/>
      <c r="BTD28" s="522"/>
      <c r="BTE28" s="523"/>
      <c r="BTF28" s="104"/>
      <c r="BTG28" s="521"/>
      <c r="BTH28" s="522"/>
      <c r="BTI28" s="522"/>
      <c r="BTJ28" s="522"/>
      <c r="BTK28" s="523"/>
      <c r="BTL28" s="104"/>
      <c r="BTM28" s="521"/>
      <c r="BTN28" s="522"/>
      <c r="BTO28" s="522"/>
      <c r="BTP28" s="522"/>
      <c r="BTQ28" s="523"/>
      <c r="BTR28" s="104"/>
      <c r="BTS28" s="521"/>
      <c r="BTT28" s="522"/>
      <c r="BTU28" s="522"/>
      <c r="BTV28" s="522"/>
      <c r="BTW28" s="523"/>
      <c r="BTX28" s="104"/>
      <c r="BTY28" s="521"/>
      <c r="BTZ28" s="522"/>
      <c r="BUA28" s="522"/>
      <c r="BUB28" s="522"/>
      <c r="BUC28" s="523"/>
      <c r="BUD28" s="104"/>
      <c r="BUE28" s="521"/>
      <c r="BUF28" s="522"/>
      <c r="BUG28" s="522"/>
      <c r="BUH28" s="522"/>
      <c r="BUI28" s="523"/>
      <c r="BUJ28" s="104"/>
      <c r="BUK28" s="521"/>
      <c r="BUL28" s="522"/>
      <c r="BUM28" s="522"/>
      <c r="BUN28" s="522"/>
      <c r="BUO28" s="523"/>
      <c r="BUP28" s="104"/>
      <c r="BUQ28" s="521"/>
      <c r="BUR28" s="522"/>
      <c r="BUS28" s="522"/>
      <c r="BUT28" s="522"/>
      <c r="BUU28" s="523"/>
      <c r="BUV28" s="104"/>
      <c r="BUW28" s="521"/>
      <c r="BUX28" s="522"/>
      <c r="BUY28" s="522"/>
      <c r="BUZ28" s="522"/>
      <c r="BVA28" s="523"/>
      <c r="BVB28" s="104"/>
      <c r="BVC28" s="521"/>
      <c r="BVD28" s="522"/>
      <c r="BVE28" s="522"/>
      <c r="BVF28" s="522"/>
      <c r="BVG28" s="523"/>
      <c r="BVH28" s="104"/>
      <c r="BVI28" s="521"/>
      <c r="BVJ28" s="522"/>
      <c r="BVK28" s="522"/>
      <c r="BVL28" s="522"/>
      <c r="BVM28" s="523"/>
      <c r="BVN28" s="104"/>
      <c r="BVO28" s="521"/>
      <c r="BVP28" s="522"/>
      <c r="BVQ28" s="522"/>
      <c r="BVR28" s="522"/>
      <c r="BVS28" s="523"/>
      <c r="BVT28" s="104"/>
      <c r="BVU28" s="521"/>
      <c r="BVV28" s="522"/>
      <c r="BVW28" s="522"/>
      <c r="BVX28" s="522"/>
      <c r="BVY28" s="523"/>
      <c r="BVZ28" s="104"/>
      <c r="BWA28" s="521"/>
      <c r="BWB28" s="522"/>
      <c r="BWC28" s="522"/>
      <c r="BWD28" s="522"/>
      <c r="BWE28" s="523"/>
      <c r="BWF28" s="104"/>
      <c r="BWG28" s="521"/>
      <c r="BWH28" s="522"/>
      <c r="BWI28" s="522"/>
      <c r="BWJ28" s="522"/>
      <c r="BWK28" s="523"/>
      <c r="BWL28" s="104"/>
      <c r="BWM28" s="521"/>
      <c r="BWN28" s="522"/>
      <c r="BWO28" s="522"/>
      <c r="BWP28" s="522"/>
      <c r="BWQ28" s="523"/>
      <c r="BWR28" s="104"/>
      <c r="BWS28" s="521"/>
      <c r="BWT28" s="522"/>
      <c r="BWU28" s="522"/>
      <c r="BWV28" s="522"/>
      <c r="BWW28" s="523"/>
      <c r="BWX28" s="104"/>
      <c r="BWY28" s="521"/>
      <c r="BWZ28" s="522"/>
      <c r="BXA28" s="522"/>
      <c r="BXB28" s="522"/>
      <c r="BXC28" s="523"/>
      <c r="BXD28" s="104"/>
      <c r="BXE28" s="521"/>
      <c r="BXF28" s="522"/>
      <c r="BXG28" s="522"/>
      <c r="BXH28" s="522"/>
      <c r="BXI28" s="523"/>
      <c r="BXJ28" s="104"/>
      <c r="BXK28" s="521"/>
      <c r="BXL28" s="522"/>
      <c r="BXM28" s="522"/>
      <c r="BXN28" s="522"/>
      <c r="BXO28" s="523"/>
      <c r="BXP28" s="104"/>
      <c r="BXQ28" s="521"/>
      <c r="BXR28" s="522"/>
      <c r="BXS28" s="522"/>
      <c r="BXT28" s="522"/>
      <c r="BXU28" s="523"/>
      <c r="BXV28" s="104"/>
      <c r="BXW28" s="521"/>
      <c r="BXX28" s="522"/>
      <c r="BXY28" s="522"/>
      <c r="BXZ28" s="522"/>
      <c r="BYA28" s="523"/>
      <c r="BYB28" s="104"/>
      <c r="BYC28" s="521"/>
      <c r="BYD28" s="522"/>
      <c r="BYE28" s="522"/>
      <c r="BYF28" s="522"/>
      <c r="BYG28" s="523"/>
      <c r="BYH28" s="104"/>
      <c r="BYI28" s="521"/>
      <c r="BYJ28" s="522"/>
      <c r="BYK28" s="522"/>
      <c r="BYL28" s="522"/>
      <c r="BYM28" s="523"/>
      <c r="BYN28" s="104"/>
      <c r="BYO28" s="521"/>
      <c r="BYP28" s="522"/>
      <c r="BYQ28" s="522"/>
      <c r="BYR28" s="522"/>
      <c r="BYS28" s="523"/>
      <c r="BYT28" s="104"/>
      <c r="BYU28" s="521"/>
      <c r="BYV28" s="522"/>
      <c r="BYW28" s="522"/>
      <c r="BYX28" s="522"/>
      <c r="BYY28" s="523"/>
      <c r="BYZ28" s="104"/>
      <c r="BZA28" s="521"/>
      <c r="BZB28" s="522"/>
      <c r="BZC28" s="522"/>
      <c r="BZD28" s="522"/>
      <c r="BZE28" s="523"/>
      <c r="BZF28" s="104"/>
      <c r="BZG28" s="521"/>
      <c r="BZH28" s="522"/>
      <c r="BZI28" s="522"/>
      <c r="BZJ28" s="522"/>
      <c r="BZK28" s="523"/>
      <c r="BZL28" s="104"/>
      <c r="BZM28" s="521"/>
      <c r="BZN28" s="522"/>
      <c r="BZO28" s="522"/>
      <c r="BZP28" s="522"/>
      <c r="BZQ28" s="523"/>
      <c r="BZR28" s="104"/>
      <c r="BZS28" s="521"/>
      <c r="BZT28" s="522"/>
      <c r="BZU28" s="522"/>
      <c r="BZV28" s="522"/>
      <c r="BZW28" s="523"/>
      <c r="BZX28" s="104"/>
      <c r="BZY28" s="521"/>
      <c r="BZZ28" s="522"/>
      <c r="CAA28" s="522"/>
      <c r="CAB28" s="522"/>
      <c r="CAC28" s="523"/>
      <c r="CAD28" s="104"/>
      <c r="CAE28" s="521"/>
      <c r="CAF28" s="522"/>
      <c r="CAG28" s="522"/>
      <c r="CAH28" s="522"/>
      <c r="CAI28" s="523"/>
      <c r="CAJ28" s="104"/>
      <c r="CAK28" s="521"/>
      <c r="CAL28" s="522"/>
      <c r="CAM28" s="522"/>
      <c r="CAN28" s="522"/>
      <c r="CAO28" s="523"/>
      <c r="CAP28" s="104"/>
      <c r="CAQ28" s="521"/>
      <c r="CAR28" s="522"/>
      <c r="CAS28" s="522"/>
      <c r="CAT28" s="522"/>
      <c r="CAU28" s="523"/>
      <c r="CAV28" s="104"/>
      <c r="CAW28" s="521"/>
      <c r="CAX28" s="522"/>
      <c r="CAY28" s="522"/>
      <c r="CAZ28" s="522"/>
      <c r="CBA28" s="523"/>
      <c r="CBB28" s="104"/>
      <c r="CBC28" s="521"/>
      <c r="CBD28" s="522"/>
      <c r="CBE28" s="522"/>
      <c r="CBF28" s="522"/>
      <c r="CBG28" s="523"/>
      <c r="CBH28" s="104"/>
      <c r="CBI28" s="521"/>
      <c r="CBJ28" s="522"/>
      <c r="CBK28" s="522"/>
      <c r="CBL28" s="522"/>
      <c r="CBM28" s="523"/>
      <c r="CBN28" s="104"/>
      <c r="CBO28" s="521"/>
      <c r="CBP28" s="522"/>
      <c r="CBQ28" s="522"/>
      <c r="CBR28" s="522"/>
      <c r="CBS28" s="523"/>
      <c r="CBT28" s="104"/>
      <c r="CBU28" s="521"/>
      <c r="CBV28" s="522"/>
      <c r="CBW28" s="522"/>
      <c r="CBX28" s="522"/>
      <c r="CBY28" s="523"/>
      <c r="CBZ28" s="104"/>
      <c r="CCA28" s="521"/>
      <c r="CCB28" s="522"/>
      <c r="CCC28" s="522"/>
      <c r="CCD28" s="522"/>
      <c r="CCE28" s="523"/>
      <c r="CCF28" s="104"/>
      <c r="CCG28" s="521"/>
      <c r="CCH28" s="522"/>
      <c r="CCI28" s="522"/>
      <c r="CCJ28" s="522"/>
      <c r="CCK28" s="523"/>
      <c r="CCL28" s="104"/>
      <c r="CCM28" s="521"/>
      <c r="CCN28" s="522"/>
      <c r="CCO28" s="522"/>
      <c r="CCP28" s="522"/>
      <c r="CCQ28" s="523"/>
      <c r="CCR28" s="104"/>
      <c r="CCS28" s="521"/>
      <c r="CCT28" s="522"/>
      <c r="CCU28" s="522"/>
      <c r="CCV28" s="522"/>
      <c r="CCW28" s="523"/>
      <c r="CCX28" s="104"/>
      <c r="CCY28" s="521"/>
      <c r="CCZ28" s="522"/>
      <c r="CDA28" s="522"/>
      <c r="CDB28" s="522"/>
      <c r="CDC28" s="523"/>
      <c r="CDD28" s="104"/>
      <c r="CDE28" s="521"/>
      <c r="CDF28" s="522"/>
      <c r="CDG28" s="522"/>
      <c r="CDH28" s="522"/>
      <c r="CDI28" s="523"/>
      <c r="CDJ28" s="104"/>
      <c r="CDK28" s="521"/>
      <c r="CDL28" s="522"/>
      <c r="CDM28" s="522"/>
      <c r="CDN28" s="522"/>
      <c r="CDO28" s="523"/>
      <c r="CDP28" s="104"/>
      <c r="CDQ28" s="521"/>
      <c r="CDR28" s="522"/>
      <c r="CDS28" s="522"/>
      <c r="CDT28" s="522"/>
      <c r="CDU28" s="523"/>
      <c r="CDV28" s="104"/>
      <c r="CDW28" s="521"/>
      <c r="CDX28" s="522"/>
      <c r="CDY28" s="522"/>
      <c r="CDZ28" s="522"/>
      <c r="CEA28" s="523"/>
      <c r="CEB28" s="104"/>
      <c r="CEC28" s="521"/>
      <c r="CED28" s="522"/>
      <c r="CEE28" s="522"/>
      <c r="CEF28" s="522"/>
      <c r="CEG28" s="523"/>
      <c r="CEH28" s="104"/>
      <c r="CEI28" s="521"/>
      <c r="CEJ28" s="522"/>
      <c r="CEK28" s="522"/>
      <c r="CEL28" s="522"/>
      <c r="CEM28" s="523"/>
      <c r="CEN28" s="104"/>
      <c r="CEO28" s="521"/>
      <c r="CEP28" s="522"/>
      <c r="CEQ28" s="522"/>
      <c r="CER28" s="522"/>
      <c r="CES28" s="523"/>
      <c r="CET28" s="104"/>
      <c r="CEU28" s="521"/>
      <c r="CEV28" s="522"/>
      <c r="CEW28" s="522"/>
      <c r="CEX28" s="522"/>
      <c r="CEY28" s="523"/>
      <c r="CEZ28" s="104"/>
      <c r="CFA28" s="521"/>
      <c r="CFB28" s="522"/>
      <c r="CFC28" s="522"/>
      <c r="CFD28" s="522"/>
      <c r="CFE28" s="523"/>
      <c r="CFF28" s="104"/>
      <c r="CFG28" s="521"/>
      <c r="CFH28" s="522"/>
      <c r="CFI28" s="522"/>
      <c r="CFJ28" s="522"/>
      <c r="CFK28" s="523"/>
      <c r="CFL28" s="104"/>
      <c r="CFM28" s="521"/>
      <c r="CFN28" s="522"/>
      <c r="CFO28" s="522"/>
      <c r="CFP28" s="522"/>
      <c r="CFQ28" s="523"/>
      <c r="CFR28" s="104"/>
      <c r="CFS28" s="521"/>
      <c r="CFT28" s="522"/>
      <c r="CFU28" s="522"/>
      <c r="CFV28" s="522"/>
      <c r="CFW28" s="523"/>
      <c r="CFX28" s="104"/>
      <c r="CFY28" s="521"/>
      <c r="CFZ28" s="522"/>
      <c r="CGA28" s="522"/>
      <c r="CGB28" s="522"/>
      <c r="CGC28" s="523"/>
      <c r="CGD28" s="104"/>
      <c r="CGE28" s="521"/>
      <c r="CGF28" s="522"/>
      <c r="CGG28" s="522"/>
      <c r="CGH28" s="522"/>
      <c r="CGI28" s="523"/>
      <c r="CGJ28" s="104"/>
      <c r="CGK28" s="521"/>
      <c r="CGL28" s="522"/>
      <c r="CGM28" s="522"/>
      <c r="CGN28" s="522"/>
      <c r="CGO28" s="523"/>
      <c r="CGP28" s="104"/>
      <c r="CGQ28" s="521"/>
      <c r="CGR28" s="522"/>
      <c r="CGS28" s="522"/>
      <c r="CGT28" s="522"/>
      <c r="CGU28" s="523"/>
      <c r="CGV28" s="104"/>
      <c r="CGW28" s="521"/>
      <c r="CGX28" s="522"/>
      <c r="CGY28" s="522"/>
      <c r="CGZ28" s="522"/>
      <c r="CHA28" s="523"/>
      <c r="CHB28" s="104"/>
      <c r="CHC28" s="521"/>
      <c r="CHD28" s="522"/>
      <c r="CHE28" s="522"/>
      <c r="CHF28" s="522"/>
      <c r="CHG28" s="523"/>
      <c r="CHH28" s="104"/>
      <c r="CHI28" s="521"/>
      <c r="CHJ28" s="522"/>
      <c r="CHK28" s="522"/>
      <c r="CHL28" s="522"/>
      <c r="CHM28" s="523"/>
      <c r="CHN28" s="104"/>
      <c r="CHO28" s="521"/>
      <c r="CHP28" s="522"/>
      <c r="CHQ28" s="522"/>
      <c r="CHR28" s="522"/>
      <c r="CHS28" s="523"/>
      <c r="CHT28" s="104"/>
      <c r="CHU28" s="521"/>
      <c r="CHV28" s="522"/>
      <c r="CHW28" s="522"/>
      <c r="CHX28" s="522"/>
      <c r="CHY28" s="523"/>
      <c r="CHZ28" s="104"/>
      <c r="CIA28" s="521"/>
      <c r="CIB28" s="522"/>
      <c r="CIC28" s="522"/>
      <c r="CID28" s="522"/>
      <c r="CIE28" s="523"/>
      <c r="CIF28" s="104"/>
      <c r="CIG28" s="521"/>
      <c r="CIH28" s="522"/>
      <c r="CII28" s="522"/>
      <c r="CIJ28" s="522"/>
      <c r="CIK28" s="523"/>
      <c r="CIL28" s="104"/>
      <c r="CIM28" s="521"/>
      <c r="CIN28" s="522"/>
      <c r="CIO28" s="522"/>
      <c r="CIP28" s="522"/>
      <c r="CIQ28" s="523"/>
      <c r="CIR28" s="104"/>
      <c r="CIS28" s="521"/>
      <c r="CIT28" s="522"/>
      <c r="CIU28" s="522"/>
      <c r="CIV28" s="522"/>
      <c r="CIW28" s="523"/>
      <c r="CIX28" s="104"/>
      <c r="CIY28" s="521"/>
      <c r="CIZ28" s="522"/>
      <c r="CJA28" s="522"/>
      <c r="CJB28" s="522"/>
      <c r="CJC28" s="523"/>
      <c r="CJD28" s="104"/>
      <c r="CJE28" s="521"/>
      <c r="CJF28" s="522"/>
      <c r="CJG28" s="522"/>
      <c r="CJH28" s="522"/>
      <c r="CJI28" s="523"/>
      <c r="CJJ28" s="104"/>
      <c r="CJK28" s="521"/>
      <c r="CJL28" s="522"/>
      <c r="CJM28" s="522"/>
      <c r="CJN28" s="522"/>
      <c r="CJO28" s="523"/>
      <c r="CJP28" s="104"/>
      <c r="CJQ28" s="521"/>
      <c r="CJR28" s="522"/>
      <c r="CJS28" s="522"/>
      <c r="CJT28" s="522"/>
      <c r="CJU28" s="523"/>
      <c r="CJV28" s="104"/>
      <c r="CJW28" s="521"/>
      <c r="CJX28" s="522"/>
      <c r="CJY28" s="522"/>
      <c r="CJZ28" s="522"/>
      <c r="CKA28" s="523"/>
      <c r="CKB28" s="104"/>
      <c r="CKC28" s="521"/>
      <c r="CKD28" s="522"/>
      <c r="CKE28" s="522"/>
      <c r="CKF28" s="522"/>
      <c r="CKG28" s="523"/>
      <c r="CKH28" s="104"/>
      <c r="CKI28" s="521"/>
      <c r="CKJ28" s="522"/>
      <c r="CKK28" s="522"/>
      <c r="CKL28" s="522"/>
      <c r="CKM28" s="523"/>
      <c r="CKN28" s="104"/>
      <c r="CKO28" s="521"/>
      <c r="CKP28" s="522"/>
      <c r="CKQ28" s="522"/>
      <c r="CKR28" s="522"/>
      <c r="CKS28" s="523"/>
      <c r="CKT28" s="104"/>
      <c r="CKU28" s="521"/>
      <c r="CKV28" s="522"/>
      <c r="CKW28" s="522"/>
      <c r="CKX28" s="522"/>
      <c r="CKY28" s="523"/>
      <c r="CKZ28" s="104"/>
      <c r="CLA28" s="521"/>
      <c r="CLB28" s="522"/>
      <c r="CLC28" s="522"/>
      <c r="CLD28" s="522"/>
      <c r="CLE28" s="523"/>
      <c r="CLF28" s="104"/>
      <c r="CLG28" s="521"/>
      <c r="CLH28" s="522"/>
      <c r="CLI28" s="522"/>
      <c r="CLJ28" s="522"/>
      <c r="CLK28" s="523"/>
      <c r="CLL28" s="104"/>
      <c r="CLM28" s="521"/>
      <c r="CLN28" s="522"/>
      <c r="CLO28" s="522"/>
      <c r="CLP28" s="522"/>
      <c r="CLQ28" s="523"/>
      <c r="CLR28" s="104"/>
      <c r="CLS28" s="521"/>
      <c r="CLT28" s="522"/>
      <c r="CLU28" s="522"/>
      <c r="CLV28" s="522"/>
      <c r="CLW28" s="523"/>
      <c r="CLX28" s="104"/>
      <c r="CLY28" s="521"/>
      <c r="CLZ28" s="522"/>
      <c r="CMA28" s="522"/>
      <c r="CMB28" s="522"/>
      <c r="CMC28" s="523"/>
      <c r="CMD28" s="104"/>
      <c r="CME28" s="521"/>
      <c r="CMF28" s="522"/>
      <c r="CMG28" s="522"/>
      <c r="CMH28" s="522"/>
      <c r="CMI28" s="523"/>
      <c r="CMJ28" s="104"/>
      <c r="CMK28" s="521"/>
      <c r="CML28" s="522"/>
      <c r="CMM28" s="522"/>
      <c r="CMN28" s="522"/>
      <c r="CMO28" s="523"/>
      <c r="CMP28" s="104"/>
      <c r="CMQ28" s="521"/>
      <c r="CMR28" s="522"/>
      <c r="CMS28" s="522"/>
      <c r="CMT28" s="522"/>
      <c r="CMU28" s="523"/>
      <c r="CMV28" s="104"/>
      <c r="CMW28" s="521"/>
      <c r="CMX28" s="522"/>
      <c r="CMY28" s="522"/>
      <c r="CMZ28" s="522"/>
      <c r="CNA28" s="523"/>
      <c r="CNB28" s="104"/>
      <c r="CNC28" s="521"/>
      <c r="CND28" s="522"/>
      <c r="CNE28" s="522"/>
      <c r="CNF28" s="522"/>
      <c r="CNG28" s="523"/>
      <c r="CNH28" s="104"/>
      <c r="CNI28" s="521"/>
      <c r="CNJ28" s="522"/>
      <c r="CNK28" s="522"/>
      <c r="CNL28" s="522"/>
      <c r="CNM28" s="523"/>
      <c r="CNN28" s="104"/>
      <c r="CNO28" s="521"/>
      <c r="CNP28" s="522"/>
      <c r="CNQ28" s="522"/>
      <c r="CNR28" s="522"/>
      <c r="CNS28" s="523"/>
      <c r="CNT28" s="104"/>
      <c r="CNU28" s="521"/>
      <c r="CNV28" s="522"/>
      <c r="CNW28" s="522"/>
      <c r="CNX28" s="522"/>
      <c r="CNY28" s="523"/>
      <c r="CNZ28" s="104"/>
      <c r="COA28" s="521"/>
      <c r="COB28" s="522"/>
      <c r="COC28" s="522"/>
      <c r="COD28" s="522"/>
      <c r="COE28" s="523"/>
      <c r="COF28" s="104"/>
      <c r="COG28" s="521"/>
      <c r="COH28" s="522"/>
      <c r="COI28" s="522"/>
      <c r="COJ28" s="522"/>
      <c r="COK28" s="523"/>
      <c r="COL28" s="104"/>
      <c r="COM28" s="521"/>
      <c r="CON28" s="522"/>
      <c r="COO28" s="522"/>
      <c r="COP28" s="522"/>
      <c r="COQ28" s="523"/>
      <c r="COR28" s="104"/>
      <c r="COS28" s="521"/>
      <c r="COT28" s="522"/>
      <c r="COU28" s="522"/>
      <c r="COV28" s="522"/>
      <c r="COW28" s="523"/>
      <c r="COX28" s="104"/>
      <c r="COY28" s="521"/>
      <c r="COZ28" s="522"/>
      <c r="CPA28" s="522"/>
      <c r="CPB28" s="522"/>
      <c r="CPC28" s="523"/>
      <c r="CPD28" s="104"/>
      <c r="CPE28" s="521"/>
      <c r="CPF28" s="522"/>
      <c r="CPG28" s="522"/>
      <c r="CPH28" s="522"/>
      <c r="CPI28" s="523"/>
      <c r="CPJ28" s="104"/>
      <c r="CPK28" s="521"/>
      <c r="CPL28" s="522"/>
      <c r="CPM28" s="522"/>
      <c r="CPN28" s="522"/>
      <c r="CPO28" s="523"/>
      <c r="CPP28" s="104"/>
      <c r="CPQ28" s="521"/>
      <c r="CPR28" s="522"/>
      <c r="CPS28" s="522"/>
      <c r="CPT28" s="522"/>
      <c r="CPU28" s="523"/>
      <c r="CPV28" s="104"/>
      <c r="CPW28" s="521"/>
      <c r="CPX28" s="522"/>
      <c r="CPY28" s="522"/>
      <c r="CPZ28" s="522"/>
      <c r="CQA28" s="523"/>
      <c r="CQB28" s="104"/>
      <c r="CQC28" s="521"/>
      <c r="CQD28" s="522"/>
      <c r="CQE28" s="522"/>
      <c r="CQF28" s="522"/>
      <c r="CQG28" s="523"/>
      <c r="CQH28" s="104"/>
      <c r="CQI28" s="521"/>
      <c r="CQJ28" s="522"/>
      <c r="CQK28" s="522"/>
      <c r="CQL28" s="522"/>
      <c r="CQM28" s="523"/>
      <c r="CQN28" s="104"/>
      <c r="CQO28" s="521"/>
      <c r="CQP28" s="522"/>
      <c r="CQQ28" s="522"/>
      <c r="CQR28" s="522"/>
      <c r="CQS28" s="523"/>
      <c r="CQT28" s="104"/>
      <c r="CQU28" s="521"/>
      <c r="CQV28" s="522"/>
      <c r="CQW28" s="522"/>
      <c r="CQX28" s="522"/>
      <c r="CQY28" s="523"/>
      <c r="CQZ28" s="104"/>
      <c r="CRA28" s="521"/>
      <c r="CRB28" s="522"/>
      <c r="CRC28" s="522"/>
      <c r="CRD28" s="522"/>
      <c r="CRE28" s="523"/>
      <c r="CRF28" s="104"/>
      <c r="CRG28" s="521"/>
      <c r="CRH28" s="522"/>
      <c r="CRI28" s="522"/>
      <c r="CRJ28" s="522"/>
      <c r="CRK28" s="523"/>
      <c r="CRL28" s="104"/>
      <c r="CRM28" s="521"/>
      <c r="CRN28" s="522"/>
      <c r="CRO28" s="522"/>
      <c r="CRP28" s="522"/>
      <c r="CRQ28" s="523"/>
      <c r="CRR28" s="104"/>
      <c r="CRS28" s="521"/>
      <c r="CRT28" s="522"/>
      <c r="CRU28" s="522"/>
      <c r="CRV28" s="522"/>
      <c r="CRW28" s="523"/>
      <c r="CRX28" s="104"/>
      <c r="CRY28" s="521"/>
      <c r="CRZ28" s="522"/>
      <c r="CSA28" s="522"/>
      <c r="CSB28" s="522"/>
      <c r="CSC28" s="523"/>
      <c r="CSD28" s="104"/>
      <c r="CSE28" s="521"/>
      <c r="CSF28" s="522"/>
      <c r="CSG28" s="522"/>
      <c r="CSH28" s="522"/>
      <c r="CSI28" s="523"/>
      <c r="CSJ28" s="104"/>
      <c r="CSK28" s="521"/>
      <c r="CSL28" s="522"/>
      <c r="CSM28" s="522"/>
      <c r="CSN28" s="522"/>
      <c r="CSO28" s="523"/>
      <c r="CSP28" s="104"/>
      <c r="CSQ28" s="521"/>
      <c r="CSR28" s="522"/>
      <c r="CSS28" s="522"/>
      <c r="CST28" s="522"/>
      <c r="CSU28" s="523"/>
      <c r="CSV28" s="104"/>
      <c r="CSW28" s="521"/>
      <c r="CSX28" s="522"/>
      <c r="CSY28" s="522"/>
      <c r="CSZ28" s="522"/>
      <c r="CTA28" s="523"/>
      <c r="CTB28" s="104"/>
      <c r="CTC28" s="521"/>
      <c r="CTD28" s="522"/>
      <c r="CTE28" s="522"/>
      <c r="CTF28" s="522"/>
      <c r="CTG28" s="523"/>
      <c r="CTH28" s="104"/>
      <c r="CTI28" s="521"/>
      <c r="CTJ28" s="522"/>
      <c r="CTK28" s="522"/>
      <c r="CTL28" s="522"/>
      <c r="CTM28" s="523"/>
      <c r="CTN28" s="104"/>
      <c r="CTO28" s="521"/>
      <c r="CTP28" s="522"/>
      <c r="CTQ28" s="522"/>
      <c r="CTR28" s="522"/>
      <c r="CTS28" s="523"/>
      <c r="CTT28" s="104"/>
      <c r="CTU28" s="521"/>
      <c r="CTV28" s="522"/>
      <c r="CTW28" s="522"/>
      <c r="CTX28" s="522"/>
      <c r="CTY28" s="523"/>
      <c r="CTZ28" s="104"/>
      <c r="CUA28" s="521"/>
      <c r="CUB28" s="522"/>
      <c r="CUC28" s="522"/>
      <c r="CUD28" s="522"/>
      <c r="CUE28" s="523"/>
      <c r="CUF28" s="104"/>
      <c r="CUG28" s="521"/>
      <c r="CUH28" s="522"/>
      <c r="CUI28" s="522"/>
      <c r="CUJ28" s="522"/>
      <c r="CUK28" s="523"/>
      <c r="CUL28" s="104"/>
      <c r="CUM28" s="521"/>
      <c r="CUN28" s="522"/>
      <c r="CUO28" s="522"/>
      <c r="CUP28" s="522"/>
      <c r="CUQ28" s="523"/>
      <c r="CUR28" s="104"/>
      <c r="CUS28" s="521"/>
      <c r="CUT28" s="522"/>
      <c r="CUU28" s="522"/>
      <c r="CUV28" s="522"/>
      <c r="CUW28" s="523"/>
      <c r="CUX28" s="104"/>
      <c r="CUY28" s="521"/>
      <c r="CUZ28" s="522"/>
      <c r="CVA28" s="522"/>
      <c r="CVB28" s="522"/>
      <c r="CVC28" s="523"/>
      <c r="CVD28" s="104"/>
      <c r="CVE28" s="521"/>
      <c r="CVF28" s="522"/>
      <c r="CVG28" s="522"/>
      <c r="CVH28" s="522"/>
      <c r="CVI28" s="523"/>
      <c r="CVJ28" s="104"/>
      <c r="CVK28" s="521"/>
      <c r="CVL28" s="522"/>
      <c r="CVM28" s="522"/>
      <c r="CVN28" s="522"/>
      <c r="CVO28" s="523"/>
      <c r="CVP28" s="104"/>
      <c r="CVQ28" s="521"/>
      <c r="CVR28" s="522"/>
      <c r="CVS28" s="522"/>
      <c r="CVT28" s="522"/>
      <c r="CVU28" s="523"/>
      <c r="CVV28" s="104"/>
      <c r="CVW28" s="521"/>
      <c r="CVX28" s="522"/>
      <c r="CVY28" s="522"/>
      <c r="CVZ28" s="522"/>
      <c r="CWA28" s="523"/>
      <c r="CWB28" s="104"/>
      <c r="CWC28" s="521"/>
      <c r="CWD28" s="522"/>
      <c r="CWE28" s="522"/>
      <c r="CWF28" s="522"/>
      <c r="CWG28" s="523"/>
      <c r="CWH28" s="104"/>
      <c r="CWI28" s="521"/>
      <c r="CWJ28" s="522"/>
      <c r="CWK28" s="522"/>
      <c r="CWL28" s="522"/>
      <c r="CWM28" s="523"/>
      <c r="CWN28" s="104"/>
      <c r="CWO28" s="521"/>
      <c r="CWP28" s="522"/>
      <c r="CWQ28" s="522"/>
      <c r="CWR28" s="522"/>
      <c r="CWS28" s="523"/>
      <c r="CWT28" s="104"/>
      <c r="CWU28" s="521"/>
      <c r="CWV28" s="522"/>
      <c r="CWW28" s="522"/>
      <c r="CWX28" s="522"/>
      <c r="CWY28" s="523"/>
      <c r="CWZ28" s="104"/>
      <c r="CXA28" s="521"/>
      <c r="CXB28" s="522"/>
      <c r="CXC28" s="522"/>
      <c r="CXD28" s="522"/>
      <c r="CXE28" s="523"/>
      <c r="CXF28" s="104"/>
      <c r="CXG28" s="521"/>
      <c r="CXH28" s="522"/>
      <c r="CXI28" s="522"/>
      <c r="CXJ28" s="522"/>
      <c r="CXK28" s="523"/>
      <c r="CXL28" s="104"/>
      <c r="CXM28" s="521"/>
      <c r="CXN28" s="522"/>
      <c r="CXO28" s="522"/>
      <c r="CXP28" s="522"/>
      <c r="CXQ28" s="523"/>
      <c r="CXR28" s="104"/>
      <c r="CXS28" s="521"/>
      <c r="CXT28" s="522"/>
      <c r="CXU28" s="522"/>
      <c r="CXV28" s="522"/>
      <c r="CXW28" s="523"/>
      <c r="CXX28" s="104"/>
      <c r="CXY28" s="521"/>
      <c r="CXZ28" s="522"/>
      <c r="CYA28" s="522"/>
      <c r="CYB28" s="522"/>
      <c r="CYC28" s="523"/>
      <c r="CYD28" s="104"/>
      <c r="CYE28" s="521"/>
      <c r="CYF28" s="522"/>
      <c r="CYG28" s="522"/>
      <c r="CYH28" s="522"/>
      <c r="CYI28" s="523"/>
      <c r="CYJ28" s="104"/>
      <c r="CYK28" s="521"/>
      <c r="CYL28" s="522"/>
      <c r="CYM28" s="522"/>
      <c r="CYN28" s="522"/>
      <c r="CYO28" s="523"/>
      <c r="CYP28" s="104"/>
      <c r="CYQ28" s="521"/>
      <c r="CYR28" s="522"/>
      <c r="CYS28" s="522"/>
      <c r="CYT28" s="522"/>
      <c r="CYU28" s="523"/>
      <c r="CYV28" s="104"/>
      <c r="CYW28" s="521"/>
      <c r="CYX28" s="522"/>
      <c r="CYY28" s="522"/>
      <c r="CYZ28" s="522"/>
      <c r="CZA28" s="523"/>
      <c r="CZB28" s="104"/>
      <c r="CZC28" s="521"/>
      <c r="CZD28" s="522"/>
      <c r="CZE28" s="522"/>
      <c r="CZF28" s="522"/>
      <c r="CZG28" s="523"/>
      <c r="CZH28" s="104"/>
      <c r="CZI28" s="521"/>
      <c r="CZJ28" s="522"/>
      <c r="CZK28" s="522"/>
      <c r="CZL28" s="522"/>
      <c r="CZM28" s="523"/>
      <c r="CZN28" s="104"/>
      <c r="CZO28" s="521"/>
      <c r="CZP28" s="522"/>
      <c r="CZQ28" s="522"/>
      <c r="CZR28" s="522"/>
      <c r="CZS28" s="523"/>
      <c r="CZT28" s="104"/>
      <c r="CZU28" s="521"/>
      <c r="CZV28" s="522"/>
      <c r="CZW28" s="522"/>
      <c r="CZX28" s="522"/>
      <c r="CZY28" s="523"/>
      <c r="CZZ28" s="104"/>
      <c r="DAA28" s="521"/>
      <c r="DAB28" s="522"/>
      <c r="DAC28" s="522"/>
      <c r="DAD28" s="522"/>
      <c r="DAE28" s="523"/>
      <c r="DAF28" s="104"/>
      <c r="DAG28" s="521"/>
      <c r="DAH28" s="522"/>
      <c r="DAI28" s="522"/>
      <c r="DAJ28" s="522"/>
      <c r="DAK28" s="523"/>
      <c r="DAL28" s="104"/>
      <c r="DAM28" s="521"/>
      <c r="DAN28" s="522"/>
      <c r="DAO28" s="522"/>
      <c r="DAP28" s="522"/>
      <c r="DAQ28" s="523"/>
      <c r="DAR28" s="104"/>
      <c r="DAS28" s="521"/>
      <c r="DAT28" s="522"/>
      <c r="DAU28" s="522"/>
      <c r="DAV28" s="522"/>
      <c r="DAW28" s="523"/>
      <c r="DAX28" s="104"/>
      <c r="DAY28" s="521"/>
      <c r="DAZ28" s="522"/>
      <c r="DBA28" s="522"/>
      <c r="DBB28" s="522"/>
      <c r="DBC28" s="523"/>
      <c r="DBD28" s="104"/>
      <c r="DBE28" s="521"/>
      <c r="DBF28" s="522"/>
      <c r="DBG28" s="522"/>
      <c r="DBH28" s="522"/>
      <c r="DBI28" s="523"/>
      <c r="DBJ28" s="104"/>
      <c r="DBK28" s="521"/>
      <c r="DBL28" s="522"/>
      <c r="DBM28" s="522"/>
      <c r="DBN28" s="522"/>
      <c r="DBO28" s="523"/>
      <c r="DBP28" s="104"/>
      <c r="DBQ28" s="521"/>
      <c r="DBR28" s="522"/>
      <c r="DBS28" s="522"/>
      <c r="DBT28" s="522"/>
      <c r="DBU28" s="523"/>
      <c r="DBV28" s="104"/>
      <c r="DBW28" s="521"/>
      <c r="DBX28" s="522"/>
      <c r="DBY28" s="522"/>
      <c r="DBZ28" s="522"/>
      <c r="DCA28" s="523"/>
      <c r="DCB28" s="104"/>
      <c r="DCC28" s="521"/>
      <c r="DCD28" s="522"/>
      <c r="DCE28" s="522"/>
      <c r="DCF28" s="522"/>
      <c r="DCG28" s="523"/>
      <c r="DCH28" s="104"/>
      <c r="DCI28" s="521"/>
      <c r="DCJ28" s="522"/>
      <c r="DCK28" s="522"/>
      <c r="DCL28" s="522"/>
      <c r="DCM28" s="523"/>
      <c r="DCN28" s="104"/>
      <c r="DCO28" s="521"/>
      <c r="DCP28" s="522"/>
      <c r="DCQ28" s="522"/>
      <c r="DCR28" s="522"/>
      <c r="DCS28" s="523"/>
      <c r="DCT28" s="104"/>
      <c r="DCU28" s="521"/>
      <c r="DCV28" s="522"/>
      <c r="DCW28" s="522"/>
      <c r="DCX28" s="522"/>
      <c r="DCY28" s="523"/>
      <c r="DCZ28" s="104"/>
      <c r="DDA28" s="521"/>
      <c r="DDB28" s="522"/>
      <c r="DDC28" s="522"/>
      <c r="DDD28" s="522"/>
      <c r="DDE28" s="523"/>
      <c r="DDF28" s="104"/>
      <c r="DDG28" s="521"/>
      <c r="DDH28" s="522"/>
      <c r="DDI28" s="522"/>
      <c r="DDJ28" s="522"/>
      <c r="DDK28" s="523"/>
      <c r="DDL28" s="104"/>
      <c r="DDM28" s="521"/>
      <c r="DDN28" s="522"/>
      <c r="DDO28" s="522"/>
      <c r="DDP28" s="522"/>
      <c r="DDQ28" s="523"/>
      <c r="DDR28" s="104"/>
      <c r="DDS28" s="521"/>
      <c r="DDT28" s="522"/>
      <c r="DDU28" s="522"/>
      <c r="DDV28" s="522"/>
      <c r="DDW28" s="523"/>
      <c r="DDX28" s="104"/>
      <c r="DDY28" s="521"/>
      <c r="DDZ28" s="522"/>
      <c r="DEA28" s="522"/>
      <c r="DEB28" s="522"/>
      <c r="DEC28" s="523"/>
      <c r="DED28" s="104"/>
      <c r="DEE28" s="521"/>
      <c r="DEF28" s="522"/>
      <c r="DEG28" s="522"/>
      <c r="DEH28" s="522"/>
      <c r="DEI28" s="523"/>
      <c r="DEJ28" s="104"/>
      <c r="DEK28" s="521"/>
      <c r="DEL28" s="522"/>
      <c r="DEM28" s="522"/>
      <c r="DEN28" s="522"/>
      <c r="DEO28" s="523"/>
      <c r="DEP28" s="104"/>
      <c r="DEQ28" s="521"/>
      <c r="DER28" s="522"/>
      <c r="DES28" s="522"/>
      <c r="DET28" s="522"/>
      <c r="DEU28" s="523"/>
      <c r="DEV28" s="104"/>
      <c r="DEW28" s="521"/>
      <c r="DEX28" s="522"/>
      <c r="DEY28" s="522"/>
      <c r="DEZ28" s="522"/>
      <c r="DFA28" s="523"/>
      <c r="DFB28" s="104"/>
      <c r="DFC28" s="521"/>
      <c r="DFD28" s="522"/>
      <c r="DFE28" s="522"/>
      <c r="DFF28" s="522"/>
      <c r="DFG28" s="523"/>
      <c r="DFH28" s="104"/>
      <c r="DFI28" s="521"/>
      <c r="DFJ28" s="522"/>
      <c r="DFK28" s="522"/>
      <c r="DFL28" s="522"/>
      <c r="DFM28" s="523"/>
      <c r="DFN28" s="104"/>
      <c r="DFO28" s="521"/>
      <c r="DFP28" s="522"/>
      <c r="DFQ28" s="522"/>
      <c r="DFR28" s="522"/>
      <c r="DFS28" s="523"/>
      <c r="DFT28" s="104"/>
      <c r="DFU28" s="521"/>
      <c r="DFV28" s="522"/>
      <c r="DFW28" s="522"/>
      <c r="DFX28" s="522"/>
      <c r="DFY28" s="523"/>
      <c r="DFZ28" s="104"/>
      <c r="DGA28" s="521"/>
      <c r="DGB28" s="522"/>
      <c r="DGC28" s="522"/>
      <c r="DGD28" s="522"/>
      <c r="DGE28" s="523"/>
      <c r="DGF28" s="104"/>
      <c r="DGG28" s="521"/>
      <c r="DGH28" s="522"/>
      <c r="DGI28" s="522"/>
      <c r="DGJ28" s="522"/>
      <c r="DGK28" s="523"/>
      <c r="DGL28" s="104"/>
      <c r="DGM28" s="521"/>
      <c r="DGN28" s="522"/>
      <c r="DGO28" s="522"/>
      <c r="DGP28" s="522"/>
      <c r="DGQ28" s="523"/>
      <c r="DGR28" s="104"/>
      <c r="DGS28" s="521"/>
      <c r="DGT28" s="522"/>
      <c r="DGU28" s="522"/>
      <c r="DGV28" s="522"/>
      <c r="DGW28" s="523"/>
      <c r="DGX28" s="104"/>
      <c r="DGY28" s="521"/>
      <c r="DGZ28" s="522"/>
      <c r="DHA28" s="522"/>
      <c r="DHB28" s="522"/>
      <c r="DHC28" s="523"/>
      <c r="DHD28" s="104"/>
      <c r="DHE28" s="521"/>
      <c r="DHF28" s="522"/>
      <c r="DHG28" s="522"/>
      <c r="DHH28" s="522"/>
      <c r="DHI28" s="523"/>
      <c r="DHJ28" s="104"/>
      <c r="DHK28" s="521"/>
      <c r="DHL28" s="522"/>
      <c r="DHM28" s="522"/>
      <c r="DHN28" s="522"/>
      <c r="DHO28" s="523"/>
      <c r="DHP28" s="104"/>
      <c r="DHQ28" s="521"/>
      <c r="DHR28" s="522"/>
      <c r="DHS28" s="522"/>
      <c r="DHT28" s="522"/>
      <c r="DHU28" s="523"/>
      <c r="DHV28" s="104"/>
      <c r="DHW28" s="521"/>
      <c r="DHX28" s="522"/>
      <c r="DHY28" s="522"/>
      <c r="DHZ28" s="522"/>
      <c r="DIA28" s="523"/>
      <c r="DIB28" s="104"/>
      <c r="DIC28" s="521"/>
      <c r="DID28" s="522"/>
      <c r="DIE28" s="522"/>
      <c r="DIF28" s="522"/>
      <c r="DIG28" s="523"/>
      <c r="DIH28" s="104"/>
      <c r="DII28" s="521"/>
      <c r="DIJ28" s="522"/>
      <c r="DIK28" s="522"/>
      <c r="DIL28" s="522"/>
      <c r="DIM28" s="523"/>
      <c r="DIN28" s="104"/>
      <c r="DIO28" s="521"/>
      <c r="DIP28" s="522"/>
      <c r="DIQ28" s="522"/>
      <c r="DIR28" s="522"/>
      <c r="DIS28" s="523"/>
      <c r="DIT28" s="104"/>
      <c r="DIU28" s="521"/>
      <c r="DIV28" s="522"/>
      <c r="DIW28" s="522"/>
      <c r="DIX28" s="522"/>
      <c r="DIY28" s="523"/>
      <c r="DIZ28" s="104"/>
      <c r="DJA28" s="521"/>
      <c r="DJB28" s="522"/>
      <c r="DJC28" s="522"/>
      <c r="DJD28" s="522"/>
      <c r="DJE28" s="523"/>
      <c r="DJF28" s="104"/>
      <c r="DJG28" s="521"/>
      <c r="DJH28" s="522"/>
      <c r="DJI28" s="522"/>
      <c r="DJJ28" s="522"/>
      <c r="DJK28" s="523"/>
      <c r="DJL28" s="104"/>
      <c r="DJM28" s="521"/>
      <c r="DJN28" s="522"/>
      <c r="DJO28" s="522"/>
      <c r="DJP28" s="522"/>
      <c r="DJQ28" s="523"/>
      <c r="DJR28" s="104"/>
      <c r="DJS28" s="521"/>
      <c r="DJT28" s="522"/>
      <c r="DJU28" s="522"/>
      <c r="DJV28" s="522"/>
      <c r="DJW28" s="523"/>
      <c r="DJX28" s="104"/>
      <c r="DJY28" s="521"/>
      <c r="DJZ28" s="522"/>
      <c r="DKA28" s="522"/>
      <c r="DKB28" s="522"/>
      <c r="DKC28" s="523"/>
      <c r="DKD28" s="104"/>
      <c r="DKE28" s="521"/>
      <c r="DKF28" s="522"/>
      <c r="DKG28" s="522"/>
      <c r="DKH28" s="522"/>
      <c r="DKI28" s="523"/>
      <c r="DKJ28" s="104"/>
      <c r="DKK28" s="521"/>
      <c r="DKL28" s="522"/>
      <c r="DKM28" s="522"/>
      <c r="DKN28" s="522"/>
      <c r="DKO28" s="523"/>
      <c r="DKP28" s="104"/>
      <c r="DKQ28" s="521"/>
      <c r="DKR28" s="522"/>
      <c r="DKS28" s="522"/>
      <c r="DKT28" s="522"/>
      <c r="DKU28" s="523"/>
      <c r="DKV28" s="104"/>
      <c r="DKW28" s="521"/>
      <c r="DKX28" s="522"/>
      <c r="DKY28" s="522"/>
      <c r="DKZ28" s="522"/>
      <c r="DLA28" s="523"/>
      <c r="DLB28" s="104"/>
      <c r="DLC28" s="521"/>
      <c r="DLD28" s="522"/>
      <c r="DLE28" s="522"/>
      <c r="DLF28" s="522"/>
      <c r="DLG28" s="523"/>
      <c r="DLH28" s="104"/>
      <c r="DLI28" s="521"/>
      <c r="DLJ28" s="522"/>
      <c r="DLK28" s="522"/>
      <c r="DLL28" s="522"/>
      <c r="DLM28" s="523"/>
      <c r="DLN28" s="104"/>
      <c r="DLO28" s="521"/>
      <c r="DLP28" s="522"/>
      <c r="DLQ28" s="522"/>
      <c r="DLR28" s="522"/>
      <c r="DLS28" s="523"/>
      <c r="DLT28" s="104"/>
      <c r="DLU28" s="521"/>
      <c r="DLV28" s="522"/>
      <c r="DLW28" s="522"/>
      <c r="DLX28" s="522"/>
      <c r="DLY28" s="523"/>
      <c r="DLZ28" s="104"/>
      <c r="DMA28" s="521"/>
      <c r="DMB28" s="522"/>
      <c r="DMC28" s="522"/>
      <c r="DMD28" s="522"/>
      <c r="DME28" s="523"/>
      <c r="DMF28" s="104"/>
      <c r="DMG28" s="521"/>
      <c r="DMH28" s="522"/>
      <c r="DMI28" s="522"/>
      <c r="DMJ28" s="522"/>
      <c r="DMK28" s="523"/>
      <c r="DML28" s="104"/>
      <c r="DMM28" s="521"/>
      <c r="DMN28" s="522"/>
      <c r="DMO28" s="522"/>
      <c r="DMP28" s="522"/>
      <c r="DMQ28" s="523"/>
      <c r="DMR28" s="104"/>
      <c r="DMS28" s="521"/>
      <c r="DMT28" s="522"/>
      <c r="DMU28" s="522"/>
      <c r="DMV28" s="522"/>
      <c r="DMW28" s="523"/>
      <c r="DMX28" s="104"/>
      <c r="DMY28" s="521"/>
      <c r="DMZ28" s="522"/>
      <c r="DNA28" s="522"/>
      <c r="DNB28" s="522"/>
      <c r="DNC28" s="523"/>
      <c r="DND28" s="104"/>
      <c r="DNE28" s="521"/>
      <c r="DNF28" s="522"/>
      <c r="DNG28" s="522"/>
      <c r="DNH28" s="522"/>
      <c r="DNI28" s="523"/>
      <c r="DNJ28" s="104"/>
      <c r="DNK28" s="521"/>
      <c r="DNL28" s="522"/>
      <c r="DNM28" s="522"/>
      <c r="DNN28" s="522"/>
      <c r="DNO28" s="523"/>
      <c r="DNP28" s="104"/>
      <c r="DNQ28" s="521"/>
      <c r="DNR28" s="522"/>
      <c r="DNS28" s="522"/>
      <c r="DNT28" s="522"/>
      <c r="DNU28" s="523"/>
      <c r="DNV28" s="104"/>
      <c r="DNW28" s="521"/>
      <c r="DNX28" s="522"/>
      <c r="DNY28" s="522"/>
      <c r="DNZ28" s="522"/>
      <c r="DOA28" s="523"/>
      <c r="DOB28" s="104"/>
      <c r="DOC28" s="521"/>
      <c r="DOD28" s="522"/>
      <c r="DOE28" s="522"/>
      <c r="DOF28" s="522"/>
      <c r="DOG28" s="523"/>
      <c r="DOH28" s="104"/>
      <c r="DOI28" s="521"/>
      <c r="DOJ28" s="522"/>
      <c r="DOK28" s="522"/>
      <c r="DOL28" s="522"/>
      <c r="DOM28" s="523"/>
      <c r="DON28" s="104"/>
      <c r="DOO28" s="521"/>
      <c r="DOP28" s="522"/>
      <c r="DOQ28" s="522"/>
      <c r="DOR28" s="522"/>
      <c r="DOS28" s="523"/>
      <c r="DOT28" s="104"/>
      <c r="DOU28" s="521"/>
      <c r="DOV28" s="522"/>
      <c r="DOW28" s="522"/>
      <c r="DOX28" s="522"/>
      <c r="DOY28" s="523"/>
      <c r="DOZ28" s="104"/>
      <c r="DPA28" s="521"/>
      <c r="DPB28" s="522"/>
      <c r="DPC28" s="522"/>
      <c r="DPD28" s="522"/>
      <c r="DPE28" s="523"/>
      <c r="DPF28" s="104"/>
      <c r="DPG28" s="521"/>
      <c r="DPH28" s="522"/>
      <c r="DPI28" s="522"/>
      <c r="DPJ28" s="522"/>
      <c r="DPK28" s="523"/>
      <c r="DPL28" s="104"/>
      <c r="DPM28" s="521"/>
      <c r="DPN28" s="522"/>
      <c r="DPO28" s="522"/>
      <c r="DPP28" s="522"/>
      <c r="DPQ28" s="523"/>
      <c r="DPR28" s="104"/>
      <c r="DPS28" s="521"/>
      <c r="DPT28" s="522"/>
      <c r="DPU28" s="522"/>
      <c r="DPV28" s="522"/>
      <c r="DPW28" s="523"/>
      <c r="DPX28" s="104"/>
      <c r="DPY28" s="521"/>
      <c r="DPZ28" s="522"/>
      <c r="DQA28" s="522"/>
      <c r="DQB28" s="522"/>
      <c r="DQC28" s="523"/>
      <c r="DQD28" s="104"/>
      <c r="DQE28" s="521"/>
      <c r="DQF28" s="522"/>
      <c r="DQG28" s="522"/>
      <c r="DQH28" s="522"/>
      <c r="DQI28" s="523"/>
      <c r="DQJ28" s="104"/>
      <c r="DQK28" s="521"/>
      <c r="DQL28" s="522"/>
      <c r="DQM28" s="522"/>
      <c r="DQN28" s="522"/>
      <c r="DQO28" s="523"/>
      <c r="DQP28" s="104"/>
      <c r="DQQ28" s="521"/>
      <c r="DQR28" s="522"/>
      <c r="DQS28" s="522"/>
      <c r="DQT28" s="522"/>
      <c r="DQU28" s="523"/>
      <c r="DQV28" s="104"/>
      <c r="DQW28" s="521"/>
      <c r="DQX28" s="522"/>
      <c r="DQY28" s="522"/>
      <c r="DQZ28" s="522"/>
      <c r="DRA28" s="523"/>
      <c r="DRB28" s="104"/>
      <c r="DRC28" s="521"/>
      <c r="DRD28" s="522"/>
      <c r="DRE28" s="522"/>
      <c r="DRF28" s="522"/>
      <c r="DRG28" s="523"/>
      <c r="DRH28" s="104"/>
      <c r="DRI28" s="521"/>
      <c r="DRJ28" s="522"/>
      <c r="DRK28" s="522"/>
      <c r="DRL28" s="522"/>
      <c r="DRM28" s="523"/>
      <c r="DRN28" s="104"/>
      <c r="DRO28" s="521"/>
      <c r="DRP28" s="522"/>
      <c r="DRQ28" s="522"/>
      <c r="DRR28" s="522"/>
      <c r="DRS28" s="523"/>
      <c r="DRT28" s="104"/>
      <c r="DRU28" s="521"/>
      <c r="DRV28" s="522"/>
      <c r="DRW28" s="522"/>
      <c r="DRX28" s="522"/>
      <c r="DRY28" s="523"/>
      <c r="DRZ28" s="104"/>
      <c r="DSA28" s="521"/>
      <c r="DSB28" s="522"/>
      <c r="DSC28" s="522"/>
      <c r="DSD28" s="522"/>
      <c r="DSE28" s="523"/>
      <c r="DSF28" s="104"/>
      <c r="DSG28" s="521"/>
      <c r="DSH28" s="522"/>
      <c r="DSI28" s="522"/>
      <c r="DSJ28" s="522"/>
      <c r="DSK28" s="523"/>
      <c r="DSL28" s="104"/>
      <c r="DSM28" s="521"/>
      <c r="DSN28" s="522"/>
      <c r="DSO28" s="522"/>
      <c r="DSP28" s="522"/>
      <c r="DSQ28" s="523"/>
      <c r="DSR28" s="104"/>
      <c r="DSS28" s="521"/>
      <c r="DST28" s="522"/>
      <c r="DSU28" s="522"/>
      <c r="DSV28" s="522"/>
      <c r="DSW28" s="523"/>
      <c r="DSX28" s="104"/>
      <c r="DSY28" s="521"/>
      <c r="DSZ28" s="522"/>
      <c r="DTA28" s="522"/>
      <c r="DTB28" s="522"/>
      <c r="DTC28" s="523"/>
      <c r="DTD28" s="104"/>
      <c r="DTE28" s="521"/>
      <c r="DTF28" s="522"/>
      <c r="DTG28" s="522"/>
      <c r="DTH28" s="522"/>
      <c r="DTI28" s="523"/>
      <c r="DTJ28" s="104"/>
      <c r="DTK28" s="521"/>
      <c r="DTL28" s="522"/>
      <c r="DTM28" s="522"/>
      <c r="DTN28" s="522"/>
      <c r="DTO28" s="523"/>
      <c r="DTP28" s="104"/>
      <c r="DTQ28" s="521"/>
      <c r="DTR28" s="522"/>
      <c r="DTS28" s="522"/>
      <c r="DTT28" s="522"/>
      <c r="DTU28" s="523"/>
      <c r="DTV28" s="104"/>
      <c r="DTW28" s="521"/>
      <c r="DTX28" s="522"/>
      <c r="DTY28" s="522"/>
      <c r="DTZ28" s="522"/>
      <c r="DUA28" s="523"/>
      <c r="DUB28" s="104"/>
      <c r="DUC28" s="521"/>
      <c r="DUD28" s="522"/>
      <c r="DUE28" s="522"/>
      <c r="DUF28" s="522"/>
      <c r="DUG28" s="523"/>
      <c r="DUH28" s="104"/>
      <c r="DUI28" s="521"/>
      <c r="DUJ28" s="522"/>
      <c r="DUK28" s="522"/>
      <c r="DUL28" s="522"/>
      <c r="DUM28" s="523"/>
      <c r="DUN28" s="104"/>
      <c r="DUO28" s="521"/>
      <c r="DUP28" s="522"/>
      <c r="DUQ28" s="522"/>
      <c r="DUR28" s="522"/>
      <c r="DUS28" s="523"/>
      <c r="DUT28" s="104"/>
      <c r="DUU28" s="521"/>
      <c r="DUV28" s="522"/>
      <c r="DUW28" s="522"/>
      <c r="DUX28" s="522"/>
      <c r="DUY28" s="523"/>
      <c r="DUZ28" s="104"/>
      <c r="DVA28" s="521"/>
      <c r="DVB28" s="522"/>
      <c r="DVC28" s="522"/>
      <c r="DVD28" s="522"/>
      <c r="DVE28" s="523"/>
      <c r="DVF28" s="104"/>
      <c r="DVG28" s="521"/>
      <c r="DVH28" s="522"/>
      <c r="DVI28" s="522"/>
      <c r="DVJ28" s="522"/>
      <c r="DVK28" s="523"/>
      <c r="DVL28" s="104"/>
      <c r="DVM28" s="521"/>
      <c r="DVN28" s="522"/>
      <c r="DVO28" s="522"/>
      <c r="DVP28" s="522"/>
      <c r="DVQ28" s="523"/>
      <c r="DVR28" s="104"/>
      <c r="DVS28" s="521"/>
      <c r="DVT28" s="522"/>
      <c r="DVU28" s="522"/>
      <c r="DVV28" s="522"/>
      <c r="DVW28" s="523"/>
      <c r="DVX28" s="104"/>
      <c r="DVY28" s="521"/>
      <c r="DVZ28" s="522"/>
      <c r="DWA28" s="522"/>
      <c r="DWB28" s="522"/>
      <c r="DWC28" s="523"/>
      <c r="DWD28" s="104"/>
      <c r="DWE28" s="521"/>
      <c r="DWF28" s="522"/>
      <c r="DWG28" s="522"/>
      <c r="DWH28" s="522"/>
      <c r="DWI28" s="523"/>
      <c r="DWJ28" s="104"/>
      <c r="DWK28" s="521"/>
      <c r="DWL28" s="522"/>
      <c r="DWM28" s="522"/>
      <c r="DWN28" s="522"/>
      <c r="DWO28" s="523"/>
      <c r="DWP28" s="104"/>
      <c r="DWQ28" s="521"/>
      <c r="DWR28" s="522"/>
      <c r="DWS28" s="522"/>
      <c r="DWT28" s="522"/>
      <c r="DWU28" s="523"/>
      <c r="DWV28" s="104"/>
      <c r="DWW28" s="521"/>
      <c r="DWX28" s="522"/>
      <c r="DWY28" s="522"/>
      <c r="DWZ28" s="522"/>
      <c r="DXA28" s="523"/>
      <c r="DXB28" s="104"/>
      <c r="DXC28" s="521"/>
      <c r="DXD28" s="522"/>
      <c r="DXE28" s="522"/>
      <c r="DXF28" s="522"/>
      <c r="DXG28" s="523"/>
      <c r="DXH28" s="104"/>
      <c r="DXI28" s="521"/>
      <c r="DXJ28" s="522"/>
      <c r="DXK28" s="522"/>
      <c r="DXL28" s="522"/>
      <c r="DXM28" s="523"/>
      <c r="DXN28" s="104"/>
      <c r="DXO28" s="521"/>
      <c r="DXP28" s="522"/>
      <c r="DXQ28" s="522"/>
      <c r="DXR28" s="522"/>
      <c r="DXS28" s="523"/>
      <c r="DXT28" s="104"/>
      <c r="DXU28" s="521"/>
      <c r="DXV28" s="522"/>
      <c r="DXW28" s="522"/>
      <c r="DXX28" s="522"/>
      <c r="DXY28" s="523"/>
      <c r="DXZ28" s="104"/>
      <c r="DYA28" s="521"/>
      <c r="DYB28" s="522"/>
      <c r="DYC28" s="522"/>
      <c r="DYD28" s="522"/>
      <c r="DYE28" s="523"/>
      <c r="DYF28" s="104"/>
      <c r="DYG28" s="521"/>
      <c r="DYH28" s="522"/>
      <c r="DYI28" s="522"/>
      <c r="DYJ28" s="522"/>
      <c r="DYK28" s="523"/>
      <c r="DYL28" s="104"/>
      <c r="DYM28" s="521"/>
      <c r="DYN28" s="522"/>
      <c r="DYO28" s="522"/>
      <c r="DYP28" s="522"/>
      <c r="DYQ28" s="523"/>
      <c r="DYR28" s="104"/>
      <c r="DYS28" s="521"/>
      <c r="DYT28" s="522"/>
      <c r="DYU28" s="522"/>
      <c r="DYV28" s="522"/>
      <c r="DYW28" s="523"/>
      <c r="DYX28" s="104"/>
      <c r="DYY28" s="521"/>
      <c r="DYZ28" s="522"/>
      <c r="DZA28" s="522"/>
      <c r="DZB28" s="522"/>
      <c r="DZC28" s="523"/>
      <c r="DZD28" s="104"/>
      <c r="DZE28" s="521"/>
      <c r="DZF28" s="522"/>
      <c r="DZG28" s="522"/>
      <c r="DZH28" s="522"/>
      <c r="DZI28" s="523"/>
      <c r="DZJ28" s="104"/>
      <c r="DZK28" s="521"/>
      <c r="DZL28" s="522"/>
      <c r="DZM28" s="522"/>
      <c r="DZN28" s="522"/>
      <c r="DZO28" s="523"/>
      <c r="DZP28" s="104"/>
      <c r="DZQ28" s="521"/>
      <c r="DZR28" s="522"/>
      <c r="DZS28" s="522"/>
      <c r="DZT28" s="522"/>
      <c r="DZU28" s="523"/>
      <c r="DZV28" s="104"/>
      <c r="DZW28" s="521"/>
      <c r="DZX28" s="522"/>
      <c r="DZY28" s="522"/>
      <c r="DZZ28" s="522"/>
      <c r="EAA28" s="523"/>
      <c r="EAB28" s="104"/>
      <c r="EAC28" s="521"/>
      <c r="EAD28" s="522"/>
      <c r="EAE28" s="522"/>
      <c r="EAF28" s="522"/>
      <c r="EAG28" s="523"/>
      <c r="EAH28" s="104"/>
      <c r="EAI28" s="521"/>
      <c r="EAJ28" s="522"/>
      <c r="EAK28" s="522"/>
      <c r="EAL28" s="522"/>
      <c r="EAM28" s="523"/>
      <c r="EAN28" s="104"/>
      <c r="EAO28" s="521"/>
      <c r="EAP28" s="522"/>
      <c r="EAQ28" s="522"/>
      <c r="EAR28" s="522"/>
      <c r="EAS28" s="523"/>
      <c r="EAT28" s="104"/>
      <c r="EAU28" s="521"/>
      <c r="EAV28" s="522"/>
      <c r="EAW28" s="522"/>
      <c r="EAX28" s="522"/>
      <c r="EAY28" s="523"/>
      <c r="EAZ28" s="104"/>
      <c r="EBA28" s="521"/>
      <c r="EBB28" s="522"/>
      <c r="EBC28" s="522"/>
      <c r="EBD28" s="522"/>
      <c r="EBE28" s="523"/>
      <c r="EBF28" s="104"/>
      <c r="EBG28" s="521"/>
      <c r="EBH28" s="522"/>
      <c r="EBI28" s="522"/>
      <c r="EBJ28" s="522"/>
      <c r="EBK28" s="523"/>
      <c r="EBL28" s="104"/>
      <c r="EBM28" s="521"/>
      <c r="EBN28" s="522"/>
      <c r="EBO28" s="522"/>
      <c r="EBP28" s="522"/>
      <c r="EBQ28" s="523"/>
      <c r="EBR28" s="104"/>
      <c r="EBS28" s="521"/>
      <c r="EBT28" s="522"/>
      <c r="EBU28" s="522"/>
      <c r="EBV28" s="522"/>
      <c r="EBW28" s="523"/>
      <c r="EBX28" s="104"/>
      <c r="EBY28" s="521"/>
      <c r="EBZ28" s="522"/>
      <c r="ECA28" s="522"/>
      <c r="ECB28" s="522"/>
      <c r="ECC28" s="523"/>
      <c r="ECD28" s="104"/>
      <c r="ECE28" s="521"/>
      <c r="ECF28" s="522"/>
      <c r="ECG28" s="522"/>
      <c r="ECH28" s="522"/>
      <c r="ECI28" s="523"/>
      <c r="ECJ28" s="104"/>
      <c r="ECK28" s="521"/>
      <c r="ECL28" s="522"/>
      <c r="ECM28" s="522"/>
      <c r="ECN28" s="522"/>
      <c r="ECO28" s="523"/>
      <c r="ECP28" s="104"/>
      <c r="ECQ28" s="521"/>
      <c r="ECR28" s="522"/>
      <c r="ECS28" s="522"/>
      <c r="ECT28" s="522"/>
      <c r="ECU28" s="523"/>
      <c r="ECV28" s="104"/>
      <c r="ECW28" s="521"/>
      <c r="ECX28" s="522"/>
      <c r="ECY28" s="522"/>
      <c r="ECZ28" s="522"/>
      <c r="EDA28" s="523"/>
      <c r="EDB28" s="104"/>
      <c r="EDC28" s="521"/>
      <c r="EDD28" s="522"/>
      <c r="EDE28" s="522"/>
      <c r="EDF28" s="522"/>
      <c r="EDG28" s="523"/>
      <c r="EDH28" s="104"/>
      <c r="EDI28" s="521"/>
      <c r="EDJ28" s="522"/>
      <c r="EDK28" s="522"/>
      <c r="EDL28" s="522"/>
      <c r="EDM28" s="523"/>
      <c r="EDN28" s="104"/>
      <c r="EDO28" s="521"/>
      <c r="EDP28" s="522"/>
      <c r="EDQ28" s="522"/>
      <c r="EDR28" s="522"/>
      <c r="EDS28" s="523"/>
      <c r="EDT28" s="104"/>
      <c r="EDU28" s="521"/>
      <c r="EDV28" s="522"/>
      <c r="EDW28" s="522"/>
      <c r="EDX28" s="522"/>
      <c r="EDY28" s="523"/>
      <c r="EDZ28" s="104"/>
      <c r="EEA28" s="521"/>
      <c r="EEB28" s="522"/>
      <c r="EEC28" s="522"/>
      <c r="EED28" s="522"/>
      <c r="EEE28" s="523"/>
      <c r="EEF28" s="104"/>
      <c r="EEG28" s="521"/>
      <c r="EEH28" s="522"/>
      <c r="EEI28" s="522"/>
      <c r="EEJ28" s="522"/>
      <c r="EEK28" s="523"/>
      <c r="EEL28" s="104"/>
      <c r="EEM28" s="521"/>
      <c r="EEN28" s="522"/>
      <c r="EEO28" s="522"/>
      <c r="EEP28" s="522"/>
      <c r="EEQ28" s="523"/>
      <c r="EER28" s="104"/>
      <c r="EES28" s="521"/>
      <c r="EET28" s="522"/>
      <c r="EEU28" s="522"/>
      <c r="EEV28" s="522"/>
      <c r="EEW28" s="523"/>
      <c r="EEX28" s="104"/>
      <c r="EEY28" s="521"/>
      <c r="EEZ28" s="522"/>
      <c r="EFA28" s="522"/>
      <c r="EFB28" s="522"/>
      <c r="EFC28" s="523"/>
      <c r="EFD28" s="104"/>
      <c r="EFE28" s="521"/>
      <c r="EFF28" s="522"/>
      <c r="EFG28" s="522"/>
      <c r="EFH28" s="522"/>
      <c r="EFI28" s="523"/>
      <c r="EFJ28" s="104"/>
      <c r="EFK28" s="521"/>
      <c r="EFL28" s="522"/>
      <c r="EFM28" s="522"/>
      <c r="EFN28" s="522"/>
      <c r="EFO28" s="523"/>
      <c r="EFP28" s="104"/>
      <c r="EFQ28" s="521"/>
      <c r="EFR28" s="522"/>
      <c r="EFS28" s="522"/>
      <c r="EFT28" s="522"/>
      <c r="EFU28" s="523"/>
      <c r="EFV28" s="104"/>
      <c r="EFW28" s="521"/>
      <c r="EFX28" s="522"/>
      <c r="EFY28" s="522"/>
      <c r="EFZ28" s="522"/>
      <c r="EGA28" s="523"/>
      <c r="EGB28" s="104"/>
      <c r="EGC28" s="521"/>
      <c r="EGD28" s="522"/>
      <c r="EGE28" s="522"/>
      <c r="EGF28" s="522"/>
      <c r="EGG28" s="523"/>
      <c r="EGH28" s="104"/>
      <c r="EGI28" s="521"/>
      <c r="EGJ28" s="522"/>
      <c r="EGK28" s="522"/>
      <c r="EGL28" s="522"/>
      <c r="EGM28" s="523"/>
      <c r="EGN28" s="104"/>
      <c r="EGO28" s="521"/>
      <c r="EGP28" s="522"/>
      <c r="EGQ28" s="522"/>
      <c r="EGR28" s="522"/>
      <c r="EGS28" s="523"/>
      <c r="EGT28" s="104"/>
      <c r="EGU28" s="521"/>
      <c r="EGV28" s="522"/>
      <c r="EGW28" s="522"/>
      <c r="EGX28" s="522"/>
      <c r="EGY28" s="523"/>
      <c r="EGZ28" s="104"/>
      <c r="EHA28" s="521"/>
      <c r="EHB28" s="522"/>
      <c r="EHC28" s="522"/>
      <c r="EHD28" s="522"/>
      <c r="EHE28" s="523"/>
      <c r="EHF28" s="104"/>
      <c r="EHG28" s="521"/>
      <c r="EHH28" s="522"/>
      <c r="EHI28" s="522"/>
      <c r="EHJ28" s="522"/>
      <c r="EHK28" s="523"/>
      <c r="EHL28" s="104"/>
      <c r="EHM28" s="521"/>
      <c r="EHN28" s="522"/>
      <c r="EHO28" s="522"/>
      <c r="EHP28" s="522"/>
      <c r="EHQ28" s="523"/>
      <c r="EHR28" s="104"/>
      <c r="EHS28" s="521"/>
      <c r="EHT28" s="522"/>
      <c r="EHU28" s="522"/>
      <c r="EHV28" s="522"/>
      <c r="EHW28" s="523"/>
      <c r="EHX28" s="104"/>
      <c r="EHY28" s="521"/>
      <c r="EHZ28" s="522"/>
      <c r="EIA28" s="522"/>
      <c r="EIB28" s="522"/>
      <c r="EIC28" s="523"/>
      <c r="EID28" s="104"/>
      <c r="EIE28" s="521"/>
      <c r="EIF28" s="522"/>
      <c r="EIG28" s="522"/>
      <c r="EIH28" s="522"/>
      <c r="EII28" s="523"/>
      <c r="EIJ28" s="104"/>
      <c r="EIK28" s="521"/>
      <c r="EIL28" s="522"/>
      <c r="EIM28" s="522"/>
      <c r="EIN28" s="522"/>
      <c r="EIO28" s="523"/>
      <c r="EIP28" s="104"/>
      <c r="EIQ28" s="521"/>
      <c r="EIR28" s="522"/>
      <c r="EIS28" s="522"/>
      <c r="EIT28" s="522"/>
      <c r="EIU28" s="523"/>
      <c r="EIV28" s="104"/>
      <c r="EIW28" s="521"/>
      <c r="EIX28" s="522"/>
      <c r="EIY28" s="522"/>
      <c r="EIZ28" s="522"/>
      <c r="EJA28" s="523"/>
      <c r="EJB28" s="104"/>
      <c r="EJC28" s="521"/>
      <c r="EJD28" s="522"/>
      <c r="EJE28" s="522"/>
      <c r="EJF28" s="522"/>
      <c r="EJG28" s="523"/>
      <c r="EJH28" s="104"/>
      <c r="EJI28" s="521"/>
      <c r="EJJ28" s="522"/>
      <c r="EJK28" s="522"/>
      <c r="EJL28" s="522"/>
      <c r="EJM28" s="523"/>
      <c r="EJN28" s="104"/>
      <c r="EJO28" s="521"/>
      <c r="EJP28" s="522"/>
      <c r="EJQ28" s="522"/>
      <c r="EJR28" s="522"/>
      <c r="EJS28" s="523"/>
      <c r="EJT28" s="104"/>
      <c r="EJU28" s="521"/>
      <c r="EJV28" s="522"/>
      <c r="EJW28" s="522"/>
      <c r="EJX28" s="522"/>
      <c r="EJY28" s="523"/>
      <c r="EJZ28" s="104"/>
      <c r="EKA28" s="521"/>
      <c r="EKB28" s="522"/>
      <c r="EKC28" s="522"/>
      <c r="EKD28" s="522"/>
      <c r="EKE28" s="523"/>
      <c r="EKF28" s="104"/>
      <c r="EKG28" s="521"/>
      <c r="EKH28" s="522"/>
      <c r="EKI28" s="522"/>
      <c r="EKJ28" s="522"/>
      <c r="EKK28" s="523"/>
      <c r="EKL28" s="104"/>
      <c r="EKM28" s="521"/>
      <c r="EKN28" s="522"/>
      <c r="EKO28" s="522"/>
      <c r="EKP28" s="522"/>
      <c r="EKQ28" s="523"/>
      <c r="EKR28" s="104"/>
      <c r="EKS28" s="521"/>
      <c r="EKT28" s="522"/>
      <c r="EKU28" s="522"/>
      <c r="EKV28" s="522"/>
      <c r="EKW28" s="523"/>
      <c r="EKX28" s="104"/>
      <c r="EKY28" s="521"/>
      <c r="EKZ28" s="522"/>
      <c r="ELA28" s="522"/>
      <c r="ELB28" s="522"/>
      <c r="ELC28" s="523"/>
      <c r="ELD28" s="104"/>
      <c r="ELE28" s="521"/>
      <c r="ELF28" s="522"/>
      <c r="ELG28" s="522"/>
      <c r="ELH28" s="522"/>
      <c r="ELI28" s="523"/>
      <c r="ELJ28" s="104"/>
      <c r="ELK28" s="521"/>
      <c r="ELL28" s="522"/>
      <c r="ELM28" s="522"/>
      <c r="ELN28" s="522"/>
      <c r="ELO28" s="523"/>
      <c r="ELP28" s="104"/>
      <c r="ELQ28" s="521"/>
      <c r="ELR28" s="522"/>
      <c r="ELS28" s="522"/>
      <c r="ELT28" s="522"/>
      <c r="ELU28" s="523"/>
      <c r="ELV28" s="104"/>
      <c r="ELW28" s="521"/>
      <c r="ELX28" s="522"/>
      <c r="ELY28" s="522"/>
      <c r="ELZ28" s="522"/>
      <c r="EMA28" s="523"/>
      <c r="EMB28" s="104"/>
      <c r="EMC28" s="521"/>
      <c r="EMD28" s="522"/>
      <c r="EME28" s="522"/>
      <c r="EMF28" s="522"/>
      <c r="EMG28" s="523"/>
      <c r="EMH28" s="104"/>
      <c r="EMI28" s="521"/>
      <c r="EMJ28" s="522"/>
      <c r="EMK28" s="522"/>
      <c r="EML28" s="522"/>
      <c r="EMM28" s="523"/>
      <c r="EMN28" s="104"/>
      <c r="EMO28" s="521"/>
      <c r="EMP28" s="522"/>
      <c r="EMQ28" s="522"/>
      <c r="EMR28" s="522"/>
      <c r="EMS28" s="523"/>
      <c r="EMT28" s="104"/>
      <c r="EMU28" s="521"/>
      <c r="EMV28" s="522"/>
      <c r="EMW28" s="522"/>
      <c r="EMX28" s="522"/>
      <c r="EMY28" s="523"/>
      <c r="EMZ28" s="104"/>
      <c r="ENA28" s="521"/>
      <c r="ENB28" s="522"/>
      <c r="ENC28" s="522"/>
      <c r="END28" s="522"/>
      <c r="ENE28" s="523"/>
      <c r="ENF28" s="104"/>
      <c r="ENG28" s="521"/>
      <c r="ENH28" s="522"/>
      <c r="ENI28" s="522"/>
      <c r="ENJ28" s="522"/>
      <c r="ENK28" s="523"/>
      <c r="ENL28" s="104"/>
      <c r="ENM28" s="521"/>
      <c r="ENN28" s="522"/>
      <c r="ENO28" s="522"/>
      <c r="ENP28" s="522"/>
      <c r="ENQ28" s="523"/>
      <c r="ENR28" s="104"/>
      <c r="ENS28" s="521"/>
      <c r="ENT28" s="522"/>
      <c r="ENU28" s="522"/>
      <c r="ENV28" s="522"/>
      <c r="ENW28" s="523"/>
      <c r="ENX28" s="104"/>
      <c r="ENY28" s="521"/>
      <c r="ENZ28" s="522"/>
      <c r="EOA28" s="522"/>
      <c r="EOB28" s="522"/>
      <c r="EOC28" s="523"/>
      <c r="EOD28" s="104"/>
      <c r="EOE28" s="521"/>
      <c r="EOF28" s="522"/>
      <c r="EOG28" s="522"/>
      <c r="EOH28" s="522"/>
      <c r="EOI28" s="523"/>
      <c r="EOJ28" s="104"/>
      <c r="EOK28" s="521"/>
      <c r="EOL28" s="522"/>
      <c r="EOM28" s="522"/>
      <c r="EON28" s="522"/>
      <c r="EOO28" s="523"/>
      <c r="EOP28" s="104"/>
      <c r="EOQ28" s="521"/>
      <c r="EOR28" s="522"/>
      <c r="EOS28" s="522"/>
      <c r="EOT28" s="522"/>
      <c r="EOU28" s="523"/>
      <c r="EOV28" s="104"/>
      <c r="EOW28" s="521"/>
      <c r="EOX28" s="522"/>
      <c r="EOY28" s="522"/>
      <c r="EOZ28" s="522"/>
      <c r="EPA28" s="523"/>
      <c r="EPB28" s="104"/>
      <c r="EPC28" s="521"/>
      <c r="EPD28" s="522"/>
      <c r="EPE28" s="522"/>
      <c r="EPF28" s="522"/>
      <c r="EPG28" s="523"/>
      <c r="EPH28" s="104"/>
      <c r="EPI28" s="521"/>
      <c r="EPJ28" s="522"/>
      <c r="EPK28" s="522"/>
      <c r="EPL28" s="522"/>
      <c r="EPM28" s="523"/>
      <c r="EPN28" s="104"/>
      <c r="EPO28" s="521"/>
      <c r="EPP28" s="522"/>
      <c r="EPQ28" s="522"/>
      <c r="EPR28" s="522"/>
      <c r="EPS28" s="523"/>
      <c r="EPT28" s="104"/>
      <c r="EPU28" s="521"/>
      <c r="EPV28" s="522"/>
      <c r="EPW28" s="522"/>
      <c r="EPX28" s="522"/>
      <c r="EPY28" s="523"/>
      <c r="EPZ28" s="104"/>
      <c r="EQA28" s="521"/>
      <c r="EQB28" s="522"/>
      <c r="EQC28" s="522"/>
      <c r="EQD28" s="522"/>
      <c r="EQE28" s="523"/>
      <c r="EQF28" s="104"/>
      <c r="EQG28" s="521"/>
      <c r="EQH28" s="522"/>
      <c r="EQI28" s="522"/>
      <c r="EQJ28" s="522"/>
      <c r="EQK28" s="523"/>
      <c r="EQL28" s="104"/>
      <c r="EQM28" s="521"/>
      <c r="EQN28" s="522"/>
      <c r="EQO28" s="522"/>
      <c r="EQP28" s="522"/>
      <c r="EQQ28" s="523"/>
      <c r="EQR28" s="104"/>
      <c r="EQS28" s="521"/>
      <c r="EQT28" s="522"/>
      <c r="EQU28" s="522"/>
      <c r="EQV28" s="522"/>
      <c r="EQW28" s="523"/>
      <c r="EQX28" s="104"/>
      <c r="EQY28" s="521"/>
      <c r="EQZ28" s="522"/>
      <c r="ERA28" s="522"/>
      <c r="ERB28" s="522"/>
      <c r="ERC28" s="523"/>
      <c r="ERD28" s="104"/>
      <c r="ERE28" s="521"/>
      <c r="ERF28" s="522"/>
      <c r="ERG28" s="522"/>
      <c r="ERH28" s="522"/>
      <c r="ERI28" s="523"/>
      <c r="ERJ28" s="104"/>
      <c r="ERK28" s="521"/>
      <c r="ERL28" s="522"/>
      <c r="ERM28" s="522"/>
      <c r="ERN28" s="522"/>
      <c r="ERO28" s="523"/>
      <c r="ERP28" s="104"/>
      <c r="ERQ28" s="521"/>
      <c r="ERR28" s="522"/>
      <c r="ERS28" s="522"/>
      <c r="ERT28" s="522"/>
      <c r="ERU28" s="523"/>
      <c r="ERV28" s="104"/>
      <c r="ERW28" s="521"/>
      <c r="ERX28" s="522"/>
      <c r="ERY28" s="522"/>
      <c r="ERZ28" s="522"/>
      <c r="ESA28" s="523"/>
      <c r="ESB28" s="104"/>
      <c r="ESC28" s="521"/>
      <c r="ESD28" s="522"/>
      <c r="ESE28" s="522"/>
      <c r="ESF28" s="522"/>
      <c r="ESG28" s="523"/>
      <c r="ESH28" s="104"/>
      <c r="ESI28" s="521"/>
      <c r="ESJ28" s="522"/>
      <c r="ESK28" s="522"/>
      <c r="ESL28" s="522"/>
      <c r="ESM28" s="523"/>
      <c r="ESN28" s="104"/>
      <c r="ESO28" s="521"/>
      <c r="ESP28" s="522"/>
      <c r="ESQ28" s="522"/>
      <c r="ESR28" s="522"/>
      <c r="ESS28" s="523"/>
      <c r="EST28" s="104"/>
      <c r="ESU28" s="521"/>
      <c r="ESV28" s="522"/>
      <c r="ESW28" s="522"/>
      <c r="ESX28" s="522"/>
      <c r="ESY28" s="523"/>
      <c r="ESZ28" s="104"/>
      <c r="ETA28" s="521"/>
      <c r="ETB28" s="522"/>
      <c r="ETC28" s="522"/>
      <c r="ETD28" s="522"/>
      <c r="ETE28" s="523"/>
      <c r="ETF28" s="104"/>
      <c r="ETG28" s="521"/>
      <c r="ETH28" s="522"/>
      <c r="ETI28" s="522"/>
      <c r="ETJ28" s="522"/>
      <c r="ETK28" s="523"/>
      <c r="ETL28" s="104"/>
      <c r="ETM28" s="521"/>
      <c r="ETN28" s="522"/>
      <c r="ETO28" s="522"/>
      <c r="ETP28" s="522"/>
      <c r="ETQ28" s="523"/>
      <c r="ETR28" s="104"/>
      <c r="ETS28" s="521"/>
      <c r="ETT28" s="522"/>
      <c r="ETU28" s="522"/>
      <c r="ETV28" s="522"/>
      <c r="ETW28" s="523"/>
      <c r="ETX28" s="104"/>
      <c r="ETY28" s="521"/>
      <c r="ETZ28" s="522"/>
      <c r="EUA28" s="522"/>
      <c r="EUB28" s="522"/>
      <c r="EUC28" s="523"/>
      <c r="EUD28" s="104"/>
      <c r="EUE28" s="521"/>
      <c r="EUF28" s="522"/>
      <c r="EUG28" s="522"/>
      <c r="EUH28" s="522"/>
      <c r="EUI28" s="523"/>
      <c r="EUJ28" s="104"/>
      <c r="EUK28" s="521"/>
      <c r="EUL28" s="522"/>
      <c r="EUM28" s="522"/>
      <c r="EUN28" s="522"/>
      <c r="EUO28" s="523"/>
      <c r="EUP28" s="104"/>
      <c r="EUQ28" s="521"/>
      <c r="EUR28" s="522"/>
      <c r="EUS28" s="522"/>
      <c r="EUT28" s="522"/>
      <c r="EUU28" s="523"/>
      <c r="EUV28" s="104"/>
      <c r="EUW28" s="521"/>
      <c r="EUX28" s="522"/>
      <c r="EUY28" s="522"/>
      <c r="EUZ28" s="522"/>
      <c r="EVA28" s="523"/>
      <c r="EVB28" s="104"/>
      <c r="EVC28" s="521"/>
      <c r="EVD28" s="522"/>
      <c r="EVE28" s="522"/>
      <c r="EVF28" s="522"/>
      <c r="EVG28" s="523"/>
      <c r="EVH28" s="104"/>
      <c r="EVI28" s="521"/>
      <c r="EVJ28" s="522"/>
      <c r="EVK28" s="522"/>
      <c r="EVL28" s="522"/>
      <c r="EVM28" s="523"/>
      <c r="EVN28" s="104"/>
      <c r="EVO28" s="521"/>
      <c r="EVP28" s="522"/>
      <c r="EVQ28" s="522"/>
      <c r="EVR28" s="522"/>
      <c r="EVS28" s="523"/>
      <c r="EVT28" s="104"/>
      <c r="EVU28" s="521"/>
      <c r="EVV28" s="522"/>
      <c r="EVW28" s="522"/>
      <c r="EVX28" s="522"/>
      <c r="EVY28" s="523"/>
      <c r="EVZ28" s="104"/>
      <c r="EWA28" s="521"/>
      <c r="EWB28" s="522"/>
      <c r="EWC28" s="522"/>
      <c r="EWD28" s="522"/>
      <c r="EWE28" s="523"/>
      <c r="EWF28" s="104"/>
      <c r="EWG28" s="521"/>
      <c r="EWH28" s="522"/>
      <c r="EWI28" s="522"/>
      <c r="EWJ28" s="522"/>
      <c r="EWK28" s="523"/>
      <c r="EWL28" s="104"/>
      <c r="EWM28" s="521"/>
      <c r="EWN28" s="522"/>
      <c r="EWO28" s="522"/>
      <c r="EWP28" s="522"/>
      <c r="EWQ28" s="523"/>
      <c r="EWR28" s="104"/>
      <c r="EWS28" s="521"/>
      <c r="EWT28" s="522"/>
      <c r="EWU28" s="522"/>
      <c r="EWV28" s="522"/>
      <c r="EWW28" s="523"/>
      <c r="EWX28" s="104"/>
      <c r="EWY28" s="521"/>
      <c r="EWZ28" s="522"/>
      <c r="EXA28" s="522"/>
      <c r="EXB28" s="522"/>
      <c r="EXC28" s="523"/>
      <c r="EXD28" s="104"/>
      <c r="EXE28" s="521"/>
      <c r="EXF28" s="522"/>
      <c r="EXG28" s="522"/>
      <c r="EXH28" s="522"/>
      <c r="EXI28" s="523"/>
      <c r="EXJ28" s="104"/>
      <c r="EXK28" s="521"/>
      <c r="EXL28" s="522"/>
      <c r="EXM28" s="522"/>
      <c r="EXN28" s="522"/>
      <c r="EXO28" s="523"/>
      <c r="EXP28" s="104"/>
      <c r="EXQ28" s="521"/>
      <c r="EXR28" s="522"/>
      <c r="EXS28" s="522"/>
      <c r="EXT28" s="522"/>
      <c r="EXU28" s="523"/>
      <c r="EXV28" s="104"/>
      <c r="EXW28" s="521"/>
      <c r="EXX28" s="522"/>
      <c r="EXY28" s="522"/>
      <c r="EXZ28" s="522"/>
      <c r="EYA28" s="523"/>
      <c r="EYB28" s="104"/>
      <c r="EYC28" s="521"/>
      <c r="EYD28" s="522"/>
      <c r="EYE28" s="522"/>
      <c r="EYF28" s="522"/>
      <c r="EYG28" s="523"/>
      <c r="EYH28" s="104"/>
      <c r="EYI28" s="521"/>
      <c r="EYJ28" s="522"/>
      <c r="EYK28" s="522"/>
      <c r="EYL28" s="522"/>
      <c r="EYM28" s="523"/>
      <c r="EYN28" s="104"/>
      <c r="EYO28" s="521"/>
      <c r="EYP28" s="522"/>
      <c r="EYQ28" s="522"/>
      <c r="EYR28" s="522"/>
      <c r="EYS28" s="523"/>
      <c r="EYT28" s="104"/>
      <c r="EYU28" s="521"/>
      <c r="EYV28" s="522"/>
      <c r="EYW28" s="522"/>
      <c r="EYX28" s="522"/>
      <c r="EYY28" s="523"/>
      <c r="EYZ28" s="104"/>
      <c r="EZA28" s="521"/>
      <c r="EZB28" s="522"/>
      <c r="EZC28" s="522"/>
      <c r="EZD28" s="522"/>
      <c r="EZE28" s="523"/>
      <c r="EZF28" s="104"/>
      <c r="EZG28" s="521"/>
      <c r="EZH28" s="522"/>
      <c r="EZI28" s="522"/>
      <c r="EZJ28" s="522"/>
      <c r="EZK28" s="523"/>
      <c r="EZL28" s="104"/>
      <c r="EZM28" s="521"/>
      <c r="EZN28" s="522"/>
      <c r="EZO28" s="522"/>
      <c r="EZP28" s="522"/>
      <c r="EZQ28" s="523"/>
      <c r="EZR28" s="104"/>
      <c r="EZS28" s="521"/>
      <c r="EZT28" s="522"/>
      <c r="EZU28" s="522"/>
      <c r="EZV28" s="522"/>
      <c r="EZW28" s="523"/>
      <c r="EZX28" s="104"/>
      <c r="EZY28" s="521"/>
      <c r="EZZ28" s="522"/>
      <c r="FAA28" s="522"/>
      <c r="FAB28" s="522"/>
      <c r="FAC28" s="523"/>
      <c r="FAD28" s="104"/>
      <c r="FAE28" s="521"/>
      <c r="FAF28" s="522"/>
      <c r="FAG28" s="522"/>
      <c r="FAH28" s="522"/>
      <c r="FAI28" s="523"/>
      <c r="FAJ28" s="104"/>
      <c r="FAK28" s="521"/>
      <c r="FAL28" s="522"/>
      <c r="FAM28" s="522"/>
      <c r="FAN28" s="522"/>
      <c r="FAO28" s="523"/>
      <c r="FAP28" s="104"/>
      <c r="FAQ28" s="521"/>
      <c r="FAR28" s="522"/>
      <c r="FAS28" s="522"/>
      <c r="FAT28" s="522"/>
      <c r="FAU28" s="523"/>
      <c r="FAV28" s="104"/>
      <c r="FAW28" s="521"/>
      <c r="FAX28" s="522"/>
      <c r="FAY28" s="522"/>
      <c r="FAZ28" s="522"/>
      <c r="FBA28" s="523"/>
      <c r="FBB28" s="104"/>
      <c r="FBC28" s="521"/>
      <c r="FBD28" s="522"/>
      <c r="FBE28" s="522"/>
      <c r="FBF28" s="522"/>
      <c r="FBG28" s="523"/>
      <c r="FBH28" s="104"/>
      <c r="FBI28" s="521"/>
      <c r="FBJ28" s="522"/>
      <c r="FBK28" s="522"/>
      <c r="FBL28" s="522"/>
      <c r="FBM28" s="523"/>
      <c r="FBN28" s="104"/>
      <c r="FBO28" s="521"/>
      <c r="FBP28" s="522"/>
      <c r="FBQ28" s="522"/>
      <c r="FBR28" s="522"/>
      <c r="FBS28" s="523"/>
      <c r="FBT28" s="104"/>
      <c r="FBU28" s="521"/>
      <c r="FBV28" s="522"/>
      <c r="FBW28" s="522"/>
      <c r="FBX28" s="522"/>
      <c r="FBY28" s="523"/>
      <c r="FBZ28" s="104"/>
      <c r="FCA28" s="521"/>
      <c r="FCB28" s="522"/>
      <c r="FCC28" s="522"/>
      <c r="FCD28" s="522"/>
      <c r="FCE28" s="523"/>
      <c r="FCF28" s="104"/>
      <c r="FCG28" s="521"/>
      <c r="FCH28" s="522"/>
      <c r="FCI28" s="522"/>
      <c r="FCJ28" s="522"/>
      <c r="FCK28" s="523"/>
      <c r="FCL28" s="104"/>
      <c r="FCM28" s="521"/>
      <c r="FCN28" s="522"/>
      <c r="FCO28" s="522"/>
      <c r="FCP28" s="522"/>
      <c r="FCQ28" s="523"/>
      <c r="FCR28" s="104"/>
      <c r="FCS28" s="521"/>
      <c r="FCT28" s="522"/>
      <c r="FCU28" s="522"/>
      <c r="FCV28" s="522"/>
      <c r="FCW28" s="523"/>
      <c r="FCX28" s="104"/>
      <c r="FCY28" s="521"/>
      <c r="FCZ28" s="522"/>
      <c r="FDA28" s="522"/>
      <c r="FDB28" s="522"/>
      <c r="FDC28" s="523"/>
      <c r="FDD28" s="104"/>
      <c r="FDE28" s="521"/>
      <c r="FDF28" s="522"/>
      <c r="FDG28" s="522"/>
      <c r="FDH28" s="522"/>
      <c r="FDI28" s="523"/>
      <c r="FDJ28" s="104"/>
      <c r="FDK28" s="521"/>
      <c r="FDL28" s="522"/>
      <c r="FDM28" s="522"/>
      <c r="FDN28" s="522"/>
      <c r="FDO28" s="523"/>
      <c r="FDP28" s="104"/>
      <c r="FDQ28" s="521"/>
      <c r="FDR28" s="522"/>
      <c r="FDS28" s="522"/>
      <c r="FDT28" s="522"/>
      <c r="FDU28" s="523"/>
      <c r="FDV28" s="104"/>
      <c r="FDW28" s="521"/>
      <c r="FDX28" s="522"/>
      <c r="FDY28" s="522"/>
      <c r="FDZ28" s="522"/>
      <c r="FEA28" s="523"/>
      <c r="FEB28" s="104"/>
      <c r="FEC28" s="521"/>
      <c r="FED28" s="522"/>
      <c r="FEE28" s="522"/>
      <c r="FEF28" s="522"/>
      <c r="FEG28" s="523"/>
      <c r="FEH28" s="104"/>
      <c r="FEI28" s="521"/>
      <c r="FEJ28" s="522"/>
      <c r="FEK28" s="522"/>
      <c r="FEL28" s="522"/>
      <c r="FEM28" s="523"/>
      <c r="FEN28" s="104"/>
      <c r="FEO28" s="521"/>
      <c r="FEP28" s="522"/>
      <c r="FEQ28" s="522"/>
      <c r="FER28" s="522"/>
      <c r="FES28" s="523"/>
      <c r="FET28" s="104"/>
      <c r="FEU28" s="521"/>
      <c r="FEV28" s="522"/>
      <c r="FEW28" s="522"/>
      <c r="FEX28" s="522"/>
      <c r="FEY28" s="523"/>
      <c r="FEZ28" s="104"/>
      <c r="FFA28" s="521"/>
      <c r="FFB28" s="522"/>
      <c r="FFC28" s="522"/>
      <c r="FFD28" s="522"/>
      <c r="FFE28" s="523"/>
      <c r="FFF28" s="104"/>
      <c r="FFG28" s="521"/>
      <c r="FFH28" s="522"/>
      <c r="FFI28" s="522"/>
      <c r="FFJ28" s="522"/>
      <c r="FFK28" s="523"/>
      <c r="FFL28" s="104"/>
      <c r="FFM28" s="521"/>
      <c r="FFN28" s="522"/>
      <c r="FFO28" s="522"/>
      <c r="FFP28" s="522"/>
      <c r="FFQ28" s="523"/>
      <c r="FFR28" s="104"/>
      <c r="FFS28" s="521"/>
      <c r="FFT28" s="522"/>
      <c r="FFU28" s="522"/>
      <c r="FFV28" s="522"/>
      <c r="FFW28" s="523"/>
      <c r="FFX28" s="104"/>
      <c r="FFY28" s="521"/>
      <c r="FFZ28" s="522"/>
      <c r="FGA28" s="522"/>
      <c r="FGB28" s="522"/>
      <c r="FGC28" s="523"/>
      <c r="FGD28" s="104"/>
      <c r="FGE28" s="521"/>
      <c r="FGF28" s="522"/>
      <c r="FGG28" s="522"/>
      <c r="FGH28" s="522"/>
      <c r="FGI28" s="523"/>
      <c r="FGJ28" s="104"/>
      <c r="FGK28" s="521"/>
      <c r="FGL28" s="522"/>
      <c r="FGM28" s="522"/>
      <c r="FGN28" s="522"/>
      <c r="FGO28" s="523"/>
      <c r="FGP28" s="104"/>
      <c r="FGQ28" s="521"/>
      <c r="FGR28" s="522"/>
      <c r="FGS28" s="522"/>
      <c r="FGT28" s="522"/>
      <c r="FGU28" s="523"/>
      <c r="FGV28" s="104"/>
      <c r="FGW28" s="521"/>
      <c r="FGX28" s="522"/>
      <c r="FGY28" s="522"/>
      <c r="FGZ28" s="522"/>
      <c r="FHA28" s="523"/>
      <c r="FHB28" s="104"/>
      <c r="FHC28" s="521"/>
      <c r="FHD28" s="522"/>
      <c r="FHE28" s="522"/>
      <c r="FHF28" s="522"/>
      <c r="FHG28" s="523"/>
      <c r="FHH28" s="104"/>
      <c r="FHI28" s="521"/>
      <c r="FHJ28" s="522"/>
      <c r="FHK28" s="522"/>
      <c r="FHL28" s="522"/>
      <c r="FHM28" s="523"/>
      <c r="FHN28" s="104"/>
      <c r="FHO28" s="521"/>
      <c r="FHP28" s="522"/>
      <c r="FHQ28" s="522"/>
      <c r="FHR28" s="522"/>
      <c r="FHS28" s="523"/>
      <c r="FHT28" s="104"/>
      <c r="FHU28" s="521"/>
      <c r="FHV28" s="522"/>
      <c r="FHW28" s="522"/>
      <c r="FHX28" s="522"/>
      <c r="FHY28" s="523"/>
      <c r="FHZ28" s="104"/>
      <c r="FIA28" s="521"/>
      <c r="FIB28" s="522"/>
      <c r="FIC28" s="522"/>
      <c r="FID28" s="522"/>
      <c r="FIE28" s="523"/>
      <c r="FIF28" s="104"/>
      <c r="FIG28" s="521"/>
      <c r="FIH28" s="522"/>
      <c r="FII28" s="522"/>
      <c r="FIJ28" s="522"/>
      <c r="FIK28" s="523"/>
      <c r="FIL28" s="104"/>
      <c r="FIM28" s="521"/>
      <c r="FIN28" s="522"/>
      <c r="FIO28" s="522"/>
      <c r="FIP28" s="522"/>
      <c r="FIQ28" s="523"/>
      <c r="FIR28" s="104"/>
      <c r="FIS28" s="521"/>
      <c r="FIT28" s="522"/>
      <c r="FIU28" s="522"/>
      <c r="FIV28" s="522"/>
      <c r="FIW28" s="523"/>
      <c r="FIX28" s="104"/>
      <c r="FIY28" s="521"/>
      <c r="FIZ28" s="522"/>
      <c r="FJA28" s="522"/>
      <c r="FJB28" s="522"/>
      <c r="FJC28" s="523"/>
      <c r="FJD28" s="104"/>
      <c r="FJE28" s="521"/>
      <c r="FJF28" s="522"/>
      <c r="FJG28" s="522"/>
      <c r="FJH28" s="522"/>
      <c r="FJI28" s="523"/>
      <c r="FJJ28" s="104"/>
      <c r="FJK28" s="521"/>
      <c r="FJL28" s="522"/>
      <c r="FJM28" s="522"/>
      <c r="FJN28" s="522"/>
      <c r="FJO28" s="523"/>
      <c r="FJP28" s="104"/>
      <c r="FJQ28" s="521"/>
      <c r="FJR28" s="522"/>
      <c r="FJS28" s="522"/>
      <c r="FJT28" s="522"/>
      <c r="FJU28" s="523"/>
      <c r="FJV28" s="104"/>
      <c r="FJW28" s="521"/>
      <c r="FJX28" s="522"/>
      <c r="FJY28" s="522"/>
      <c r="FJZ28" s="522"/>
      <c r="FKA28" s="523"/>
      <c r="FKB28" s="104"/>
      <c r="FKC28" s="521"/>
      <c r="FKD28" s="522"/>
      <c r="FKE28" s="522"/>
      <c r="FKF28" s="522"/>
      <c r="FKG28" s="523"/>
      <c r="FKH28" s="104"/>
      <c r="FKI28" s="521"/>
      <c r="FKJ28" s="522"/>
      <c r="FKK28" s="522"/>
      <c r="FKL28" s="522"/>
      <c r="FKM28" s="523"/>
      <c r="FKN28" s="104"/>
      <c r="FKO28" s="521"/>
      <c r="FKP28" s="522"/>
      <c r="FKQ28" s="522"/>
      <c r="FKR28" s="522"/>
      <c r="FKS28" s="523"/>
      <c r="FKT28" s="104"/>
      <c r="FKU28" s="521"/>
      <c r="FKV28" s="522"/>
      <c r="FKW28" s="522"/>
      <c r="FKX28" s="522"/>
      <c r="FKY28" s="523"/>
      <c r="FKZ28" s="104"/>
      <c r="FLA28" s="521"/>
      <c r="FLB28" s="522"/>
      <c r="FLC28" s="522"/>
      <c r="FLD28" s="522"/>
      <c r="FLE28" s="523"/>
      <c r="FLF28" s="104"/>
      <c r="FLG28" s="521"/>
      <c r="FLH28" s="522"/>
      <c r="FLI28" s="522"/>
      <c r="FLJ28" s="522"/>
      <c r="FLK28" s="523"/>
      <c r="FLL28" s="104"/>
      <c r="FLM28" s="521"/>
      <c r="FLN28" s="522"/>
      <c r="FLO28" s="522"/>
      <c r="FLP28" s="522"/>
      <c r="FLQ28" s="523"/>
      <c r="FLR28" s="104"/>
      <c r="FLS28" s="521"/>
      <c r="FLT28" s="522"/>
      <c r="FLU28" s="522"/>
      <c r="FLV28" s="522"/>
      <c r="FLW28" s="523"/>
      <c r="FLX28" s="104"/>
      <c r="FLY28" s="521"/>
      <c r="FLZ28" s="522"/>
      <c r="FMA28" s="522"/>
      <c r="FMB28" s="522"/>
      <c r="FMC28" s="523"/>
      <c r="FMD28" s="104"/>
      <c r="FME28" s="521"/>
      <c r="FMF28" s="522"/>
      <c r="FMG28" s="522"/>
      <c r="FMH28" s="522"/>
      <c r="FMI28" s="523"/>
      <c r="FMJ28" s="104"/>
      <c r="FMK28" s="521"/>
      <c r="FML28" s="522"/>
      <c r="FMM28" s="522"/>
      <c r="FMN28" s="522"/>
      <c r="FMO28" s="523"/>
      <c r="FMP28" s="104"/>
      <c r="FMQ28" s="521"/>
      <c r="FMR28" s="522"/>
      <c r="FMS28" s="522"/>
      <c r="FMT28" s="522"/>
      <c r="FMU28" s="523"/>
      <c r="FMV28" s="104"/>
      <c r="FMW28" s="521"/>
      <c r="FMX28" s="522"/>
      <c r="FMY28" s="522"/>
      <c r="FMZ28" s="522"/>
      <c r="FNA28" s="523"/>
      <c r="FNB28" s="104"/>
      <c r="FNC28" s="521"/>
      <c r="FND28" s="522"/>
      <c r="FNE28" s="522"/>
      <c r="FNF28" s="522"/>
      <c r="FNG28" s="523"/>
      <c r="FNH28" s="104"/>
      <c r="FNI28" s="521"/>
      <c r="FNJ28" s="522"/>
      <c r="FNK28" s="522"/>
      <c r="FNL28" s="522"/>
      <c r="FNM28" s="523"/>
      <c r="FNN28" s="104"/>
      <c r="FNO28" s="521"/>
      <c r="FNP28" s="522"/>
      <c r="FNQ28" s="522"/>
      <c r="FNR28" s="522"/>
      <c r="FNS28" s="523"/>
      <c r="FNT28" s="104"/>
      <c r="FNU28" s="521"/>
      <c r="FNV28" s="522"/>
      <c r="FNW28" s="522"/>
      <c r="FNX28" s="522"/>
      <c r="FNY28" s="523"/>
      <c r="FNZ28" s="104"/>
      <c r="FOA28" s="521"/>
      <c r="FOB28" s="522"/>
      <c r="FOC28" s="522"/>
      <c r="FOD28" s="522"/>
      <c r="FOE28" s="523"/>
      <c r="FOF28" s="104"/>
      <c r="FOG28" s="521"/>
      <c r="FOH28" s="522"/>
      <c r="FOI28" s="522"/>
      <c r="FOJ28" s="522"/>
      <c r="FOK28" s="523"/>
      <c r="FOL28" s="104"/>
      <c r="FOM28" s="521"/>
      <c r="FON28" s="522"/>
      <c r="FOO28" s="522"/>
      <c r="FOP28" s="522"/>
      <c r="FOQ28" s="523"/>
      <c r="FOR28" s="104"/>
      <c r="FOS28" s="521"/>
      <c r="FOT28" s="522"/>
      <c r="FOU28" s="522"/>
      <c r="FOV28" s="522"/>
      <c r="FOW28" s="523"/>
      <c r="FOX28" s="104"/>
      <c r="FOY28" s="521"/>
      <c r="FOZ28" s="522"/>
      <c r="FPA28" s="522"/>
      <c r="FPB28" s="522"/>
      <c r="FPC28" s="523"/>
      <c r="FPD28" s="104"/>
      <c r="FPE28" s="521"/>
      <c r="FPF28" s="522"/>
      <c r="FPG28" s="522"/>
      <c r="FPH28" s="522"/>
      <c r="FPI28" s="523"/>
      <c r="FPJ28" s="104"/>
      <c r="FPK28" s="521"/>
      <c r="FPL28" s="522"/>
      <c r="FPM28" s="522"/>
      <c r="FPN28" s="522"/>
      <c r="FPO28" s="523"/>
      <c r="FPP28" s="104"/>
      <c r="FPQ28" s="521"/>
      <c r="FPR28" s="522"/>
      <c r="FPS28" s="522"/>
      <c r="FPT28" s="522"/>
      <c r="FPU28" s="523"/>
      <c r="FPV28" s="104"/>
      <c r="FPW28" s="521"/>
      <c r="FPX28" s="522"/>
      <c r="FPY28" s="522"/>
      <c r="FPZ28" s="522"/>
      <c r="FQA28" s="523"/>
      <c r="FQB28" s="104"/>
      <c r="FQC28" s="521"/>
      <c r="FQD28" s="522"/>
      <c r="FQE28" s="522"/>
      <c r="FQF28" s="522"/>
      <c r="FQG28" s="523"/>
      <c r="FQH28" s="104"/>
      <c r="FQI28" s="521"/>
      <c r="FQJ28" s="522"/>
      <c r="FQK28" s="522"/>
      <c r="FQL28" s="522"/>
      <c r="FQM28" s="523"/>
      <c r="FQN28" s="104"/>
      <c r="FQO28" s="521"/>
      <c r="FQP28" s="522"/>
      <c r="FQQ28" s="522"/>
      <c r="FQR28" s="522"/>
      <c r="FQS28" s="523"/>
      <c r="FQT28" s="104"/>
      <c r="FQU28" s="521"/>
      <c r="FQV28" s="522"/>
      <c r="FQW28" s="522"/>
      <c r="FQX28" s="522"/>
      <c r="FQY28" s="523"/>
      <c r="FQZ28" s="104"/>
      <c r="FRA28" s="521"/>
      <c r="FRB28" s="522"/>
      <c r="FRC28" s="522"/>
      <c r="FRD28" s="522"/>
      <c r="FRE28" s="523"/>
      <c r="FRF28" s="104"/>
      <c r="FRG28" s="521"/>
      <c r="FRH28" s="522"/>
      <c r="FRI28" s="522"/>
      <c r="FRJ28" s="522"/>
      <c r="FRK28" s="523"/>
      <c r="FRL28" s="104"/>
      <c r="FRM28" s="521"/>
      <c r="FRN28" s="522"/>
      <c r="FRO28" s="522"/>
      <c r="FRP28" s="522"/>
      <c r="FRQ28" s="523"/>
      <c r="FRR28" s="104"/>
      <c r="FRS28" s="521"/>
      <c r="FRT28" s="522"/>
      <c r="FRU28" s="522"/>
      <c r="FRV28" s="522"/>
      <c r="FRW28" s="523"/>
      <c r="FRX28" s="104"/>
      <c r="FRY28" s="521"/>
      <c r="FRZ28" s="522"/>
      <c r="FSA28" s="522"/>
      <c r="FSB28" s="522"/>
      <c r="FSC28" s="523"/>
      <c r="FSD28" s="104"/>
      <c r="FSE28" s="521"/>
      <c r="FSF28" s="522"/>
      <c r="FSG28" s="522"/>
      <c r="FSH28" s="522"/>
      <c r="FSI28" s="523"/>
      <c r="FSJ28" s="104"/>
      <c r="FSK28" s="521"/>
      <c r="FSL28" s="522"/>
      <c r="FSM28" s="522"/>
      <c r="FSN28" s="522"/>
      <c r="FSO28" s="523"/>
      <c r="FSP28" s="104"/>
      <c r="FSQ28" s="521"/>
      <c r="FSR28" s="522"/>
      <c r="FSS28" s="522"/>
      <c r="FST28" s="522"/>
      <c r="FSU28" s="523"/>
      <c r="FSV28" s="104"/>
      <c r="FSW28" s="521"/>
      <c r="FSX28" s="522"/>
      <c r="FSY28" s="522"/>
      <c r="FSZ28" s="522"/>
      <c r="FTA28" s="523"/>
      <c r="FTB28" s="104"/>
      <c r="FTC28" s="521"/>
      <c r="FTD28" s="522"/>
      <c r="FTE28" s="522"/>
      <c r="FTF28" s="522"/>
      <c r="FTG28" s="523"/>
      <c r="FTH28" s="104"/>
      <c r="FTI28" s="521"/>
      <c r="FTJ28" s="522"/>
      <c r="FTK28" s="522"/>
      <c r="FTL28" s="522"/>
      <c r="FTM28" s="523"/>
      <c r="FTN28" s="104"/>
      <c r="FTO28" s="521"/>
      <c r="FTP28" s="522"/>
      <c r="FTQ28" s="522"/>
      <c r="FTR28" s="522"/>
      <c r="FTS28" s="523"/>
      <c r="FTT28" s="104"/>
      <c r="FTU28" s="521"/>
      <c r="FTV28" s="522"/>
      <c r="FTW28" s="522"/>
      <c r="FTX28" s="522"/>
      <c r="FTY28" s="523"/>
      <c r="FTZ28" s="104"/>
      <c r="FUA28" s="521"/>
      <c r="FUB28" s="522"/>
      <c r="FUC28" s="522"/>
      <c r="FUD28" s="522"/>
      <c r="FUE28" s="523"/>
      <c r="FUF28" s="104"/>
      <c r="FUG28" s="521"/>
      <c r="FUH28" s="522"/>
      <c r="FUI28" s="522"/>
      <c r="FUJ28" s="522"/>
      <c r="FUK28" s="523"/>
      <c r="FUL28" s="104"/>
      <c r="FUM28" s="521"/>
      <c r="FUN28" s="522"/>
      <c r="FUO28" s="522"/>
      <c r="FUP28" s="522"/>
      <c r="FUQ28" s="523"/>
      <c r="FUR28" s="104"/>
      <c r="FUS28" s="521"/>
      <c r="FUT28" s="522"/>
      <c r="FUU28" s="522"/>
      <c r="FUV28" s="522"/>
      <c r="FUW28" s="523"/>
      <c r="FUX28" s="104"/>
      <c r="FUY28" s="521"/>
      <c r="FUZ28" s="522"/>
      <c r="FVA28" s="522"/>
      <c r="FVB28" s="522"/>
      <c r="FVC28" s="523"/>
      <c r="FVD28" s="104"/>
      <c r="FVE28" s="521"/>
      <c r="FVF28" s="522"/>
      <c r="FVG28" s="522"/>
      <c r="FVH28" s="522"/>
      <c r="FVI28" s="523"/>
      <c r="FVJ28" s="104"/>
      <c r="FVK28" s="521"/>
      <c r="FVL28" s="522"/>
      <c r="FVM28" s="522"/>
      <c r="FVN28" s="522"/>
      <c r="FVO28" s="523"/>
      <c r="FVP28" s="104"/>
      <c r="FVQ28" s="521"/>
      <c r="FVR28" s="522"/>
      <c r="FVS28" s="522"/>
      <c r="FVT28" s="522"/>
      <c r="FVU28" s="523"/>
      <c r="FVV28" s="104"/>
      <c r="FVW28" s="521"/>
      <c r="FVX28" s="522"/>
      <c r="FVY28" s="522"/>
      <c r="FVZ28" s="522"/>
      <c r="FWA28" s="523"/>
      <c r="FWB28" s="104"/>
      <c r="FWC28" s="521"/>
      <c r="FWD28" s="522"/>
      <c r="FWE28" s="522"/>
      <c r="FWF28" s="522"/>
      <c r="FWG28" s="523"/>
      <c r="FWH28" s="104"/>
      <c r="FWI28" s="521"/>
      <c r="FWJ28" s="522"/>
      <c r="FWK28" s="522"/>
      <c r="FWL28" s="522"/>
      <c r="FWM28" s="523"/>
      <c r="FWN28" s="104"/>
      <c r="FWO28" s="521"/>
      <c r="FWP28" s="522"/>
      <c r="FWQ28" s="522"/>
      <c r="FWR28" s="522"/>
      <c r="FWS28" s="523"/>
      <c r="FWT28" s="104"/>
      <c r="FWU28" s="521"/>
      <c r="FWV28" s="522"/>
      <c r="FWW28" s="522"/>
      <c r="FWX28" s="522"/>
      <c r="FWY28" s="523"/>
      <c r="FWZ28" s="104"/>
      <c r="FXA28" s="521"/>
      <c r="FXB28" s="522"/>
      <c r="FXC28" s="522"/>
      <c r="FXD28" s="522"/>
      <c r="FXE28" s="523"/>
      <c r="FXF28" s="104"/>
      <c r="FXG28" s="521"/>
      <c r="FXH28" s="522"/>
      <c r="FXI28" s="522"/>
      <c r="FXJ28" s="522"/>
      <c r="FXK28" s="523"/>
      <c r="FXL28" s="104"/>
      <c r="FXM28" s="521"/>
      <c r="FXN28" s="522"/>
      <c r="FXO28" s="522"/>
      <c r="FXP28" s="522"/>
      <c r="FXQ28" s="523"/>
      <c r="FXR28" s="104"/>
      <c r="FXS28" s="521"/>
      <c r="FXT28" s="522"/>
      <c r="FXU28" s="522"/>
      <c r="FXV28" s="522"/>
      <c r="FXW28" s="523"/>
      <c r="FXX28" s="104"/>
      <c r="FXY28" s="521"/>
      <c r="FXZ28" s="522"/>
      <c r="FYA28" s="522"/>
      <c r="FYB28" s="522"/>
      <c r="FYC28" s="523"/>
      <c r="FYD28" s="104"/>
      <c r="FYE28" s="521"/>
      <c r="FYF28" s="522"/>
      <c r="FYG28" s="522"/>
      <c r="FYH28" s="522"/>
      <c r="FYI28" s="523"/>
      <c r="FYJ28" s="104"/>
      <c r="FYK28" s="521"/>
      <c r="FYL28" s="522"/>
      <c r="FYM28" s="522"/>
      <c r="FYN28" s="522"/>
      <c r="FYO28" s="523"/>
      <c r="FYP28" s="104"/>
      <c r="FYQ28" s="521"/>
      <c r="FYR28" s="522"/>
      <c r="FYS28" s="522"/>
      <c r="FYT28" s="522"/>
      <c r="FYU28" s="523"/>
      <c r="FYV28" s="104"/>
      <c r="FYW28" s="521"/>
      <c r="FYX28" s="522"/>
      <c r="FYY28" s="522"/>
      <c r="FYZ28" s="522"/>
      <c r="FZA28" s="523"/>
      <c r="FZB28" s="104"/>
      <c r="FZC28" s="521"/>
      <c r="FZD28" s="522"/>
      <c r="FZE28" s="522"/>
      <c r="FZF28" s="522"/>
      <c r="FZG28" s="523"/>
      <c r="FZH28" s="104"/>
      <c r="FZI28" s="521"/>
      <c r="FZJ28" s="522"/>
      <c r="FZK28" s="522"/>
      <c r="FZL28" s="522"/>
      <c r="FZM28" s="523"/>
      <c r="FZN28" s="104"/>
      <c r="FZO28" s="521"/>
      <c r="FZP28" s="522"/>
      <c r="FZQ28" s="522"/>
      <c r="FZR28" s="522"/>
      <c r="FZS28" s="523"/>
      <c r="FZT28" s="104"/>
      <c r="FZU28" s="521"/>
      <c r="FZV28" s="522"/>
      <c r="FZW28" s="522"/>
      <c r="FZX28" s="522"/>
      <c r="FZY28" s="523"/>
      <c r="FZZ28" s="104"/>
      <c r="GAA28" s="521"/>
      <c r="GAB28" s="522"/>
      <c r="GAC28" s="522"/>
      <c r="GAD28" s="522"/>
      <c r="GAE28" s="523"/>
      <c r="GAF28" s="104"/>
      <c r="GAG28" s="521"/>
      <c r="GAH28" s="522"/>
      <c r="GAI28" s="522"/>
      <c r="GAJ28" s="522"/>
      <c r="GAK28" s="523"/>
      <c r="GAL28" s="104"/>
      <c r="GAM28" s="521"/>
      <c r="GAN28" s="522"/>
      <c r="GAO28" s="522"/>
      <c r="GAP28" s="522"/>
      <c r="GAQ28" s="523"/>
      <c r="GAR28" s="104"/>
      <c r="GAS28" s="521"/>
      <c r="GAT28" s="522"/>
      <c r="GAU28" s="522"/>
      <c r="GAV28" s="522"/>
      <c r="GAW28" s="523"/>
      <c r="GAX28" s="104"/>
      <c r="GAY28" s="521"/>
      <c r="GAZ28" s="522"/>
      <c r="GBA28" s="522"/>
      <c r="GBB28" s="522"/>
      <c r="GBC28" s="523"/>
      <c r="GBD28" s="104"/>
      <c r="GBE28" s="521"/>
      <c r="GBF28" s="522"/>
      <c r="GBG28" s="522"/>
      <c r="GBH28" s="522"/>
      <c r="GBI28" s="523"/>
      <c r="GBJ28" s="104"/>
      <c r="GBK28" s="521"/>
      <c r="GBL28" s="522"/>
      <c r="GBM28" s="522"/>
      <c r="GBN28" s="522"/>
      <c r="GBO28" s="523"/>
      <c r="GBP28" s="104"/>
      <c r="GBQ28" s="521"/>
      <c r="GBR28" s="522"/>
      <c r="GBS28" s="522"/>
      <c r="GBT28" s="522"/>
      <c r="GBU28" s="523"/>
      <c r="GBV28" s="104"/>
      <c r="GBW28" s="521"/>
      <c r="GBX28" s="522"/>
      <c r="GBY28" s="522"/>
      <c r="GBZ28" s="522"/>
      <c r="GCA28" s="523"/>
      <c r="GCB28" s="104"/>
      <c r="GCC28" s="521"/>
      <c r="GCD28" s="522"/>
      <c r="GCE28" s="522"/>
      <c r="GCF28" s="522"/>
      <c r="GCG28" s="523"/>
      <c r="GCH28" s="104"/>
      <c r="GCI28" s="521"/>
      <c r="GCJ28" s="522"/>
      <c r="GCK28" s="522"/>
      <c r="GCL28" s="522"/>
      <c r="GCM28" s="523"/>
      <c r="GCN28" s="104"/>
      <c r="GCO28" s="521"/>
      <c r="GCP28" s="522"/>
      <c r="GCQ28" s="522"/>
      <c r="GCR28" s="522"/>
      <c r="GCS28" s="523"/>
      <c r="GCT28" s="104"/>
      <c r="GCU28" s="521"/>
      <c r="GCV28" s="522"/>
      <c r="GCW28" s="522"/>
      <c r="GCX28" s="522"/>
      <c r="GCY28" s="523"/>
      <c r="GCZ28" s="104"/>
      <c r="GDA28" s="521"/>
      <c r="GDB28" s="522"/>
      <c r="GDC28" s="522"/>
      <c r="GDD28" s="522"/>
      <c r="GDE28" s="523"/>
      <c r="GDF28" s="104"/>
      <c r="GDG28" s="521"/>
      <c r="GDH28" s="522"/>
      <c r="GDI28" s="522"/>
      <c r="GDJ28" s="522"/>
      <c r="GDK28" s="523"/>
      <c r="GDL28" s="104"/>
      <c r="GDM28" s="521"/>
      <c r="GDN28" s="522"/>
      <c r="GDO28" s="522"/>
      <c r="GDP28" s="522"/>
      <c r="GDQ28" s="523"/>
      <c r="GDR28" s="104"/>
      <c r="GDS28" s="521"/>
      <c r="GDT28" s="522"/>
      <c r="GDU28" s="522"/>
      <c r="GDV28" s="522"/>
      <c r="GDW28" s="523"/>
      <c r="GDX28" s="104"/>
      <c r="GDY28" s="521"/>
      <c r="GDZ28" s="522"/>
      <c r="GEA28" s="522"/>
      <c r="GEB28" s="522"/>
      <c r="GEC28" s="523"/>
      <c r="GED28" s="104"/>
      <c r="GEE28" s="521"/>
      <c r="GEF28" s="522"/>
      <c r="GEG28" s="522"/>
      <c r="GEH28" s="522"/>
      <c r="GEI28" s="523"/>
      <c r="GEJ28" s="104"/>
      <c r="GEK28" s="521"/>
      <c r="GEL28" s="522"/>
      <c r="GEM28" s="522"/>
      <c r="GEN28" s="522"/>
      <c r="GEO28" s="523"/>
      <c r="GEP28" s="104"/>
      <c r="GEQ28" s="521"/>
      <c r="GER28" s="522"/>
      <c r="GES28" s="522"/>
      <c r="GET28" s="522"/>
      <c r="GEU28" s="523"/>
      <c r="GEV28" s="104"/>
      <c r="GEW28" s="521"/>
      <c r="GEX28" s="522"/>
      <c r="GEY28" s="522"/>
      <c r="GEZ28" s="522"/>
      <c r="GFA28" s="523"/>
      <c r="GFB28" s="104"/>
      <c r="GFC28" s="521"/>
      <c r="GFD28" s="522"/>
      <c r="GFE28" s="522"/>
      <c r="GFF28" s="522"/>
      <c r="GFG28" s="523"/>
      <c r="GFH28" s="104"/>
      <c r="GFI28" s="521"/>
      <c r="GFJ28" s="522"/>
      <c r="GFK28" s="522"/>
      <c r="GFL28" s="522"/>
      <c r="GFM28" s="523"/>
      <c r="GFN28" s="104"/>
      <c r="GFO28" s="521"/>
      <c r="GFP28" s="522"/>
      <c r="GFQ28" s="522"/>
      <c r="GFR28" s="522"/>
      <c r="GFS28" s="523"/>
      <c r="GFT28" s="104"/>
      <c r="GFU28" s="521"/>
      <c r="GFV28" s="522"/>
      <c r="GFW28" s="522"/>
      <c r="GFX28" s="522"/>
      <c r="GFY28" s="523"/>
      <c r="GFZ28" s="104"/>
      <c r="GGA28" s="521"/>
      <c r="GGB28" s="522"/>
      <c r="GGC28" s="522"/>
      <c r="GGD28" s="522"/>
      <c r="GGE28" s="523"/>
      <c r="GGF28" s="104"/>
      <c r="GGG28" s="521"/>
      <c r="GGH28" s="522"/>
      <c r="GGI28" s="522"/>
      <c r="GGJ28" s="522"/>
      <c r="GGK28" s="523"/>
      <c r="GGL28" s="104"/>
      <c r="GGM28" s="521"/>
      <c r="GGN28" s="522"/>
      <c r="GGO28" s="522"/>
      <c r="GGP28" s="522"/>
      <c r="GGQ28" s="523"/>
      <c r="GGR28" s="104"/>
      <c r="GGS28" s="521"/>
      <c r="GGT28" s="522"/>
      <c r="GGU28" s="522"/>
      <c r="GGV28" s="522"/>
      <c r="GGW28" s="523"/>
      <c r="GGX28" s="104"/>
      <c r="GGY28" s="521"/>
      <c r="GGZ28" s="522"/>
      <c r="GHA28" s="522"/>
      <c r="GHB28" s="522"/>
      <c r="GHC28" s="523"/>
      <c r="GHD28" s="104"/>
      <c r="GHE28" s="521"/>
      <c r="GHF28" s="522"/>
      <c r="GHG28" s="522"/>
      <c r="GHH28" s="522"/>
      <c r="GHI28" s="523"/>
      <c r="GHJ28" s="104"/>
      <c r="GHK28" s="521"/>
      <c r="GHL28" s="522"/>
      <c r="GHM28" s="522"/>
      <c r="GHN28" s="522"/>
      <c r="GHO28" s="523"/>
      <c r="GHP28" s="104"/>
      <c r="GHQ28" s="521"/>
      <c r="GHR28" s="522"/>
      <c r="GHS28" s="522"/>
      <c r="GHT28" s="522"/>
      <c r="GHU28" s="523"/>
      <c r="GHV28" s="104"/>
      <c r="GHW28" s="521"/>
      <c r="GHX28" s="522"/>
      <c r="GHY28" s="522"/>
      <c r="GHZ28" s="522"/>
      <c r="GIA28" s="523"/>
      <c r="GIB28" s="104"/>
      <c r="GIC28" s="521"/>
      <c r="GID28" s="522"/>
      <c r="GIE28" s="522"/>
      <c r="GIF28" s="522"/>
      <c r="GIG28" s="523"/>
      <c r="GIH28" s="104"/>
      <c r="GII28" s="521"/>
      <c r="GIJ28" s="522"/>
      <c r="GIK28" s="522"/>
      <c r="GIL28" s="522"/>
      <c r="GIM28" s="523"/>
      <c r="GIN28" s="104"/>
      <c r="GIO28" s="521"/>
      <c r="GIP28" s="522"/>
      <c r="GIQ28" s="522"/>
      <c r="GIR28" s="522"/>
      <c r="GIS28" s="523"/>
      <c r="GIT28" s="104"/>
      <c r="GIU28" s="521"/>
      <c r="GIV28" s="522"/>
      <c r="GIW28" s="522"/>
      <c r="GIX28" s="522"/>
      <c r="GIY28" s="523"/>
      <c r="GIZ28" s="104"/>
      <c r="GJA28" s="521"/>
      <c r="GJB28" s="522"/>
      <c r="GJC28" s="522"/>
      <c r="GJD28" s="522"/>
      <c r="GJE28" s="523"/>
      <c r="GJF28" s="104"/>
      <c r="GJG28" s="521"/>
      <c r="GJH28" s="522"/>
      <c r="GJI28" s="522"/>
      <c r="GJJ28" s="522"/>
      <c r="GJK28" s="523"/>
      <c r="GJL28" s="104"/>
      <c r="GJM28" s="521"/>
      <c r="GJN28" s="522"/>
      <c r="GJO28" s="522"/>
      <c r="GJP28" s="522"/>
      <c r="GJQ28" s="523"/>
      <c r="GJR28" s="104"/>
      <c r="GJS28" s="521"/>
      <c r="GJT28" s="522"/>
      <c r="GJU28" s="522"/>
      <c r="GJV28" s="522"/>
      <c r="GJW28" s="523"/>
      <c r="GJX28" s="104"/>
      <c r="GJY28" s="521"/>
      <c r="GJZ28" s="522"/>
      <c r="GKA28" s="522"/>
      <c r="GKB28" s="522"/>
      <c r="GKC28" s="523"/>
      <c r="GKD28" s="104"/>
      <c r="GKE28" s="521"/>
      <c r="GKF28" s="522"/>
      <c r="GKG28" s="522"/>
      <c r="GKH28" s="522"/>
      <c r="GKI28" s="523"/>
      <c r="GKJ28" s="104"/>
      <c r="GKK28" s="521"/>
      <c r="GKL28" s="522"/>
      <c r="GKM28" s="522"/>
      <c r="GKN28" s="522"/>
      <c r="GKO28" s="523"/>
      <c r="GKP28" s="104"/>
      <c r="GKQ28" s="521"/>
      <c r="GKR28" s="522"/>
      <c r="GKS28" s="522"/>
      <c r="GKT28" s="522"/>
      <c r="GKU28" s="523"/>
      <c r="GKV28" s="104"/>
      <c r="GKW28" s="521"/>
      <c r="GKX28" s="522"/>
      <c r="GKY28" s="522"/>
      <c r="GKZ28" s="522"/>
      <c r="GLA28" s="523"/>
      <c r="GLB28" s="104"/>
      <c r="GLC28" s="521"/>
      <c r="GLD28" s="522"/>
      <c r="GLE28" s="522"/>
      <c r="GLF28" s="522"/>
      <c r="GLG28" s="523"/>
      <c r="GLH28" s="104"/>
      <c r="GLI28" s="521"/>
      <c r="GLJ28" s="522"/>
      <c r="GLK28" s="522"/>
      <c r="GLL28" s="522"/>
      <c r="GLM28" s="523"/>
      <c r="GLN28" s="104"/>
      <c r="GLO28" s="521"/>
      <c r="GLP28" s="522"/>
      <c r="GLQ28" s="522"/>
      <c r="GLR28" s="522"/>
      <c r="GLS28" s="523"/>
      <c r="GLT28" s="104"/>
      <c r="GLU28" s="521"/>
      <c r="GLV28" s="522"/>
      <c r="GLW28" s="522"/>
      <c r="GLX28" s="522"/>
      <c r="GLY28" s="523"/>
      <c r="GLZ28" s="104"/>
      <c r="GMA28" s="521"/>
      <c r="GMB28" s="522"/>
      <c r="GMC28" s="522"/>
      <c r="GMD28" s="522"/>
      <c r="GME28" s="523"/>
      <c r="GMF28" s="104"/>
      <c r="GMG28" s="521"/>
      <c r="GMH28" s="522"/>
      <c r="GMI28" s="522"/>
      <c r="GMJ28" s="522"/>
      <c r="GMK28" s="523"/>
      <c r="GML28" s="104"/>
      <c r="GMM28" s="521"/>
      <c r="GMN28" s="522"/>
      <c r="GMO28" s="522"/>
      <c r="GMP28" s="522"/>
      <c r="GMQ28" s="523"/>
      <c r="GMR28" s="104"/>
      <c r="GMS28" s="521"/>
      <c r="GMT28" s="522"/>
      <c r="GMU28" s="522"/>
      <c r="GMV28" s="522"/>
      <c r="GMW28" s="523"/>
      <c r="GMX28" s="104"/>
      <c r="GMY28" s="521"/>
      <c r="GMZ28" s="522"/>
      <c r="GNA28" s="522"/>
      <c r="GNB28" s="522"/>
      <c r="GNC28" s="523"/>
      <c r="GND28" s="104"/>
      <c r="GNE28" s="521"/>
      <c r="GNF28" s="522"/>
      <c r="GNG28" s="522"/>
      <c r="GNH28" s="522"/>
      <c r="GNI28" s="523"/>
      <c r="GNJ28" s="104"/>
      <c r="GNK28" s="521"/>
      <c r="GNL28" s="522"/>
      <c r="GNM28" s="522"/>
      <c r="GNN28" s="522"/>
      <c r="GNO28" s="523"/>
      <c r="GNP28" s="104"/>
      <c r="GNQ28" s="521"/>
      <c r="GNR28" s="522"/>
      <c r="GNS28" s="522"/>
      <c r="GNT28" s="522"/>
      <c r="GNU28" s="523"/>
      <c r="GNV28" s="104"/>
      <c r="GNW28" s="521"/>
      <c r="GNX28" s="522"/>
      <c r="GNY28" s="522"/>
      <c r="GNZ28" s="522"/>
      <c r="GOA28" s="523"/>
      <c r="GOB28" s="104"/>
      <c r="GOC28" s="521"/>
      <c r="GOD28" s="522"/>
      <c r="GOE28" s="522"/>
      <c r="GOF28" s="522"/>
      <c r="GOG28" s="523"/>
      <c r="GOH28" s="104"/>
      <c r="GOI28" s="521"/>
      <c r="GOJ28" s="522"/>
      <c r="GOK28" s="522"/>
      <c r="GOL28" s="522"/>
      <c r="GOM28" s="523"/>
      <c r="GON28" s="104"/>
      <c r="GOO28" s="521"/>
      <c r="GOP28" s="522"/>
      <c r="GOQ28" s="522"/>
      <c r="GOR28" s="522"/>
      <c r="GOS28" s="523"/>
      <c r="GOT28" s="104"/>
      <c r="GOU28" s="521"/>
      <c r="GOV28" s="522"/>
      <c r="GOW28" s="522"/>
      <c r="GOX28" s="522"/>
      <c r="GOY28" s="523"/>
      <c r="GOZ28" s="104"/>
      <c r="GPA28" s="521"/>
      <c r="GPB28" s="522"/>
      <c r="GPC28" s="522"/>
      <c r="GPD28" s="522"/>
      <c r="GPE28" s="523"/>
      <c r="GPF28" s="104"/>
      <c r="GPG28" s="521"/>
      <c r="GPH28" s="522"/>
      <c r="GPI28" s="522"/>
      <c r="GPJ28" s="522"/>
      <c r="GPK28" s="523"/>
      <c r="GPL28" s="104"/>
      <c r="GPM28" s="521"/>
      <c r="GPN28" s="522"/>
      <c r="GPO28" s="522"/>
      <c r="GPP28" s="522"/>
      <c r="GPQ28" s="523"/>
      <c r="GPR28" s="104"/>
      <c r="GPS28" s="521"/>
      <c r="GPT28" s="522"/>
      <c r="GPU28" s="522"/>
      <c r="GPV28" s="522"/>
      <c r="GPW28" s="523"/>
      <c r="GPX28" s="104"/>
      <c r="GPY28" s="521"/>
      <c r="GPZ28" s="522"/>
      <c r="GQA28" s="522"/>
      <c r="GQB28" s="522"/>
      <c r="GQC28" s="523"/>
      <c r="GQD28" s="104"/>
      <c r="GQE28" s="521"/>
      <c r="GQF28" s="522"/>
      <c r="GQG28" s="522"/>
      <c r="GQH28" s="522"/>
      <c r="GQI28" s="523"/>
      <c r="GQJ28" s="104"/>
      <c r="GQK28" s="521"/>
      <c r="GQL28" s="522"/>
      <c r="GQM28" s="522"/>
      <c r="GQN28" s="522"/>
      <c r="GQO28" s="523"/>
      <c r="GQP28" s="104"/>
      <c r="GQQ28" s="521"/>
      <c r="GQR28" s="522"/>
      <c r="GQS28" s="522"/>
      <c r="GQT28" s="522"/>
      <c r="GQU28" s="523"/>
      <c r="GQV28" s="104"/>
      <c r="GQW28" s="521"/>
      <c r="GQX28" s="522"/>
      <c r="GQY28" s="522"/>
      <c r="GQZ28" s="522"/>
      <c r="GRA28" s="523"/>
      <c r="GRB28" s="104"/>
      <c r="GRC28" s="521"/>
      <c r="GRD28" s="522"/>
      <c r="GRE28" s="522"/>
      <c r="GRF28" s="522"/>
      <c r="GRG28" s="523"/>
      <c r="GRH28" s="104"/>
      <c r="GRI28" s="521"/>
      <c r="GRJ28" s="522"/>
      <c r="GRK28" s="522"/>
      <c r="GRL28" s="522"/>
      <c r="GRM28" s="523"/>
      <c r="GRN28" s="104"/>
      <c r="GRO28" s="521"/>
      <c r="GRP28" s="522"/>
      <c r="GRQ28" s="522"/>
      <c r="GRR28" s="522"/>
      <c r="GRS28" s="523"/>
      <c r="GRT28" s="104"/>
      <c r="GRU28" s="521"/>
      <c r="GRV28" s="522"/>
      <c r="GRW28" s="522"/>
      <c r="GRX28" s="522"/>
      <c r="GRY28" s="523"/>
      <c r="GRZ28" s="104"/>
      <c r="GSA28" s="521"/>
      <c r="GSB28" s="522"/>
      <c r="GSC28" s="522"/>
      <c r="GSD28" s="522"/>
      <c r="GSE28" s="523"/>
      <c r="GSF28" s="104"/>
      <c r="GSG28" s="521"/>
      <c r="GSH28" s="522"/>
      <c r="GSI28" s="522"/>
      <c r="GSJ28" s="522"/>
      <c r="GSK28" s="523"/>
      <c r="GSL28" s="104"/>
      <c r="GSM28" s="521"/>
      <c r="GSN28" s="522"/>
      <c r="GSO28" s="522"/>
      <c r="GSP28" s="522"/>
      <c r="GSQ28" s="523"/>
      <c r="GSR28" s="104"/>
      <c r="GSS28" s="521"/>
      <c r="GST28" s="522"/>
      <c r="GSU28" s="522"/>
      <c r="GSV28" s="522"/>
      <c r="GSW28" s="523"/>
      <c r="GSX28" s="104"/>
      <c r="GSY28" s="521"/>
      <c r="GSZ28" s="522"/>
      <c r="GTA28" s="522"/>
      <c r="GTB28" s="522"/>
      <c r="GTC28" s="523"/>
      <c r="GTD28" s="104"/>
      <c r="GTE28" s="521"/>
      <c r="GTF28" s="522"/>
      <c r="GTG28" s="522"/>
      <c r="GTH28" s="522"/>
      <c r="GTI28" s="523"/>
      <c r="GTJ28" s="104"/>
      <c r="GTK28" s="521"/>
      <c r="GTL28" s="522"/>
      <c r="GTM28" s="522"/>
      <c r="GTN28" s="522"/>
      <c r="GTO28" s="523"/>
      <c r="GTP28" s="104"/>
      <c r="GTQ28" s="521"/>
      <c r="GTR28" s="522"/>
      <c r="GTS28" s="522"/>
      <c r="GTT28" s="522"/>
      <c r="GTU28" s="523"/>
      <c r="GTV28" s="104"/>
      <c r="GTW28" s="521"/>
      <c r="GTX28" s="522"/>
      <c r="GTY28" s="522"/>
      <c r="GTZ28" s="522"/>
      <c r="GUA28" s="523"/>
      <c r="GUB28" s="104"/>
      <c r="GUC28" s="521"/>
      <c r="GUD28" s="522"/>
      <c r="GUE28" s="522"/>
      <c r="GUF28" s="522"/>
      <c r="GUG28" s="523"/>
      <c r="GUH28" s="104"/>
      <c r="GUI28" s="521"/>
      <c r="GUJ28" s="522"/>
      <c r="GUK28" s="522"/>
      <c r="GUL28" s="522"/>
      <c r="GUM28" s="523"/>
      <c r="GUN28" s="104"/>
      <c r="GUO28" s="521"/>
      <c r="GUP28" s="522"/>
      <c r="GUQ28" s="522"/>
      <c r="GUR28" s="522"/>
      <c r="GUS28" s="523"/>
      <c r="GUT28" s="104"/>
      <c r="GUU28" s="521"/>
      <c r="GUV28" s="522"/>
      <c r="GUW28" s="522"/>
      <c r="GUX28" s="522"/>
      <c r="GUY28" s="523"/>
      <c r="GUZ28" s="104"/>
      <c r="GVA28" s="521"/>
      <c r="GVB28" s="522"/>
      <c r="GVC28" s="522"/>
      <c r="GVD28" s="522"/>
      <c r="GVE28" s="523"/>
      <c r="GVF28" s="104"/>
      <c r="GVG28" s="521"/>
      <c r="GVH28" s="522"/>
      <c r="GVI28" s="522"/>
      <c r="GVJ28" s="522"/>
      <c r="GVK28" s="523"/>
      <c r="GVL28" s="104"/>
      <c r="GVM28" s="521"/>
      <c r="GVN28" s="522"/>
      <c r="GVO28" s="522"/>
      <c r="GVP28" s="522"/>
      <c r="GVQ28" s="523"/>
      <c r="GVR28" s="104"/>
      <c r="GVS28" s="521"/>
      <c r="GVT28" s="522"/>
      <c r="GVU28" s="522"/>
      <c r="GVV28" s="522"/>
      <c r="GVW28" s="523"/>
      <c r="GVX28" s="104"/>
      <c r="GVY28" s="521"/>
      <c r="GVZ28" s="522"/>
      <c r="GWA28" s="522"/>
      <c r="GWB28" s="522"/>
      <c r="GWC28" s="523"/>
      <c r="GWD28" s="104"/>
      <c r="GWE28" s="521"/>
      <c r="GWF28" s="522"/>
      <c r="GWG28" s="522"/>
      <c r="GWH28" s="522"/>
      <c r="GWI28" s="523"/>
      <c r="GWJ28" s="104"/>
      <c r="GWK28" s="521"/>
      <c r="GWL28" s="522"/>
      <c r="GWM28" s="522"/>
      <c r="GWN28" s="522"/>
      <c r="GWO28" s="523"/>
      <c r="GWP28" s="104"/>
      <c r="GWQ28" s="521"/>
      <c r="GWR28" s="522"/>
      <c r="GWS28" s="522"/>
      <c r="GWT28" s="522"/>
      <c r="GWU28" s="523"/>
      <c r="GWV28" s="104"/>
      <c r="GWW28" s="521"/>
      <c r="GWX28" s="522"/>
      <c r="GWY28" s="522"/>
      <c r="GWZ28" s="522"/>
      <c r="GXA28" s="523"/>
      <c r="GXB28" s="104"/>
      <c r="GXC28" s="521"/>
      <c r="GXD28" s="522"/>
      <c r="GXE28" s="522"/>
      <c r="GXF28" s="522"/>
      <c r="GXG28" s="523"/>
      <c r="GXH28" s="104"/>
      <c r="GXI28" s="521"/>
      <c r="GXJ28" s="522"/>
      <c r="GXK28" s="522"/>
      <c r="GXL28" s="522"/>
      <c r="GXM28" s="523"/>
      <c r="GXN28" s="104"/>
      <c r="GXO28" s="521"/>
      <c r="GXP28" s="522"/>
      <c r="GXQ28" s="522"/>
      <c r="GXR28" s="522"/>
      <c r="GXS28" s="523"/>
      <c r="GXT28" s="104"/>
      <c r="GXU28" s="521"/>
      <c r="GXV28" s="522"/>
      <c r="GXW28" s="522"/>
      <c r="GXX28" s="522"/>
      <c r="GXY28" s="523"/>
      <c r="GXZ28" s="104"/>
      <c r="GYA28" s="521"/>
      <c r="GYB28" s="522"/>
      <c r="GYC28" s="522"/>
      <c r="GYD28" s="522"/>
      <c r="GYE28" s="523"/>
      <c r="GYF28" s="104"/>
      <c r="GYG28" s="521"/>
      <c r="GYH28" s="522"/>
      <c r="GYI28" s="522"/>
      <c r="GYJ28" s="522"/>
      <c r="GYK28" s="523"/>
      <c r="GYL28" s="104"/>
      <c r="GYM28" s="521"/>
      <c r="GYN28" s="522"/>
      <c r="GYO28" s="522"/>
      <c r="GYP28" s="522"/>
      <c r="GYQ28" s="523"/>
      <c r="GYR28" s="104"/>
      <c r="GYS28" s="521"/>
      <c r="GYT28" s="522"/>
      <c r="GYU28" s="522"/>
      <c r="GYV28" s="522"/>
      <c r="GYW28" s="523"/>
      <c r="GYX28" s="104"/>
      <c r="GYY28" s="521"/>
      <c r="GYZ28" s="522"/>
      <c r="GZA28" s="522"/>
      <c r="GZB28" s="522"/>
      <c r="GZC28" s="523"/>
      <c r="GZD28" s="104"/>
      <c r="GZE28" s="521"/>
      <c r="GZF28" s="522"/>
      <c r="GZG28" s="522"/>
      <c r="GZH28" s="522"/>
      <c r="GZI28" s="523"/>
      <c r="GZJ28" s="104"/>
      <c r="GZK28" s="521"/>
      <c r="GZL28" s="522"/>
      <c r="GZM28" s="522"/>
      <c r="GZN28" s="522"/>
      <c r="GZO28" s="523"/>
      <c r="GZP28" s="104"/>
      <c r="GZQ28" s="521"/>
      <c r="GZR28" s="522"/>
      <c r="GZS28" s="522"/>
      <c r="GZT28" s="522"/>
      <c r="GZU28" s="523"/>
      <c r="GZV28" s="104"/>
      <c r="GZW28" s="521"/>
      <c r="GZX28" s="522"/>
      <c r="GZY28" s="522"/>
      <c r="GZZ28" s="522"/>
      <c r="HAA28" s="523"/>
      <c r="HAB28" s="104"/>
      <c r="HAC28" s="521"/>
      <c r="HAD28" s="522"/>
      <c r="HAE28" s="522"/>
      <c r="HAF28" s="522"/>
      <c r="HAG28" s="523"/>
      <c r="HAH28" s="104"/>
      <c r="HAI28" s="521"/>
      <c r="HAJ28" s="522"/>
      <c r="HAK28" s="522"/>
      <c r="HAL28" s="522"/>
      <c r="HAM28" s="523"/>
      <c r="HAN28" s="104"/>
      <c r="HAO28" s="521"/>
      <c r="HAP28" s="522"/>
      <c r="HAQ28" s="522"/>
      <c r="HAR28" s="522"/>
      <c r="HAS28" s="523"/>
      <c r="HAT28" s="104"/>
      <c r="HAU28" s="521"/>
      <c r="HAV28" s="522"/>
      <c r="HAW28" s="522"/>
      <c r="HAX28" s="522"/>
      <c r="HAY28" s="523"/>
      <c r="HAZ28" s="104"/>
      <c r="HBA28" s="521"/>
      <c r="HBB28" s="522"/>
      <c r="HBC28" s="522"/>
      <c r="HBD28" s="522"/>
      <c r="HBE28" s="523"/>
      <c r="HBF28" s="104"/>
      <c r="HBG28" s="521"/>
      <c r="HBH28" s="522"/>
      <c r="HBI28" s="522"/>
      <c r="HBJ28" s="522"/>
      <c r="HBK28" s="523"/>
      <c r="HBL28" s="104"/>
      <c r="HBM28" s="521"/>
      <c r="HBN28" s="522"/>
      <c r="HBO28" s="522"/>
      <c r="HBP28" s="522"/>
      <c r="HBQ28" s="523"/>
      <c r="HBR28" s="104"/>
      <c r="HBS28" s="521"/>
      <c r="HBT28" s="522"/>
      <c r="HBU28" s="522"/>
      <c r="HBV28" s="522"/>
      <c r="HBW28" s="523"/>
      <c r="HBX28" s="104"/>
      <c r="HBY28" s="521"/>
      <c r="HBZ28" s="522"/>
      <c r="HCA28" s="522"/>
      <c r="HCB28" s="522"/>
      <c r="HCC28" s="523"/>
      <c r="HCD28" s="104"/>
      <c r="HCE28" s="521"/>
      <c r="HCF28" s="522"/>
      <c r="HCG28" s="522"/>
      <c r="HCH28" s="522"/>
      <c r="HCI28" s="523"/>
      <c r="HCJ28" s="104"/>
      <c r="HCK28" s="521"/>
      <c r="HCL28" s="522"/>
      <c r="HCM28" s="522"/>
      <c r="HCN28" s="522"/>
      <c r="HCO28" s="523"/>
      <c r="HCP28" s="104"/>
      <c r="HCQ28" s="521"/>
      <c r="HCR28" s="522"/>
      <c r="HCS28" s="522"/>
      <c r="HCT28" s="522"/>
      <c r="HCU28" s="523"/>
      <c r="HCV28" s="104"/>
      <c r="HCW28" s="521"/>
      <c r="HCX28" s="522"/>
      <c r="HCY28" s="522"/>
      <c r="HCZ28" s="522"/>
      <c r="HDA28" s="523"/>
      <c r="HDB28" s="104"/>
      <c r="HDC28" s="521"/>
      <c r="HDD28" s="522"/>
      <c r="HDE28" s="522"/>
      <c r="HDF28" s="522"/>
      <c r="HDG28" s="523"/>
      <c r="HDH28" s="104"/>
      <c r="HDI28" s="521"/>
      <c r="HDJ28" s="522"/>
      <c r="HDK28" s="522"/>
      <c r="HDL28" s="522"/>
      <c r="HDM28" s="523"/>
      <c r="HDN28" s="104"/>
      <c r="HDO28" s="521"/>
      <c r="HDP28" s="522"/>
      <c r="HDQ28" s="522"/>
      <c r="HDR28" s="522"/>
      <c r="HDS28" s="523"/>
      <c r="HDT28" s="104"/>
      <c r="HDU28" s="521"/>
      <c r="HDV28" s="522"/>
      <c r="HDW28" s="522"/>
      <c r="HDX28" s="522"/>
      <c r="HDY28" s="523"/>
      <c r="HDZ28" s="104"/>
      <c r="HEA28" s="521"/>
      <c r="HEB28" s="522"/>
      <c r="HEC28" s="522"/>
      <c r="HED28" s="522"/>
      <c r="HEE28" s="523"/>
      <c r="HEF28" s="104"/>
      <c r="HEG28" s="521"/>
      <c r="HEH28" s="522"/>
      <c r="HEI28" s="522"/>
      <c r="HEJ28" s="522"/>
      <c r="HEK28" s="523"/>
      <c r="HEL28" s="104"/>
      <c r="HEM28" s="521"/>
      <c r="HEN28" s="522"/>
      <c r="HEO28" s="522"/>
      <c r="HEP28" s="522"/>
      <c r="HEQ28" s="523"/>
      <c r="HER28" s="104"/>
      <c r="HES28" s="521"/>
      <c r="HET28" s="522"/>
      <c r="HEU28" s="522"/>
      <c r="HEV28" s="522"/>
      <c r="HEW28" s="523"/>
      <c r="HEX28" s="104"/>
      <c r="HEY28" s="521"/>
      <c r="HEZ28" s="522"/>
      <c r="HFA28" s="522"/>
      <c r="HFB28" s="522"/>
      <c r="HFC28" s="523"/>
      <c r="HFD28" s="104"/>
      <c r="HFE28" s="521"/>
      <c r="HFF28" s="522"/>
      <c r="HFG28" s="522"/>
      <c r="HFH28" s="522"/>
      <c r="HFI28" s="523"/>
      <c r="HFJ28" s="104"/>
      <c r="HFK28" s="521"/>
      <c r="HFL28" s="522"/>
      <c r="HFM28" s="522"/>
      <c r="HFN28" s="522"/>
      <c r="HFO28" s="523"/>
      <c r="HFP28" s="104"/>
      <c r="HFQ28" s="521"/>
      <c r="HFR28" s="522"/>
      <c r="HFS28" s="522"/>
      <c r="HFT28" s="522"/>
      <c r="HFU28" s="523"/>
      <c r="HFV28" s="104"/>
      <c r="HFW28" s="521"/>
      <c r="HFX28" s="522"/>
      <c r="HFY28" s="522"/>
      <c r="HFZ28" s="522"/>
      <c r="HGA28" s="523"/>
      <c r="HGB28" s="104"/>
      <c r="HGC28" s="521"/>
      <c r="HGD28" s="522"/>
      <c r="HGE28" s="522"/>
      <c r="HGF28" s="522"/>
      <c r="HGG28" s="523"/>
      <c r="HGH28" s="104"/>
      <c r="HGI28" s="521"/>
      <c r="HGJ28" s="522"/>
      <c r="HGK28" s="522"/>
      <c r="HGL28" s="522"/>
      <c r="HGM28" s="523"/>
      <c r="HGN28" s="104"/>
      <c r="HGO28" s="521"/>
      <c r="HGP28" s="522"/>
      <c r="HGQ28" s="522"/>
      <c r="HGR28" s="522"/>
      <c r="HGS28" s="523"/>
      <c r="HGT28" s="104"/>
      <c r="HGU28" s="521"/>
      <c r="HGV28" s="522"/>
      <c r="HGW28" s="522"/>
      <c r="HGX28" s="522"/>
      <c r="HGY28" s="523"/>
      <c r="HGZ28" s="104"/>
      <c r="HHA28" s="521"/>
      <c r="HHB28" s="522"/>
      <c r="HHC28" s="522"/>
      <c r="HHD28" s="522"/>
      <c r="HHE28" s="523"/>
      <c r="HHF28" s="104"/>
      <c r="HHG28" s="521"/>
      <c r="HHH28" s="522"/>
      <c r="HHI28" s="522"/>
      <c r="HHJ28" s="522"/>
      <c r="HHK28" s="523"/>
      <c r="HHL28" s="104"/>
      <c r="HHM28" s="521"/>
      <c r="HHN28" s="522"/>
      <c r="HHO28" s="522"/>
      <c r="HHP28" s="522"/>
      <c r="HHQ28" s="523"/>
      <c r="HHR28" s="104"/>
      <c r="HHS28" s="521"/>
      <c r="HHT28" s="522"/>
      <c r="HHU28" s="522"/>
      <c r="HHV28" s="522"/>
      <c r="HHW28" s="523"/>
      <c r="HHX28" s="104"/>
      <c r="HHY28" s="521"/>
      <c r="HHZ28" s="522"/>
      <c r="HIA28" s="522"/>
      <c r="HIB28" s="522"/>
      <c r="HIC28" s="523"/>
      <c r="HID28" s="104"/>
      <c r="HIE28" s="521"/>
      <c r="HIF28" s="522"/>
      <c r="HIG28" s="522"/>
      <c r="HIH28" s="522"/>
      <c r="HII28" s="523"/>
      <c r="HIJ28" s="104"/>
      <c r="HIK28" s="521"/>
      <c r="HIL28" s="522"/>
      <c r="HIM28" s="522"/>
      <c r="HIN28" s="522"/>
      <c r="HIO28" s="523"/>
      <c r="HIP28" s="104"/>
      <c r="HIQ28" s="521"/>
      <c r="HIR28" s="522"/>
      <c r="HIS28" s="522"/>
      <c r="HIT28" s="522"/>
      <c r="HIU28" s="523"/>
      <c r="HIV28" s="104"/>
      <c r="HIW28" s="521"/>
      <c r="HIX28" s="522"/>
      <c r="HIY28" s="522"/>
      <c r="HIZ28" s="522"/>
      <c r="HJA28" s="523"/>
      <c r="HJB28" s="104"/>
      <c r="HJC28" s="521"/>
      <c r="HJD28" s="522"/>
      <c r="HJE28" s="522"/>
      <c r="HJF28" s="522"/>
      <c r="HJG28" s="523"/>
      <c r="HJH28" s="104"/>
      <c r="HJI28" s="521"/>
      <c r="HJJ28" s="522"/>
      <c r="HJK28" s="522"/>
      <c r="HJL28" s="522"/>
      <c r="HJM28" s="523"/>
      <c r="HJN28" s="104"/>
      <c r="HJO28" s="521"/>
      <c r="HJP28" s="522"/>
      <c r="HJQ28" s="522"/>
      <c r="HJR28" s="522"/>
      <c r="HJS28" s="523"/>
      <c r="HJT28" s="104"/>
      <c r="HJU28" s="521"/>
      <c r="HJV28" s="522"/>
      <c r="HJW28" s="522"/>
      <c r="HJX28" s="522"/>
      <c r="HJY28" s="523"/>
      <c r="HJZ28" s="104"/>
      <c r="HKA28" s="521"/>
      <c r="HKB28" s="522"/>
      <c r="HKC28" s="522"/>
      <c r="HKD28" s="522"/>
      <c r="HKE28" s="523"/>
      <c r="HKF28" s="104"/>
      <c r="HKG28" s="521"/>
      <c r="HKH28" s="522"/>
      <c r="HKI28" s="522"/>
      <c r="HKJ28" s="522"/>
      <c r="HKK28" s="523"/>
      <c r="HKL28" s="104"/>
      <c r="HKM28" s="521"/>
      <c r="HKN28" s="522"/>
      <c r="HKO28" s="522"/>
      <c r="HKP28" s="522"/>
      <c r="HKQ28" s="523"/>
      <c r="HKR28" s="104"/>
      <c r="HKS28" s="521"/>
      <c r="HKT28" s="522"/>
      <c r="HKU28" s="522"/>
      <c r="HKV28" s="522"/>
      <c r="HKW28" s="523"/>
      <c r="HKX28" s="104"/>
      <c r="HKY28" s="521"/>
      <c r="HKZ28" s="522"/>
      <c r="HLA28" s="522"/>
      <c r="HLB28" s="522"/>
      <c r="HLC28" s="523"/>
      <c r="HLD28" s="104"/>
      <c r="HLE28" s="521"/>
      <c r="HLF28" s="522"/>
      <c r="HLG28" s="522"/>
      <c r="HLH28" s="522"/>
      <c r="HLI28" s="523"/>
      <c r="HLJ28" s="104"/>
      <c r="HLK28" s="521"/>
      <c r="HLL28" s="522"/>
      <c r="HLM28" s="522"/>
      <c r="HLN28" s="522"/>
      <c r="HLO28" s="523"/>
      <c r="HLP28" s="104"/>
      <c r="HLQ28" s="521"/>
      <c r="HLR28" s="522"/>
      <c r="HLS28" s="522"/>
      <c r="HLT28" s="522"/>
      <c r="HLU28" s="523"/>
      <c r="HLV28" s="104"/>
      <c r="HLW28" s="521"/>
      <c r="HLX28" s="522"/>
      <c r="HLY28" s="522"/>
      <c r="HLZ28" s="522"/>
      <c r="HMA28" s="523"/>
      <c r="HMB28" s="104"/>
      <c r="HMC28" s="521"/>
      <c r="HMD28" s="522"/>
      <c r="HME28" s="522"/>
      <c r="HMF28" s="522"/>
      <c r="HMG28" s="523"/>
      <c r="HMH28" s="104"/>
      <c r="HMI28" s="521"/>
      <c r="HMJ28" s="522"/>
      <c r="HMK28" s="522"/>
      <c r="HML28" s="522"/>
      <c r="HMM28" s="523"/>
      <c r="HMN28" s="104"/>
      <c r="HMO28" s="521"/>
      <c r="HMP28" s="522"/>
      <c r="HMQ28" s="522"/>
      <c r="HMR28" s="522"/>
      <c r="HMS28" s="523"/>
      <c r="HMT28" s="104"/>
      <c r="HMU28" s="521"/>
      <c r="HMV28" s="522"/>
      <c r="HMW28" s="522"/>
      <c r="HMX28" s="522"/>
      <c r="HMY28" s="523"/>
      <c r="HMZ28" s="104"/>
      <c r="HNA28" s="521"/>
      <c r="HNB28" s="522"/>
      <c r="HNC28" s="522"/>
      <c r="HND28" s="522"/>
      <c r="HNE28" s="523"/>
      <c r="HNF28" s="104"/>
      <c r="HNG28" s="521"/>
      <c r="HNH28" s="522"/>
      <c r="HNI28" s="522"/>
      <c r="HNJ28" s="522"/>
      <c r="HNK28" s="523"/>
      <c r="HNL28" s="104"/>
      <c r="HNM28" s="521"/>
      <c r="HNN28" s="522"/>
      <c r="HNO28" s="522"/>
      <c r="HNP28" s="522"/>
      <c r="HNQ28" s="523"/>
      <c r="HNR28" s="104"/>
      <c r="HNS28" s="521"/>
      <c r="HNT28" s="522"/>
      <c r="HNU28" s="522"/>
      <c r="HNV28" s="522"/>
      <c r="HNW28" s="523"/>
      <c r="HNX28" s="104"/>
      <c r="HNY28" s="521"/>
      <c r="HNZ28" s="522"/>
      <c r="HOA28" s="522"/>
      <c r="HOB28" s="522"/>
      <c r="HOC28" s="523"/>
      <c r="HOD28" s="104"/>
      <c r="HOE28" s="521"/>
      <c r="HOF28" s="522"/>
      <c r="HOG28" s="522"/>
      <c r="HOH28" s="522"/>
      <c r="HOI28" s="523"/>
      <c r="HOJ28" s="104"/>
      <c r="HOK28" s="521"/>
      <c r="HOL28" s="522"/>
      <c r="HOM28" s="522"/>
      <c r="HON28" s="522"/>
      <c r="HOO28" s="523"/>
      <c r="HOP28" s="104"/>
      <c r="HOQ28" s="521"/>
      <c r="HOR28" s="522"/>
      <c r="HOS28" s="522"/>
      <c r="HOT28" s="522"/>
      <c r="HOU28" s="523"/>
      <c r="HOV28" s="104"/>
      <c r="HOW28" s="521"/>
      <c r="HOX28" s="522"/>
      <c r="HOY28" s="522"/>
      <c r="HOZ28" s="522"/>
      <c r="HPA28" s="523"/>
      <c r="HPB28" s="104"/>
      <c r="HPC28" s="521"/>
      <c r="HPD28" s="522"/>
      <c r="HPE28" s="522"/>
      <c r="HPF28" s="522"/>
      <c r="HPG28" s="523"/>
      <c r="HPH28" s="104"/>
      <c r="HPI28" s="521"/>
      <c r="HPJ28" s="522"/>
      <c r="HPK28" s="522"/>
      <c r="HPL28" s="522"/>
      <c r="HPM28" s="523"/>
      <c r="HPN28" s="104"/>
      <c r="HPO28" s="521"/>
      <c r="HPP28" s="522"/>
      <c r="HPQ28" s="522"/>
      <c r="HPR28" s="522"/>
      <c r="HPS28" s="523"/>
      <c r="HPT28" s="104"/>
      <c r="HPU28" s="521"/>
      <c r="HPV28" s="522"/>
      <c r="HPW28" s="522"/>
      <c r="HPX28" s="522"/>
      <c r="HPY28" s="523"/>
      <c r="HPZ28" s="104"/>
      <c r="HQA28" s="521"/>
      <c r="HQB28" s="522"/>
      <c r="HQC28" s="522"/>
      <c r="HQD28" s="522"/>
      <c r="HQE28" s="523"/>
      <c r="HQF28" s="104"/>
      <c r="HQG28" s="521"/>
      <c r="HQH28" s="522"/>
      <c r="HQI28" s="522"/>
      <c r="HQJ28" s="522"/>
      <c r="HQK28" s="523"/>
      <c r="HQL28" s="104"/>
      <c r="HQM28" s="521"/>
      <c r="HQN28" s="522"/>
      <c r="HQO28" s="522"/>
      <c r="HQP28" s="522"/>
      <c r="HQQ28" s="523"/>
      <c r="HQR28" s="104"/>
      <c r="HQS28" s="521"/>
      <c r="HQT28" s="522"/>
      <c r="HQU28" s="522"/>
      <c r="HQV28" s="522"/>
      <c r="HQW28" s="523"/>
      <c r="HQX28" s="104"/>
      <c r="HQY28" s="521"/>
      <c r="HQZ28" s="522"/>
      <c r="HRA28" s="522"/>
      <c r="HRB28" s="522"/>
      <c r="HRC28" s="523"/>
      <c r="HRD28" s="104"/>
      <c r="HRE28" s="521"/>
      <c r="HRF28" s="522"/>
      <c r="HRG28" s="522"/>
      <c r="HRH28" s="522"/>
      <c r="HRI28" s="523"/>
      <c r="HRJ28" s="104"/>
      <c r="HRK28" s="521"/>
      <c r="HRL28" s="522"/>
      <c r="HRM28" s="522"/>
      <c r="HRN28" s="522"/>
      <c r="HRO28" s="523"/>
      <c r="HRP28" s="104"/>
      <c r="HRQ28" s="521"/>
      <c r="HRR28" s="522"/>
      <c r="HRS28" s="522"/>
      <c r="HRT28" s="522"/>
      <c r="HRU28" s="523"/>
      <c r="HRV28" s="104"/>
      <c r="HRW28" s="521"/>
      <c r="HRX28" s="522"/>
      <c r="HRY28" s="522"/>
      <c r="HRZ28" s="522"/>
      <c r="HSA28" s="523"/>
      <c r="HSB28" s="104"/>
      <c r="HSC28" s="521"/>
      <c r="HSD28" s="522"/>
      <c r="HSE28" s="522"/>
      <c r="HSF28" s="522"/>
      <c r="HSG28" s="523"/>
      <c r="HSH28" s="104"/>
      <c r="HSI28" s="521"/>
      <c r="HSJ28" s="522"/>
      <c r="HSK28" s="522"/>
      <c r="HSL28" s="522"/>
      <c r="HSM28" s="523"/>
      <c r="HSN28" s="104"/>
      <c r="HSO28" s="521"/>
      <c r="HSP28" s="522"/>
      <c r="HSQ28" s="522"/>
      <c r="HSR28" s="522"/>
      <c r="HSS28" s="523"/>
      <c r="HST28" s="104"/>
      <c r="HSU28" s="521"/>
      <c r="HSV28" s="522"/>
      <c r="HSW28" s="522"/>
      <c r="HSX28" s="522"/>
      <c r="HSY28" s="523"/>
      <c r="HSZ28" s="104"/>
      <c r="HTA28" s="521"/>
      <c r="HTB28" s="522"/>
      <c r="HTC28" s="522"/>
      <c r="HTD28" s="522"/>
      <c r="HTE28" s="523"/>
      <c r="HTF28" s="104"/>
      <c r="HTG28" s="521"/>
      <c r="HTH28" s="522"/>
      <c r="HTI28" s="522"/>
      <c r="HTJ28" s="522"/>
      <c r="HTK28" s="523"/>
      <c r="HTL28" s="104"/>
      <c r="HTM28" s="521"/>
      <c r="HTN28" s="522"/>
      <c r="HTO28" s="522"/>
      <c r="HTP28" s="522"/>
      <c r="HTQ28" s="523"/>
      <c r="HTR28" s="104"/>
      <c r="HTS28" s="521"/>
      <c r="HTT28" s="522"/>
      <c r="HTU28" s="522"/>
      <c r="HTV28" s="522"/>
      <c r="HTW28" s="523"/>
      <c r="HTX28" s="104"/>
      <c r="HTY28" s="521"/>
      <c r="HTZ28" s="522"/>
      <c r="HUA28" s="522"/>
      <c r="HUB28" s="522"/>
      <c r="HUC28" s="523"/>
      <c r="HUD28" s="104"/>
      <c r="HUE28" s="521"/>
      <c r="HUF28" s="522"/>
      <c r="HUG28" s="522"/>
      <c r="HUH28" s="522"/>
      <c r="HUI28" s="523"/>
      <c r="HUJ28" s="104"/>
      <c r="HUK28" s="521"/>
      <c r="HUL28" s="522"/>
      <c r="HUM28" s="522"/>
      <c r="HUN28" s="522"/>
      <c r="HUO28" s="523"/>
      <c r="HUP28" s="104"/>
      <c r="HUQ28" s="521"/>
      <c r="HUR28" s="522"/>
      <c r="HUS28" s="522"/>
      <c r="HUT28" s="522"/>
      <c r="HUU28" s="523"/>
      <c r="HUV28" s="104"/>
      <c r="HUW28" s="521"/>
      <c r="HUX28" s="522"/>
      <c r="HUY28" s="522"/>
      <c r="HUZ28" s="522"/>
      <c r="HVA28" s="523"/>
      <c r="HVB28" s="104"/>
      <c r="HVC28" s="521"/>
      <c r="HVD28" s="522"/>
      <c r="HVE28" s="522"/>
      <c r="HVF28" s="522"/>
      <c r="HVG28" s="523"/>
      <c r="HVH28" s="104"/>
      <c r="HVI28" s="521"/>
      <c r="HVJ28" s="522"/>
      <c r="HVK28" s="522"/>
      <c r="HVL28" s="522"/>
      <c r="HVM28" s="523"/>
      <c r="HVN28" s="104"/>
      <c r="HVO28" s="521"/>
      <c r="HVP28" s="522"/>
      <c r="HVQ28" s="522"/>
      <c r="HVR28" s="522"/>
      <c r="HVS28" s="523"/>
      <c r="HVT28" s="104"/>
      <c r="HVU28" s="521"/>
      <c r="HVV28" s="522"/>
      <c r="HVW28" s="522"/>
      <c r="HVX28" s="522"/>
      <c r="HVY28" s="523"/>
      <c r="HVZ28" s="104"/>
      <c r="HWA28" s="521"/>
      <c r="HWB28" s="522"/>
      <c r="HWC28" s="522"/>
      <c r="HWD28" s="522"/>
      <c r="HWE28" s="523"/>
      <c r="HWF28" s="104"/>
      <c r="HWG28" s="521"/>
      <c r="HWH28" s="522"/>
      <c r="HWI28" s="522"/>
      <c r="HWJ28" s="522"/>
      <c r="HWK28" s="523"/>
      <c r="HWL28" s="104"/>
      <c r="HWM28" s="521"/>
      <c r="HWN28" s="522"/>
      <c r="HWO28" s="522"/>
      <c r="HWP28" s="522"/>
      <c r="HWQ28" s="523"/>
      <c r="HWR28" s="104"/>
      <c r="HWS28" s="521"/>
      <c r="HWT28" s="522"/>
      <c r="HWU28" s="522"/>
      <c r="HWV28" s="522"/>
      <c r="HWW28" s="523"/>
      <c r="HWX28" s="104"/>
      <c r="HWY28" s="521"/>
      <c r="HWZ28" s="522"/>
      <c r="HXA28" s="522"/>
      <c r="HXB28" s="522"/>
      <c r="HXC28" s="523"/>
      <c r="HXD28" s="104"/>
      <c r="HXE28" s="521"/>
      <c r="HXF28" s="522"/>
      <c r="HXG28" s="522"/>
      <c r="HXH28" s="522"/>
      <c r="HXI28" s="523"/>
      <c r="HXJ28" s="104"/>
      <c r="HXK28" s="521"/>
      <c r="HXL28" s="522"/>
      <c r="HXM28" s="522"/>
      <c r="HXN28" s="522"/>
      <c r="HXO28" s="523"/>
      <c r="HXP28" s="104"/>
      <c r="HXQ28" s="521"/>
      <c r="HXR28" s="522"/>
      <c r="HXS28" s="522"/>
      <c r="HXT28" s="522"/>
      <c r="HXU28" s="523"/>
      <c r="HXV28" s="104"/>
      <c r="HXW28" s="521"/>
      <c r="HXX28" s="522"/>
      <c r="HXY28" s="522"/>
      <c r="HXZ28" s="522"/>
      <c r="HYA28" s="523"/>
      <c r="HYB28" s="104"/>
      <c r="HYC28" s="521"/>
      <c r="HYD28" s="522"/>
      <c r="HYE28" s="522"/>
      <c r="HYF28" s="522"/>
      <c r="HYG28" s="523"/>
      <c r="HYH28" s="104"/>
      <c r="HYI28" s="521"/>
      <c r="HYJ28" s="522"/>
      <c r="HYK28" s="522"/>
      <c r="HYL28" s="522"/>
      <c r="HYM28" s="523"/>
      <c r="HYN28" s="104"/>
      <c r="HYO28" s="521"/>
      <c r="HYP28" s="522"/>
      <c r="HYQ28" s="522"/>
      <c r="HYR28" s="522"/>
      <c r="HYS28" s="523"/>
      <c r="HYT28" s="104"/>
      <c r="HYU28" s="521"/>
      <c r="HYV28" s="522"/>
      <c r="HYW28" s="522"/>
      <c r="HYX28" s="522"/>
      <c r="HYY28" s="523"/>
      <c r="HYZ28" s="104"/>
      <c r="HZA28" s="521"/>
      <c r="HZB28" s="522"/>
      <c r="HZC28" s="522"/>
      <c r="HZD28" s="522"/>
      <c r="HZE28" s="523"/>
      <c r="HZF28" s="104"/>
      <c r="HZG28" s="521"/>
      <c r="HZH28" s="522"/>
      <c r="HZI28" s="522"/>
      <c r="HZJ28" s="522"/>
      <c r="HZK28" s="523"/>
      <c r="HZL28" s="104"/>
      <c r="HZM28" s="521"/>
      <c r="HZN28" s="522"/>
      <c r="HZO28" s="522"/>
      <c r="HZP28" s="522"/>
      <c r="HZQ28" s="523"/>
      <c r="HZR28" s="104"/>
      <c r="HZS28" s="521"/>
      <c r="HZT28" s="522"/>
      <c r="HZU28" s="522"/>
      <c r="HZV28" s="522"/>
      <c r="HZW28" s="523"/>
      <c r="HZX28" s="104"/>
      <c r="HZY28" s="521"/>
      <c r="HZZ28" s="522"/>
      <c r="IAA28" s="522"/>
      <c r="IAB28" s="522"/>
      <c r="IAC28" s="523"/>
      <c r="IAD28" s="104"/>
      <c r="IAE28" s="521"/>
      <c r="IAF28" s="522"/>
      <c r="IAG28" s="522"/>
      <c r="IAH28" s="522"/>
      <c r="IAI28" s="523"/>
      <c r="IAJ28" s="104"/>
      <c r="IAK28" s="521"/>
      <c r="IAL28" s="522"/>
      <c r="IAM28" s="522"/>
      <c r="IAN28" s="522"/>
      <c r="IAO28" s="523"/>
      <c r="IAP28" s="104"/>
      <c r="IAQ28" s="521"/>
      <c r="IAR28" s="522"/>
      <c r="IAS28" s="522"/>
      <c r="IAT28" s="522"/>
      <c r="IAU28" s="523"/>
      <c r="IAV28" s="104"/>
      <c r="IAW28" s="521"/>
      <c r="IAX28" s="522"/>
      <c r="IAY28" s="522"/>
      <c r="IAZ28" s="522"/>
      <c r="IBA28" s="523"/>
      <c r="IBB28" s="104"/>
      <c r="IBC28" s="521"/>
      <c r="IBD28" s="522"/>
      <c r="IBE28" s="522"/>
      <c r="IBF28" s="522"/>
      <c r="IBG28" s="523"/>
      <c r="IBH28" s="104"/>
      <c r="IBI28" s="521"/>
      <c r="IBJ28" s="522"/>
      <c r="IBK28" s="522"/>
      <c r="IBL28" s="522"/>
      <c r="IBM28" s="523"/>
      <c r="IBN28" s="104"/>
      <c r="IBO28" s="521"/>
      <c r="IBP28" s="522"/>
      <c r="IBQ28" s="522"/>
      <c r="IBR28" s="522"/>
      <c r="IBS28" s="523"/>
      <c r="IBT28" s="104"/>
      <c r="IBU28" s="521"/>
      <c r="IBV28" s="522"/>
      <c r="IBW28" s="522"/>
      <c r="IBX28" s="522"/>
      <c r="IBY28" s="523"/>
      <c r="IBZ28" s="104"/>
      <c r="ICA28" s="521"/>
      <c r="ICB28" s="522"/>
      <c r="ICC28" s="522"/>
      <c r="ICD28" s="522"/>
      <c r="ICE28" s="523"/>
      <c r="ICF28" s="104"/>
      <c r="ICG28" s="521"/>
      <c r="ICH28" s="522"/>
      <c r="ICI28" s="522"/>
      <c r="ICJ28" s="522"/>
      <c r="ICK28" s="523"/>
      <c r="ICL28" s="104"/>
      <c r="ICM28" s="521"/>
      <c r="ICN28" s="522"/>
      <c r="ICO28" s="522"/>
      <c r="ICP28" s="522"/>
      <c r="ICQ28" s="523"/>
      <c r="ICR28" s="104"/>
      <c r="ICS28" s="521"/>
      <c r="ICT28" s="522"/>
      <c r="ICU28" s="522"/>
      <c r="ICV28" s="522"/>
      <c r="ICW28" s="523"/>
      <c r="ICX28" s="104"/>
      <c r="ICY28" s="521"/>
      <c r="ICZ28" s="522"/>
      <c r="IDA28" s="522"/>
      <c r="IDB28" s="522"/>
      <c r="IDC28" s="523"/>
      <c r="IDD28" s="104"/>
      <c r="IDE28" s="521"/>
      <c r="IDF28" s="522"/>
      <c r="IDG28" s="522"/>
      <c r="IDH28" s="522"/>
      <c r="IDI28" s="523"/>
      <c r="IDJ28" s="104"/>
      <c r="IDK28" s="521"/>
      <c r="IDL28" s="522"/>
      <c r="IDM28" s="522"/>
      <c r="IDN28" s="522"/>
      <c r="IDO28" s="523"/>
      <c r="IDP28" s="104"/>
      <c r="IDQ28" s="521"/>
      <c r="IDR28" s="522"/>
      <c r="IDS28" s="522"/>
      <c r="IDT28" s="522"/>
      <c r="IDU28" s="523"/>
      <c r="IDV28" s="104"/>
      <c r="IDW28" s="521"/>
      <c r="IDX28" s="522"/>
      <c r="IDY28" s="522"/>
      <c r="IDZ28" s="522"/>
      <c r="IEA28" s="523"/>
      <c r="IEB28" s="104"/>
      <c r="IEC28" s="521"/>
      <c r="IED28" s="522"/>
      <c r="IEE28" s="522"/>
      <c r="IEF28" s="522"/>
      <c r="IEG28" s="523"/>
      <c r="IEH28" s="104"/>
      <c r="IEI28" s="521"/>
      <c r="IEJ28" s="522"/>
      <c r="IEK28" s="522"/>
      <c r="IEL28" s="522"/>
      <c r="IEM28" s="523"/>
      <c r="IEN28" s="104"/>
      <c r="IEO28" s="521"/>
      <c r="IEP28" s="522"/>
      <c r="IEQ28" s="522"/>
      <c r="IER28" s="522"/>
      <c r="IES28" s="523"/>
      <c r="IET28" s="104"/>
      <c r="IEU28" s="521"/>
      <c r="IEV28" s="522"/>
      <c r="IEW28" s="522"/>
      <c r="IEX28" s="522"/>
      <c r="IEY28" s="523"/>
      <c r="IEZ28" s="104"/>
      <c r="IFA28" s="521"/>
      <c r="IFB28" s="522"/>
      <c r="IFC28" s="522"/>
      <c r="IFD28" s="522"/>
      <c r="IFE28" s="523"/>
      <c r="IFF28" s="104"/>
      <c r="IFG28" s="521"/>
      <c r="IFH28" s="522"/>
      <c r="IFI28" s="522"/>
      <c r="IFJ28" s="522"/>
      <c r="IFK28" s="523"/>
      <c r="IFL28" s="104"/>
      <c r="IFM28" s="521"/>
      <c r="IFN28" s="522"/>
      <c r="IFO28" s="522"/>
      <c r="IFP28" s="522"/>
      <c r="IFQ28" s="523"/>
      <c r="IFR28" s="104"/>
      <c r="IFS28" s="521"/>
      <c r="IFT28" s="522"/>
      <c r="IFU28" s="522"/>
      <c r="IFV28" s="522"/>
      <c r="IFW28" s="523"/>
      <c r="IFX28" s="104"/>
      <c r="IFY28" s="521"/>
      <c r="IFZ28" s="522"/>
      <c r="IGA28" s="522"/>
      <c r="IGB28" s="522"/>
      <c r="IGC28" s="523"/>
      <c r="IGD28" s="104"/>
      <c r="IGE28" s="521"/>
      <c r="IGF28" s="522"/>
      <c r="IGG28" s="522"/>
      <c r="IGH28" s="522"/>
      <c r="IGI28" s="523"/>
      <c r="IGJ28" s="104"/>
      <c r="IGK28" s="521"/>
      <c r="IGL28" s="522"/>
      <c r="IGM28" s="522"/>
      <c r="IGN28" s="522"/>
      <c r="IGO28" s="523"/>
      <c r="IGP28" s="104"/>
      <c r="IGQ28" s="521"/>
      <c r="IGR28" s="522"/>
      <c r="IGS28" s="522"/>
      <c r="IGT28" s="522"/>
      <c r="IGU28" s="523"/>
      <c r="IGV28" s="104"/>
      <c r="IGW28" s="521"/>
      <c r="IGX28" s="522"/>
      <c r="IGY28" s="522"/>
      <c r="IGZ28" s="522"/>
      <c r="IHA28" s="523"/>
      <c r="IHB28" s="104"/>
      <c r="IHC28" s="521"/>
      <c r="IHD28" s="522"/>
      <c r="IHE28" s="522"/>
      <c r="IHF28" s="522"/>
      <c r="IHG28" s="523"/>
      <c r="IHH28" s="104"/>
      <c r="IHI28" s="521"/>
      <c r="IHJ28" s="522"/>
      <c r="IHK28" s="522"/>
      <c r="IHL28" s="522"/>
      <c r="IHM28" s="523"/>
      <c r="IHN28" s="104"/>
      <c r="IHO28" s="521"/>
      <c r="IHP28" s="522"/>
      <c r="IHQ28" s="522"/>
      <c r="IHR28" s="522"/>
      <c r="IHS28" s="523"/>
      <c r="IHT28" s="104"/>
      <c r="IHU28" s="521"/>
      <c r="IHV28" s="522"/>
      <c r="IHW28" s="522"/>
      <c r="IHX28" s="522"/>
      <c r="IHY28" s="523"/>
      <c r="IHZ28" s="104"/>
      <c r="IIA28" s="521"/>
      <c r="IIB28" s="522"/>
      <c r="IIC28" s="522"/>
      <c r="IID28" s="522"/>
      <c r="IIE28" s="523"/>
      <c r="IIF28" s="104"/>
      <c r="IIG28" s="521"/>
      <c r="IIH28" s="522"/>
      <c r="III28" s="522"/>
      <c r="IIJ28" s="522"/>
      <c r="IIK28" s="523"/>
      <c r="IIL28" s="104"/>
      <c r="IIM28" s="521"/>
      <c r="IIN28" s="522"/>
      <c r="IIO28" s="522"/>
      <c r="IIP28" s="522"/>
      <c r="IIQ28" s="523"/>
      <c r="IIR28" s="104"/>
      <c r="IIS28" s="521"/>
      <c r="IIT28" s="522"/>
      <c r="IIU28" s="522"/>
      <c r="IIV28" s="522"/>
      <c r="IIW28" s="523"/>
      <c r="IIX28" s="104"/>
      <c r="IIY28" s="521"/>
      <c r="IIZ28" s="522"/>
      <c r="IJA28" s="522"/>
      <c r="IJB28" s="522"/>
      <c r="IJC28" s="523"/>
      <c r="IJD28" s="104"/>
      <c r="IJE28" s="521"/>
      <c r="IJF28" s="522"/>
      <c r="IJG28" s="522"/>
      <c r="IJH28" s="522"/>
      <c r="IJI28" s="523"/>
      <c r="IJJ28" s="104"/>
      <c r="IJK28" s="521"/>
      <c r="IJL28" s="522"/>
      <c r="IJM28" s="522"/>
      <c r="IJN28" s="522"/>
      <c r="IJO28" s="523"/>
      <c r="IJP28" s="104"/>
      <c r="IJQ28" s="521"/>
      <c r="IJR28" s="522"/>
      <c r="IJS28" s="522"/>
      <c r="IJT28" s="522"/>
      <c r="IJU28" s="523"/>
      <c r="IJV28" s="104"/>
      <c r="IJW28" s="521"/>
      <c r="IJX28" s="522"/>
      <c r="IJY28" s="522"/>
      <c r="IJZ28" s="522"/>
      <c r="IKA28" s="523"/>
      <c r="IKB28" s="104"/>
      <c r="IKC28" s="521"/>
      <c r="IKD28" s="522"/>
      <c r="IKE28" s="522"/>
      <c r="IKF28" s="522"/>
      <c r="IKG28" s="523"/>
      <c r="IKH28" s="104"/>
      <c r="IKI28" s="521"/>
      <c r="IKJ28" s="522"/>
      <c r="IKK28" s="522"/>
      <c r="IKL28" s="522"/>
      <c r="IKM28" s="523"/>
      <c r="IKN28" s="104"/>
      <c r="IKO28" s="521"/>
      <c r="IKP28" s="522"/>
      <c r="IKQ28" s="522"/>
      <c r="IKR28" s="522"/>
      <c r="IKS28" s="523"/>
      <c r="IKT28" s="104"/>
      <c r="IKU28" s="521"/>
      <c r="IKV28" s="522"/>
      <c r="IKW28" s="522"/>
      <c r="IKX28" s="522"/>
      <c r="IKY28" s="523"/>
      <c r="IKZ28" s="104"/>
      <c r="ILA28" s="521"/>
      <c r="ILB28" s="522"/>
      <c r="ILC28" s="522"/>
      <c r="ILD28" s="522"/>
      <c r="ILE28" s="523"/>
      <c r="ILF28" s="104"/>
      <c r="ILG28" s="521"/>
      <c r="ILH28" s="522"/>
      <c r="ILI28" s="522"/>
      <c r="ILJ28" s="522"/>
      <c r="ILK28" s="523"/>
      <c r="ILL28" s="104"/>
      <c r="ILM28" s="521"/>
      <c r="ILN28" s="522"/>
      <c r="ILO28" s="522"/>
      <c r="ILP28" s="522"/>
      <c r="ILQ28" s="523"/>
      <c r="ILR28" s="104"/>
      <c r="ILS28" s="521"/>
      <c r="ILT28" s="522"/>
      <c r="ILU28" s="522"/>
      <c r="ILV28" s="522"/>
      <c r="ILW28" s="523"/>
      <c r="ILX28" s="104"/>
      <c r="ILY28" s="521"/>
      <c r="ILZ28" s="522"/>
      <c r="IMA28" s="522"/>
      <c r="IMB28" s="522"/>
      <c r="IMC28" s="523"/>
      <c r="IMD28" s="104"/>
      <c r="IME28" s="521"/>
      <c r="IMF28" s="522"/>
      <c r="IMG28" s="522"/>
      <c r="IMH28" s="522"/>
      <c r="IMI28" s="523"/>
      <c r="IMJ28" s="104"/>
      <c r="IMK28" s="521"/>
      <c r="IML28" s="522"/>
      <c r="IMM28" s="522"/>
      <c r="IMN28" s="522"/>
      <c r="IMO28" s="523"/>
      <c r="IMP28" s="104"/>
      <c r="IMQ28" s="521"/>
      <c r="IMR28" s="522"/>
      <c r="IMS28" s="522"/>
      <c r="IMT28" s="522"/>
      <c r="IMU28" s="523"/>
      <c r="IMV28" s="104"/>
      <c r="IMW28" s="521"/>
      <c r="IMX28" s="522"/>
      <c r="IMY28" s="522"/>
      <c r="IMZ28" s="522"/>
      <c r="INA28" s="523"/>
      <c r="INB28" s="104"/>
      <c r="INC28" s="521"/>
      <c r="IND28" s="522"/>
      <c r="INE28" s="522"/>
      <c r="INF28" s="522"/>
      <c r="ING28" s="523"/>
      <c r="INH28" s="104"/>
      <c r="INI28" s="521"/>
      <c r="INJ28" s="522"/>
      <c r="INK28" s="522"/>
      <c r="INL28" s="522"/>
      <c r="INM28" s="523"/>
      <c r="INN28" s="104"/>
      <c r="INO28" s="521"/>
      <c r="INP28" s="522"/>
      <c r="INQ28" s="522"/>
      <c r="INR28" s="522"/>
      <c r="INS28" s="523"/>
      <c r="INT28" s="104"/>
      <c r="INU28" s="521"/>
      <c r="INV28" s="522"/>
      <c r="INW28" s="522"/>
      <c r="INX28" s="522"/>
      <c r="INY28" s="523"/>
      <c r="INZ28" s="104"/>
      <c r="IOA28" s="521"/>
      <c r="IOB28" s="522"/>
      <c r="IOC28" s="522"/>
      <c r="IOD28" s="522"/>
      <c r="IOE28" s="523"/>
      <c r="IOF28" s="104"/>
      <c r="IOG28" s="521"/>
      <c r="IOH28" s="522"/>
      <c r="IOI28" s="522"/>
      <c r="IOJ28" s="522"/>
      <c r="IOK28" s="523"/>
      <c r="IOL28" s="104"/>
      <c r="IOM28" s="521"/>
      <c r="ION28" s="522"/>
      <c r="IOO28" s="522"/>
      <c r="IOP28" s="522"/>
      <c r="IOQ28" s="523"/>
      <c r="IOR28" s="104"/>
      <c r="IOS28" s="521"/>
      <c r="IOT28" s="522"/>
      <c r="IOU28" s="522"/>
      <c r="IOV28" s="522"/>
      <c r="IOW28" s="523"/>
      <c r="IOX28" s="104"/>
      <c r="IOY28" s="521"/>
      <c r="IOZ28" s="522"/>
      <c r="IPA28" s="522"/>
      <c r="IPB28" s="522"/>
      <c r="IPC28" s="523"/>
      <c r="IPD28" s="104"/>
      <c r="IPE28" s="521"/>
      <c r="IPF28" s="522"/>
      <c r="IPG28" s="522"/>
      <c r="IPH28" s="522"/>
      <c r="IPI28" s="523"/>
      <c r="IPJ28" s="104"/>
      <c r="IPK28" s="521"/>
      <c r="IPL28" s="522"/>
      <c r="IPM28" s="522"/>
      <c r="IPN28" s="522"/>
      <c r="IPO28" s="523"/>
      <c r="IPP28" s="104"/>
      <c r="IPQ28" s="521"/>
      <c r="IPR28" s="522"/>
      <c r="IPS28" s="522"/>
      <c r="IPT28" s="522"/>
      <c r="IPU28" s="523"/>
      <c r="IPV28" s="104"/>
      <c r="IPW28" s="521"/>
      <c r="IPX28" s="522"/>
      <c r="IPY28" s="522"/>
      <c r="IPZ28" s="522"/>
      <c r="IQA28" s="523"/>
      <c r="IQB28" s="104"/>
      <c r="IQC28" s="521"/>
      <c r="IQD28" s="522"/>
      <c r="IQE28" s="522"/>
      <c r="IQF28" s="522"/>
      <c r="IQG28" s="523"/>
      <c r="IQH28" s="104"/>
      <c r="IQI28" s="521"/>
      <c r="IQJ28" s="522"/>
      <c r="IQK28" s="522"/>
      <c r="IQL28" s="522"/>
      <c r="IQM28" s="523"/>
      <c r="IQN28" s="104"/>
      <c r="IQO28" s="521"/>
      <c r="IQP28" s="522"/>
      <c r="IQQ28" s="522"/>
      <c r="IQR28" s="522"/>
      <c r="IQS28" s="523"/>
      <c r="IQT28" s="104"/>
      <c r="IQU28" s="521"/>
      <c r="IQV28" s="522"/>
      <c r="IQW28" s="522"/>
      <c r="IQX28" s="522"/>
      <c r="IQY28" s="523"/>
      <c r="IQZ28" s="104"/>
      <c r="IRA28" s="521"/>
      <c r="IRB28" s="522"/>
      <c r="IRC28" s="522"/>
      <c r="IRD28" s="522"/>
      <c r="IRE28" s="523"/>
      <c r="IRF28" s="104"/>
      <c r="IRG28" s="521"/>
      <c r="IRH28" s="522"/>
      <c r="IRI28" s="522"/>
      <c r="IRJ28" s="522"/>
      <c r="IRK28" s="523"/>
      <c r="IRL28" s="104"/>
      <c r="IRM28" s="521"/>
      <c r="IRN28" s="522"/>
      <c r="IRO28" s="522"/>
      <c r="IRP28" s="522"/>
      <c r="IRQ28" s="523"/>
      <c r="IRR28" s="104"/>
      <c r="IRS28" s="521"/>
      <c r="IRT28" s="522"/>
      <c r="IRU28" s="522"/>
      <c r="IRV28" s="522"/>
      <c r="IRW28" s="523"/>
      <c r="IRX28" s="104"/>
      <c r="IRY28" s="521"/>
      <c r="IRZ28" s="522"/>
      <c r="ISA28" s="522"/>
      <c r="ISB28" s="522"/>
      <c r="ISC28" s="523"/>
      <c r="ISD28" s="104"/>
      <c r="ISE28" s="521"/>
      <c r="ISF28" s="522"/>
      <c r="ISG28" s="522"/>
      <c r="ISH28" s="522"/>
      <c r="ISI28" s="523"/>
      <c r="ISJ28" s="104"/>
      <c r="ISK28" s="521"/>
      <c r="ISL28" s="522"/>
      <c r="ISM28" s="522"/>
      <c r="ISN28" s="522"/>
      <c r="ISO28" s="523"/>
      <c r="ISP28" s="104"/>
      <c r="ISQ28" s="521"/>
      <c r="ISR28" s="522"/>
      <c r="ISS28" s="522"/>
      <c r="IST28" s="522"/>
      <c r="ISU28" s="523"/>
      <c r="ISV28" s="104"/>
      <c r="ISW28" s="521"/>
      <c r="ISX28" s="522"/>
      <c r="ISY28" s="522"/>
      <c r="ISZ28" s="522"/>
      <c r="ITA28" s="523"/>
      <c r="ITB28" s="104"/>
      <c r="ITC28" s="521"/>
      <c r="ITD28" s="522"/>
      <c r="ITE28" s="522"/>
      <c r="ITF28" s="522"/>
      <c r="ITG28" s="523"/>
      <c r="ITH28" s="104"/>
      <c r="ITI28" s="521"/>
      <c r="ITJ28" s="522"/>
      <c r="ITK28" s="522"/>
      <c r="ITL28" s="522"/>
      <c r="ITM28" s="523"/>
      <c r="ITN28" s="104"/>
      <c r="ITO28" s="521"/>
      <c r="ITP28" s="522"/>
      <c r="ITQ28" s="522"/>
      <c r="ITR28" s="522"/>
      <c r="ITS28" s="523"/>
      <c r="ITT28" s="104"/>
      <c r="ITU28" s="521"/>
      <c r="ITV28" s="522"/>
      <c r="ITW28" s="522"/>
      <c r="ITX28" s="522"/>
      <c r="ITY28" s="523"/>
      <c r="ITZ28" s="104"/>
      <c r="IUA28" s="521"/>
      <c r="IUB28" s="522"/>
      <c r="IUC28" s="522"/>
      <c r="IUD28" s="522"/>
      <c r="IUE28" s="523"/>
      <c r="IUF28" s="104"/>
      <c r="IUG28" s="521"/>
      <c r="IUH28" s="522"/>
      <c r="IUI28" s="522"/>
      <c r="IUJ28" s="522"/>
      <c r="IUK28" s="523"/>
      <c r="IUL28" s="104"/>
      <c r="IUM28" s="521"/>
      <c r="IUN28" s="522"/>
      <c r="IUO28" s="522"/>
      <c r="IUP28" s="522"/>
      <c r="IUQ28" s="523"/>
      <c r="IUR28" s="104"/>
      <c r="IUS28" s="521"/>
      <c r="IUT28" s="522"/>
      <c r="IUU28" s="522"/>
      <c r="IUV28" s="522"/>
      <c r="IUW28" s="523"/>
      <c r="IUX28" s="104"/>
      <c r="IUY28" s="521"/>
      <c r="IUZ28" s="522"/>
      <c r="IVA28" s="522"/>
      <c r="IVB28" s="522"/>
      <c r="IVC28" s="523"/>
      <c r="IVD28" s="104"/>
      <c r="IVE28" s="521"/>
      <c r="IVF28" s="522"/>
      <c r="IVG28" s="522"/>
      <c r="IVH28" s="522"/>
      <c r="IVI28" s="523"/>
      <c r="IVJ28" s="104"/>
      <c r="IVK28" s="521"/>
      <c r="IVL28" s="522"/>
      <c r="IVM28" s="522"/>
      <c r="IVN28" s="522"/>
      <c r="IVO28" s="523"/>
      <c r="IVP28" s="104"/>
      <c r="IVQ28" s="521"/>
      <c r="IVR28" s="522"/>
      <c r="IVS28" s="522"/>
      <c r="IVT28" s="522"/>
      <c r="IVU28" s="523"/>
      <c r="IVV28" s="104"/>
      <c r="IVW28" s="521"/>
      <c r="IVX28" s="522"/>
      <c r="IVY28" s="522"/>
      <c r="IVZ28" s="522"/>
      <c r="IWA28" s="523"/>
      <c r="IWB28" s="104"/>
      <c r="IWC28" s="521"/>
      <c r="IWD28" s="522"/>
      <c r="IWE28" s="522"/>
      <c r="IWF28" s="522"/>
      <c r="IWG28" s="523"/>
      <c r="IWH28" s="104"/>
      <c r="IWI28" s="521"/>
      <c r="IWJ28" s="522"/>
      <c r="IWK28" s="522"/>
      <c r="IWL28" s="522"/>
      <c r="IWM28" s="523"/>
      <c r="IWN28" s="104"/>
      <c r="IWO28" s="521"/>
      <c r="IWP28" s="522"/>
      <c r="IWQ28" s="522"/>
      <c r="IWR28" s="522"/>
      <c r="IWS28" s="523"/>
      <c r="IWT28" s="104"/>
      <c r="IWU28" s="521"/>
      <c r="IWV28" s="522"/>
      <c r="IWW28" s="522"/>
      <c r="IWX28" s="522"/>
      <c r="IWY28" s="523"/>
      <c r="IWZ28" s="104"/>
      <c r="IXA28" s="521"/>
      <c r="IXB28" s="522"/>
      <c r="IXC28" s="522"/>
      <c r="IXD28" s="522"/>
      <c r="IXE28" s="523"/>
      <c r="IXF28" s="104"/>
      <c r="IXG28" s="521"/>
      <c r="IXH28" s="522"/>
      <c r="IXI28" s="522"/>
      <c r="IXJ28" s="522"/>
      <c r="IXK28" s="523"/>
      <c r="IXL28" s="104"/>
      <c r="IXM28" s="521"/>
      <c r="IXN28" s="522"/>
      <c r="IXO28" s="522"/>
      <c r="IXP28" s="522"/>
      <c r="IXQ28" s="523"/>
      <c r="IXR28" s="104"/>
      <c r="IXS28" s="521"/>
      <c r="IXT28" s="522"/>
      <c r="IXU28" s="522"/>
      <c r="IXV28" s="522"/>
      <c r="IXW28" s="523"/>
      <c r="IXX28" s="104"/>
      <c r="IXY28" s="521"/>
      <c r="IXZ28" s="522"/>
      <c r="IYA28" s="522"/>
      <c r="IYB28" s="522"/>
      <c r="IYC28" s="523"/>
      <c r="IYD28" s="104"/>
      <c r="IYE28" s="521"/>
      <c r="IYF28" s="522"/>
      <c r="IYG28" s="522"/>
      <c r="IYH28" s="522"/>
      <c r="IYI28" s="523"/>
      <c r="IYJ28" s="104"/>
      <c r="IYK28" s="521"/>
      <c r="IYL28" s="522"/>
      <c r="IYM28" s="522"/>
      <c r="IYN28" s="522"/>
      <c r="IYO28" s="523"/>
      <c r="IYP28" s="104"/>
      <c r="IYQ28" s="521"/>
      <c r="IYR28" s="522"/>
      <c r="IYS28" s="522"/>
      <c r="IYT28" s="522"/>
      <c r="IYU28" s="523"/>
      <c r="IYV28" s="104"/>
      <c r="IYW28" s="521"/>
      <c r="IYX28" s="522"/>
      <c r="IYY28" s="522"/>
      <c r="IYZ28" s="522"/>
      <c r="IZA28" s="523"/>
      <c r="IZB28" s="104"/>
      <c r="IZC28" s="521"/>
      <c r="IZD28" s="522"/>
      <c r="IZE28" s="522"/>
      <c r="IZF28" s="522"/>
      <c r="IZG28" s="523"/>
      <c r="IZH28" s="104"/>
      <c r="IZI28" s="521"/>
      <c r="IZJ28" s="522"/>
      <c r="IZK28" s="522"/>
      <c r="IZL28" s="522"/>
      <c r="IZM28" s="523"/>
      <c r="IZN28" s="104"/>
      <c r="IZO28" s="521"/>
      <c r="IZP28" s="522"/>
      <c r="IZQ28" s="522"/>
      <c r="IZR28" s="522"/>
      <c r="IZS28" s="523"/>
      <c r="IZT28" s="104"/>
      <c r="IZU28" s="521"/>
      <c r="IZV28" s="522"/>
      <c r="IZW28" s="522"/>
      <c r="IZX28" s="522"/>
      <c r="IZY28" s="523"/>
      <c r="IZZ28" s="104"/>
      <c r="JAA28" s="521"/>
      <c r="JAB28" s="522"/>
      <c r="JAC28" s="522"/>
      <c r="JAD28" s="522"/>
      <c r="JAE28" s="523"/>
      <c r="JAF28" s="104"/>
      <c r="JAG28" s="521"/>
      <c r="JAH28" s="522"/>
      <c r="JAI28" s="522"/>
      <c r="JAJ28" s="522"/>
      <c r="JAK28" s="523"/>
      <c r="JAL28" s="104"/>
      <c r="JAM28" s="521"/>
      <c r="JAN28" s="522"/>
      <c r="JAO28" s="522"/>
      <c r="JAP28" s="522"/>
      <c r="JAQ28" s="523"/>
      <c r="JAR28" s="104"/>
      <c r="JAS28" s="521"/>
      <c r="JAT28" s="522"/>
      <c r="JAU28" s="522"/>
      <c r="JAV28" s="522"/>
      <c r="JAW28" s="523"/>
      <c r="JAX28" s="104"/>
      <c r="JAY28" s="521"/>
      <c r="JAZ28" s="522"/>
      <c r="JBA28" s="522"/>
      <c r="JBB28" s="522"/>
      <c r="JBC28" s="523"/>
      <c r="JBD28" s="104"/>
      <c r="JBE28" s="521"/>
      <c r="JBF28" s="522"/>
      <c r="JBG28" s="522"/>
      <c r="JBH28" s="522"/>
      <c r="JBI28" s="523"/>
      <c r="JBJ28" s="104"/>
      <c r="JBK28" s="521"/>
      <c r="JBL28" s="522"/>
      <c r="JBM28" s="522"/>
      <c r="JBN28" s="522"/>
      <c r="JBO28" s="523"/>
      <c r="JBP28" s="104"/>
      <c r="JBQ28" s="521"/>
      <c r="JBR28" s="522"/>
      <c r="JBS28" s="522"/>
      <c r="JBT28" s="522"/>
      <c r="JBU28" s="523"/>
      <c r="JBV28" s="104"/>
      <c r="JBW28" s="521"/>
      <c r="JBX28" s="522"/>
      <c r="JBY28" s="522"/>
      <c r="JBZ28" s="522"/>
      <c r="JCA28" s="523"/>
      <c r="JCB28" s="104"/>
      <c r="JCC28" s="521"/>
      <c r="JCD28" s="522"/>
      <c r="JCE28" s="522"/>
      <c r="JCF28" s="522"/>
      <c r="JCG28" s="523"/>
      <c r="JCH28" s="104"/>
      <c r="JCI28" s="521"/>
      <c r="JCJ28" s="522"/>
      <c r="JCK28" s="522"/>
      <c r="JCL28" s="522"/>
      <c r="JCM28" s="523"/>
      <c r="JCN28" s="104"/>
      <c r="JCO28" s="521"/>
      <c r="JCP28" s="522"/>
      <c r="JCQ28" s="522"/>
      <c r="JCR28" s="522"/>
      <c r="JCS28" s="523"/>
      <c r="JCT28" s="104"/>
      <c r="JCU28" s="521"/>
      <c r="JCV28" s="522"/>
      <c r="JCW28" s="522"/>
      <c r="JCX28" s="522"/>
      <c r="JCY28" s="523"/>
      <c r="JCZ28" s="104"/>
      <c r="JDA28" s="521"/>
      <c r="JDB28" s="522"/>
      <c r="JDC28" s="522"/>
      <c r="JDD28" s="522"/>
      <c r="JDE28" s="523"/>
      <c r="JDF28" s="104"/>
      <c r="JDG28" s="521"/>
      <c r="JDH28" s="522"/>
      <c r="JDI28" s="522"/>
      <c r="JDJ28" s="522"/>
      <c r="JDK28" s="523"/>
      <c r="JDL28" s="104"/>
      <c r="JDM28" s="521"/>
      <c r="JDN28" s="522"/>
      <c r="JDO28" s="522"/>
      <c r="JDP28" s="522"/>
      <c r="JDQ28" s="523"/>
      <c r="JDR28" s="104"/>
      <c r="JDS28" s="521"/>
      <c r="JDT28" s="522"/>
      <c r="JDU28" s="522"/>
      <c r="JDV28" s="522"/>
      <c r="JDW28" s="523"/>
      <c r="JDX28" s="104"/>
      <c r="JDY28" s="521"/>
      <c r="JDZ28" s="522"/>
      <c r="JEA28" s="522"/>
      <c r="JEB28" s="522"/>
      <c r="JEC28" s="523"/>
      <c r="JED28" s="104"/>
      <c r="JEE28" s="521"/>
      <c r="JEF28" s="522"/>
      <c r="JEG28" s="522"/>
      <c r="JEH28" s="522"/>
      <c r="JEI28" s="523"/>
      <c r="JEJ28" s="104"/>
      <c r="JEK28" s="521"/>
      <c r="JEL28" s="522"/>
      <c r="JEM28" s="522"/>
      <c r="JEN28" s="522"/>
      <c r="JEO28" s="523"/>
      <c r="JEP28" s="104"/>
      <c r="JEQ28" s="521"/>
      <c r="JER28" s="522"/>
      <c r="JES28" s="522"/>
      <c r="JET28" s="522"/>
      <c r="JEU28" s="523"/>
      <c r="JEV28" s="104"/>
      <c r="JEW28" s="521"/>
      <c r="JEX28" s="522"/>
      <c r="JEY28" s="522"/>
      <c r="JEZ28" s="522"/>
      <c r="JFA28" s="523"/>
      <c r="JFB28" s="104"/>
      <c r="JFC28" s="521"/>
      <c r="JFD28" s="522"/>
      <c r="JFE28" s="522"/>
      <c r="JFF28" s="522"/>
      <c r="JFG28" s="523"/>
      <c r="JFH28" s="104"/>
      <c r="JFI28" s="521"/>
      <c r="JFJ28" s="522"/>
      <c r="JFK28" s="522"/>
      <c r="JFL28" s="522"/>
      <c r="JFM28" s="523"/>
      <c r="JFN28" s="104"/>
      <c r="JFO28" s="521"/>
      <c r="JFP28" s="522"/>
      <c r="JFQ28" s="522"/>
      <c r="JFR28" s="522"/>
      <c r="JFS28" s="523"/>
      <c r="JFT28" s="104"/>
      <c r="JFU28" s="521"/>
      <c r="JFV28" s="522"/>
      <c r="JFW28" s="522"/>
      <c r="JFX28" s="522"/>
      <c r="JFY28" s="523"/>
      <c r="JFZ28" s="104"/>
      <c r="JGA28" s="521"/>
      <c r="JGB28" s="522"/>
      <c r="JGC28" s="522"/>
      <c r="JGD28" s="522"/>
      <c r="JGE28" s="523"/>
      <c r="JGF28" s="104"/>
      <c r="JGG28" s="521"/>
      <c r="JGH28" s="522"/>
      <c r="JGI28" s="522"/>
      <c r="JGJ28" s="522"/>
      <c r="JGK28" s="523"/>
      <c r="JGL28" s="104"/>
      <c r="JGM28" s="521"/>
      <c r="JGN28" s="522"/>
      <c r="JGO28" s="522"/>
      <c r="JGP28" s="522"/>
      <c r="JGQ28" s="523"/>
      <c r="JGR28" s="104"/>
      <c r="JGS28" s="521"/>
      <c r="JGT28" s="522"/>
      <c r="JGU28" s="522"/>
      <c r="JGV28" s="522"/>
      <c r="JGW28" s="523"/>
      <c r="JGX28" s="104"/>
      <c r="JGY28" s="521"/>
      <c r="JGZ28" s="522"/>
      <c r="JHA28" s="522"/>
      <c r="JHB28" s="522"/>
      <c r="JHC28" s="523"/>
      <c r="JHD28" s="104"/>
      <c r="JHE28" s="521"/>
      <c r="JHF28" s="522"/>
      <c r="JHG28" s="522"/>
      <c r="JHH28" s="522"/>
      <c r="JHI28" s="523"/>
      <c r="JHJ28" s="104"/>
      <c r="JHK28" s="521"/>
      <c r="JHL28" s="522"/>
      <c r="JHM28" s="522"/>
      <c r="JHN28" s="522"/>
      <c r="JHO28" s="523"/>
      <c r="JHP28" s="104"/>
      <c r="JHQ28" s="521"/>
      <c r="JHR28" s="522"/>
      <c r="JHS28" s="522"/>
      <c r="JHT28" s="522"/>
      <c r="JHU28" s="523"/>
      <c r="JHV28" s="104"/>
      <c r="JHW28" s="521"/>
      <c r="JHX28" s="522"/>
      <c r="JHY28" s="522"/>
      <c r="JHZ28" s="522"/>
      <c r="JIA28" s="523"/>
      <c r="JIB28" s="104"/>
      <c r="JIC28" s="521"/>
      <c r="JID28" s="522"/>
      <c r="JIE28" s="522"/>
      <c r="JIF28" s="522"/>
      <c r="JIG28" s="523"/>
      <c r="JIH28" s="104"/>
      <c r="JII28" s="521"/>
      <c r="JIJ28" s="522"/>
      <c r="JIK28" s="522"/>
      <c r="JIL28" s="522"/>
      <c r="JIM28" s="523"/>
      <c r="JIN28" s="104"/>
      <c r="JIO28" s="521"/>
      <c r="JIP28" s="522"/>
      <c r="JIQ28" s="522"/>
      <c r="JIR28" s="522"/>
      <c r="JIS28" s="523"/>
      <c r="JIT28" s="104"/>
      <c r="JIU28" s="521"/>
      <c r="JIV28" s="522"/>
      <c r="JIW28" s="522"/>
      <c r="JIX28" s="522"/>
      <c r="JIY28" s="523"/>
      <c r="JIZ28" s="104"/>
      <c r="JJA28" s="521"/>
      <c r="JJB28" s="522"/>
      <c r="JJC28" s="522"/>
      <c r="JJD28" s="522"/>
      <c r="JJE28" s="523"/>
      <c r="JJF28" s="104"/>
      <c r="JJG28" s="521"/>
      <c r="JJH28" s="522"/>
      <c r="JJI28" s="522"/>
      <c r="JJJ28" s="522"/>
      <c r="JJK28" s="523"/>
      <c r="JJL28" s="104"/>
      <c r="JJM28" s="521"/>
      <c r="JJN28" s="522"/>
      <c r="JJO28" s="522"/>
      <c r="JJP28" s="522"/>
      <c r="JJQ28" s="523"/>
      <c r="JJR28" s="104"/>
      <c r="JJS28" s="521"/>
      <c r="JJT28" s="522"/>
      <c r="JJU28" s="522"/>
      <c r="JJV28" s="522"/>
      <c r="JJW28" s="523"/>
      <c r="JJX28" s="104"/>
      <c r="JJY28" s="521"/>
      <c r="JJZ28" s="522"/>
      <c r="JKA28" s="522"/>
      <c r="JKB28" s="522"/>
      <c r="JKC28" s="523"/>
      <c r="JKD28" s="104"/>
      <c r="JKE28" s="521"/>
      <c r="JKF28" s="522"/>
      <c r="JKG28" s="522"/>
      <c r="JKH28" s="522"/>
      <c r="JKI28" s="523"/>
      <c r="JKJ28" s="104"/>
      <c r="JKK28" s="521"/>
      <c r="JKL28" s="522"/>
      <c r="JKM28" s="522"/>
      <c r="JKN28" s="522"/>
      <c r="JKO28" s="523"/>
      <c r="JKP28" s="104"/>
      <c r="JKQ28" s="521"/>
      <c r="JKR28" s="522"/>
      <c r="JKS28" s="522"/>
      <c r="JKT28" s="522"/>
      <c r="JKU28" s="523"/>
      <c r="JKV28" s="104"/>
      <c r="JKW28" s="521"/>
      <c r="JKX28" s="522"/>
      <c r="JKY28" s="522"/>
      <c r="JKZ28" s="522"/>
      <c r="JLA28" s="523"/>
      <c r="JLB28" s="104"/>
      <c r="JLC28" s="521"/>
      <c r="JLD28" s="522"/>
      <c r="JLE28" s="522"/>
      <c r="JLF28" s="522"/>
      <c r="JLG28" s="523"/>
      <c r="JLH28" s="104"/>
      <c r="JLI28" s="521"/>
      <c r="JLJ28" s="522"/>
      <c r="JLK28" s="522"/>
      <c r="JLL28" s="522"/>
      <c r="JLM28" s="523"/>
      <c r="JLN28" s="104"/>
      <c r="JLO28" s="521"/>
      <c r="JLP28" s="522"/>
      <c r="JLQ28" s="522"/>
      <c r="JLR28" s="522"/>
      <c r="JLS28" s="523"/>
      <c r="JLT28" s="104"/>
      <c r="JLU28" s="521"/>
      <c r="JLV28" s="522"/>
      <c r="JLW28" s="522"/>
      <c r="JLX28" s="522"/>
      <c r="JLY28" s="523"/>
      <c r="JLZ28" s="104"/>
      <c r="JMA28" s="521"/>
      <c r="JMB28" s="522"/>
      <c r="JMC28" s="522"/>
      <c r="JMD28" s="522"/>
      <c r="JME28" s="523"/>
      <c r="JMF28" s="104"/>
      <c r="JMG28" s="521"/>
      <c r="JMH28" s="522"/>
      <c r="JMI28" s="522"/>
      <c r="JMJ28" s="522"/>
      <c r="JMK28" s="523"/>
      <c r="JML28" s="104"/>
      <c r="JMM28" s="521"/>
      <c r="JMN28" s="522"/>
      <c r="JMO28" s="522"/>
      <c r="JMP28" s="522"/>
      <c r="JMQ28" s="523"/>
      <c r="JMR28" s="104"/>
      <c r="JMS28" s="521"/>
      <c r="JMT28" s="522"/>
      <c r="JMU28" s="522"/>
      <c r="JMV28" s="522"/>
      <c r="JMW28" s="523"/>
      <c r="JMX28" s="104"/>
      <c r="JMY28" s="521"/>
      <c r="JMZ28" s="522"/>
      <c r="JNA28" s="522"/>
      <c r="JNB28" s="522"/>
      <c r="JNC28" s="523"/>
      <c r="JND28" s="104"/>
      <c r="JNE28" s="521"/>
      <c r="JNF28" s="522"/>
      <c r="JNG28" s="522"/>
      <c r="JNH28" s="522"/>
      <c r="JNI28" s="523"/>
      <c r="JNJ28" s="104"/>
      <c r="JNK28" s="521"/>
      <c r="JNL28" s="522"/>
      <c r="JNM28" s="522"/>
      <c r="JNN28" s="522"/>
      <c r="JNO28" s="523"/>
      <c r="JNP28" s="104"/>
      <c r="JNQ28" s="521"/>
      <c r="JNR28" s="522"/>
      <c r="JNS28" s="522"/>
      <c r="JNT28" s="522"/>
      <c r="JNU28" s="523"/>
      <c r="JNV28" s="104"/>
      <c r="JNW28" s="521"/>
      <c r="JNX28" s="522"/>
      <c r="JNY28" s="522"/>
      <c r="JNZ28" s="522"/>
      <c r="JOA28" s="523"/>
      <c r="JOB28" s="104"/>
      <c r="JOC28" s="521"/>
      <c r="JOD28" s="522"/>
      <c r="JOE28" s="522"/>
      <c r="JOF28" s="522"/>
      <c r="JOG28" s="523"/>
      <c r="JOH28" s="104"/>
      <c r="JOI28" s="521"/>
      <c r="JOJ28" s="522"/>
      <c r="JOK28" s="522"/>
      <c r="JOL28" s="522"/>
      <c r="JOM28" s="523"/>
      <c r="JON28" s="104"/>
      <c r="JOO28" s="521"/>
      <c r="JOP28" s="522"/>
      <c r="JOQ28" s="522"/>
      <c r="JOR28" s="522"/>
      <c r="JOS28" s="523"/>
      <c r="JOT28" s="104"/>
      <c r="JOU28" s="521"/>
      <c r="JOV28" s="522"/>
      <c r="JOW28" s="522"/>
      <c r="JOX28" s="522"/>
      <c r="JOY28" s="523"/>
      <c r="JOZ28" s="104"/>
      <c r="JPA28" s="521"/>
      <c r="JPB28" s="522"/>
      <c r="JPC28" s="522"/>
      <c r="JPD28" s="522"/>
      <c r="JPE28" s="523"/>
      <c r="JPF28" s="104"/>
      <c r="JPG28" s="521"/>
      <c r="JPH28" s="522"/>
      <c r="JPI28" s="522"/>
      <c r="JPJ28" s="522"/>
      <c r="JPK28" s="523"/>
      <c r="JPL28" s="104"/>
      <c r="JPM28" s="521"/>
      <c r="JPN28" s="522"/>
      <c r="JPO28" s="522"/>
      <c r="JPP28" s="522"/>
      <c r="JPQ28" s="523"/>
      <c r="JPR28" s="104"/>
      <c r="JPS28" s="521"/>
      <c r="JPT28" s="522"/>
      <c r="JPU28" s="522"/>
      <c r="JPV28" s="522"/>
      <c r="JPW28" s="523"/>
      <c r="JPX28" s="104"/>
      <c r="JPY28" s="521"/>
      <c r="JPZ28" s="522"/>
      <c r="JQA28" s="522"/>
      <c r="JQB28" s="522"/>
      <c r="JQC28" s="523"/>
      <c r="JQD28" s="104"/>
      <c r="JQE28" s="521"/>
      <c r="JQF28" s="522"/>
      <c r="JQG28" s="522"/>
      <c r="JQH28" s="522"/>
      <c r="JQI28" s="523"/>
      <c r="JQJ28" s="104"/>
      <c r="JQK28" s="521"/>
      <c r="JQL28" s="522"/>
      <c r="JQM28" s="522"/>
      <c r="JQN28" s="522"/>
      <c r="JQO28" s="523"/>
      <c r="JQP28" s="104"/>
      <c r="JQQ28" s="521"/>
      <c r="JQR28" s="522"/>
      <c r="JQS28" s="522"/>
      <c r="JQT28" s="522"/>
      <c r="JQU28" s="523"/>
      <c r="JQV28" s="104"/>
      <c r="JQW28" s="521"/>
      <c r="JQX28" s="522"/>
      <c r="JQY28" s="522"/>
      <c r="JQZ28" s="522"/>
      <c r="JRA28" s="523"/>
      <c r="JRB28" s="104"/>
      <c r="JRC28" s="521"/>
      <c r="JRD28" s="522"/>
      <c r="JRE28" s="522"/>
      <c r="JRF28" s="522"/>
      <c r="JRG28" s="523"/>
      <c r="JRH28" s="104"/>
      <c r="JRI28" s="521"/>
      <c r="JRJ28" s="522"/>
      <c r="JRK28" s="522"/>
      <c r="JRL28" s="522"/>
      <c r="JRM28" s="523"/>
      <c r="JRN28" s="104"/>
      <c r="JRO28" s="521"/>
      <c r="JRP28" s="522"/>
      <c r="JRQ28" s="522"/>
      <c r="JRR28" s="522"/>
      <c r="JRS28" s="523"/>
      <c r="JRT28" s="104"/>
      <c r="JRU28" s="521"/>
      <c r="JRV28" s="522"/>
      <c r="JRW28" s="522"/>
      <c r="JRX28" s="522"/>
      <c r="JRY28" s="523"/>
      <c r="JRZ28" s="104"/>
      <c r="JSA28" s="521"/>
      <c r="JSB28" s="522"/>
      <c r="JSC28" s="522"/>
      <c r="JSD28" s="522"/>
      <c r="JSE28" s="523"/>
      <c r="JSF28" s="104"/>
      <c r="JSG28" s="521"/>
      <c r="JSH28" s="522"/>
      <c r="JSI28" s="522"/>
      <c r="JSJ28" s="522"/>
      <c r="JSK28" s="523"/>
      <c r="JSL28" s="104"/>
      <c r="JSM28" s="521"/>
      <c r="JSN28" s="522"/>
      <c r="JSO28" s="522"/>
      <c r="JSP28" s="522"/>
      <c r="JSQ28" s="523"/>
      <c r="JSR28" s="104"/>
      <c r="JSS28" s="521"/>
      <c r="JST28" s="522"/>
      <c r="JSU28" s="522"/>
      <c r="JSV28" s="522"/>
      <c r="JSW28" s="523"/>
      <c r="JSX28" s="104"/>
      <c r="JSY28" s="521"/>
      <c r="JSZ28" s="522"/>
      <c r="JTA28" s="522"/>
      <c r="JTB28" s="522"/>
      <c r="JTC28" s="523"/>
      <c r="JTD28" s="104"/>
      <c r="JTE28" s="521"/>
      <c r="JTF28" s="522"/>
      <c r="JTG28" s="522"/>
      <c r="JTH28" s="522"/>
      <c r="JTI28" s="523"/>
      <c r="JTJ28" s="104"/>
      <c r="JTK28" s="521"/>
      <c r="JTL28" s="522"/>
      <c r="JTM28" s="522"/>
      <c r="JTN28" s="522"/>
      <c r="JTO28" s="523"/>
      <c r="JTP28" s="104"/>
      <c r="JTQ28" s="521"/>
      <c r="JTR28" s="522"/>
      <c r="JTS28" s="522"/>
      <c r="JTT28" s="522"/>
      <c r="JTU28" s="523"/>
      <c r="JTV28" s="104"/>
      <c r="JTW28" s="521"/>
      <c r="JTX28" s="522"/>
      <c r="JTY28" s="522"/>
      <c r="JTZ28" s="522"/>
      <c r="JUA28" s="523"/>
      <c r="JUB28" s="104"/>
      <c r="JUC28" s="521"/>
      <c r="JUD28" s="522"/>
      <c r="JUE28" s="522"/>
      <c r="JUF28" s="522"/>
      <c r="JUG28" s="523"/>
      <c r="JUH28" s="104"/>
      <c r="JUI28" s="521"/>
      <c r="JUJ28" s="522"/>
      <c r="JUK28" s="522"/>
      <c r="JUL28" s="522"/>
      <c r="JUM28" s="523"/>
      <c r="JUN28" s="104"/>
      <c r="JUO28" s="521"/>
      <c r="JUP28" s="522"/>
      <c r="JUQ28" s="522"/>
      <c r="JUR28" s="522"/>
      <c r="JUS28" s="523"/>
      <c r="JUT28" s="104"/>
      <c r="JUU28" s="521"/>
      <c r="JUV28" s="522"/>
      <c r="JUW28" s="522"/>
      <c r="JUX28" s="522"/>
      <c r="JUY28" s="523"/>
      <c r="JUZ28" s="104"/>
      <c r="JVA28" s="521"/>
      <c r="JVB28" s="522"/>
      <c r="JVC28" s="522"/>
      <c r="JVD28" s="522"/>
      <c r="JVE28" s="523"/>
      <c r="JVF28" s="104"/>
      <c r="JVG28" s="521"/>
      <c r="JVH28" s="522"/>
      <c r="JVI28" s="522"/>
      <c r="JVJ28" s="522"/>
      <c r="JVK28" s="523"/>
      <c r="JVL28" s="104"/>
      <c r="JVM28" s="521"/>
      <c r="JVN28" s="522"/>
      <c r="JVO28" s="522"/>
      <c r="JVP28" s="522"/>
      <c r="JVQ28" s="523"/>
      <c r="JVR28" s="104"/>
      <c r="JVS28" s="521"/>
      <c r="JVT28" s="522"/>
      <c r="JVU28" s="522"/>
      <c r="JVV28" s="522"/>
      <c r="JVW28" s="523"/>
      <c r="JVX28" s="104"/>
      <c r="JVY28" s="521"/>
      <c r="JVZ28" s="522"/>
      <c r="JWA28" s="522"/>
      <c r="JWB28" s="522"/>
      <c r="JWC28" s="523"/>
      <c r="JWD28" s="104"/>
      <c r="JWE28" s="521"/>
      <c r="JWF28" s="522"/>
      <c r="JWG28" s="522"/>
      <c r="JWH28" s="522"/>
      <c r="JWI28" s="523"/>
      <c r="JWJ28" s="104"/>
      <c r="JWK28" s="521"/>
      <c r="JWL28" s="522"/>
      <c r="JWM28" s="522"/>
      <c r="JWN28" s="522"/>
      <c r="JWO28" s="523"/>
      <c r="JWP28" s="104"/>
      <c r="JWQ28" s="521"/>
      <c r="JWR28" s="522"/>
      <c r="JWS28" s="522"/>
      <c r="JWT28" s="522"/>
      <c r="JWU28" s="523"/>
      <c r="JWV28" s="104"/>
      <c r="JWW28" s="521"/>
      <c r="JWX28" s="522"/>
      <c r="JWY28" s="522"/>
      <c r="JWZ28" s="522"/>
      <c r="JXA28" s="523"/>
      <c r="JXB28" s="104"/>
      <c r="JXC28" s="521"/>
      <c r="JXD28" s="522"/>
      <c r="JXE28" s="522"/>
      <c r="JXF28" s="522"/>
      <c r="JXG28" s="523"/>
      <c r="JXH28" s="104"/>
      <c r="JXI28" s="521"/>
      <c r="JXJ28" s="522"/>
      <c r="JXK28" s="522"/>
      <c r="JXL28" s="522"/>
      <c r="JXM28" s="523"/>
      <c r="JXN28" s="104"/>
      <c r="JXO28" s="521"/>
      <c r="JXP28" s="522"/>
      <c r="JXQ28" s="522"/>
      <c r="JXR28" s="522"/>
      <c r="JXS28" s="523"/>
      <c r="JXT28" s="104"/>
      <c r="JXU28" s="521"/>
      <c r="JXV28" s="522"/>
      <c r="JXW28" s="522"/>
      <c r="JXX28" s="522"/>
      <c r="JXY28" s="523"/>
      <c r="JXZ28" s="104"/>
      <c r="JYA28" s="521"/>
      <c r="JYB28" s="522"/>
      <c r="JYC28" s="522"/>
      <c r="JYD28" s="522"/>
      <c r="JYE28" s="523"/>
      <c r="JYF28" s="104"/>
      <c r="JYG28" s="521"/>
      <c r="JYH28" s="522"/>
      <c r="JYI28" s="522"/>
      <c r="JYJ28" s="522"/>
      <c r="JYK28" s="523"/>
      <c r="JYL28" s="104"/>
      <c r="JYM28" s="521"/>
      <c r="JYN28" s="522"/>
      <c r="JYO28" s="522"/>
      <c r="JYP28" s="522"/>
      <c r="JYQ28" s="523"/>
      <c r="JYR28" s="104"/>
      <c r="JYS28" s="521"/>
      <c r="JYT28" s="522"/>
      <c r="JYU28" s="522"/>
      <c r="JYV28" s="522"/>
      <c r="JYW28" s="523"/>
      <c r="JYX28" s="104"/>
      <c r="JYY28" s="521"/>
      <c r="JYZ28" s="522"/>
      <c r="JZA28" s="522"/>
      <c r="JZB28" s="522"/>
      <c r="JZC28" s="523"/>
      <c r="JZD28" s="104"/>
      <c r="JZE28" s="521"/>
      <c r="JZF28" s="522"/>
      <c r="JZG28" s="522"/>
      <c r="JZH28" s="522"/>
      <c r="JZI28" s="523"/>
      <c r="JZJ28" s="104"/>
      <c r="JZK28" s="521"/>
      <c r="JZL28" s="522"/>
      <c r="JZM28" s="522"/>
      <c r="JZN28" s="522"/>
      <c r="JZO28" s="523"/>
      <c r="JZP28" s="104"/>
      <c r="JZQ28" s="521"/>
      <c r="JZR28" s="522"/>
      <c r="JZS28" s="522"/>
      <c r="JZT28" s="522"/>
      <c r="JZU28" s="523"/>
      <c r="JZV28" s="104"/>
      <c r="JZW28" s="521"/>
      <c r="JZX28" s="522"/>
      <c r="JZY28" s="522"/>
      <c r="JZZ28" s="522"/>
      <c r="KAA28" s="523"/>
      <c r="KAB28" s="104"/>
      <c r="KAC28" s="521"/>
      <c r="KAD28" s="522"/>
      <c r="KAE28" s="522"/>
      <c r="KAF28" s="522"/>
      <c r="KAG28" s="523"/>
      <c r="KAH28" s="104"/>
      <c r="KAI28" s="521"/>
      <c r="KAJ28" s="522"/>
      <c r="KAK28" s="522"/>
      <c r="KAL28" s="522"/>
      <c r="KAM28" s="523"/>
      <c r="KAN28" s="104"/>
      <c r="KAO28" s="521"/>
      <c r="KAP28" s="522"/>
      <c r="KAQ28" s="522"/>
      <c r="KAR28" s="522"/>
      <c r="KAS28" s="523"/>
      <c r="KAT28" s="104"/>
      <c r="KAU28" s="521"/>
      <c r="KAV28" s="522"/>
      <c r="KAW28" s="522"/>
      <c r="KAX28" s="522"/>
      <c r="KAY28" s="523"/>
      <c r="KAZ28" s="104"/>
      <c r="KBA28" s="521"/>
      <c r="KBB28" s="522"/>
      <c r="KBC28" s="522"/>
      <c r="KBD28" s="522"/>
      <c r="KBE28" s="523"/>
      <c r="KBF28" s="104"/>
      <c r="KBG28" s="521"/>
      <c r="KBH28" s="522"/>
      <c r="KBI28" s="522"/>
      <c r="KBJ28" s="522"/>
      <c r="KBK28" s="523"/>
      <c r="KBL28" s="104"/>
      <c r="KBM28" s="521"/>
      <c r="KBN28" s="522"/>
      <c r="KBO28" s="522"/>
      <c r="KBP28" s="522"/>
      <c r="KBQ28" s="523"/>
      <c r="KBR28" s="104"/>
      <c r="KBS28" s="521"/>
      <c r="KBT28" s="522"/>
      <c r="KBU28" s="522"/>
      <c r="KBV28" s="522"/>
      <c r="KBW28" s="523"/>
      <c r="KBX28" s="104"/>
      <c r="KBY28" s="521"/>
      <c r="KBZ28" s="522"/>
      <c r="KCA28" s="522"/>
      <c r="KCB28" s="522"/>
      <c r="KCC28" s="523"/>
      <c r="KCD28" s="104"/>
      <c r="KCE28" s="521"/>
      <c r="KCF28" s="522"/>
      <c r="KCG28" s="522"/>
      <c r="KCH28" s="522"/>
      <c r="KCI28" s="523"/>
      <c r="KCJ28" s="104"/>
      <c r="KCK28" s="521"/>
      <c r="KCL28" s="522"/>
      <c r="KCM28" s="522"/>
      <c r="KCN28" s="522"/>
      <c r="KCO28" s="523"/>
      <c r="KCP28" s="104"/>
      <c r="KCQ28" s="521"/>
      <c r="KCR28" s="522"/>
      <c r="KCS28" s="522"/>
      <c r="KCT28" s="522"/>
      <c r="KCU28" s="523"/>
      <c r="KCV28" s="104"/>
      <c r="KCW28" s="521"/>
      <c r="KCX28" s="522"/>
      <c r="KCY28" s="522"/>
      <c r="KCZ28" s="522"/>
      <c r="KDA28" s="523"/>
      <c r="KDB28" s="104"/>
      <c r="KDC28" s="521"/>
      <c r="KDD28" s="522"/>
      <c r="KDE28" s="522"/>
      <c r="KDF28" s="522"/>
      <c r="KDG28" s="523"/>
      <c r="KDH28" s="104"/>
      <c r="KDI28" s="521"/>
      <c r="KDJ28" s="522"/>
      <c r="KDK28" s="522"/>
      <c r="KDL28" s="522"/>
      <c r="KDM28" s="523"/>
      <c r="KDN28" s="104"/>
      <c r="KDO28" s="521"/>
      <c r="KDP28" s="522"/>
      <c r="KDQ28" s="522"/>
      <c r="KDR28" s="522"/>
      <c r="KDS28" s="523"/>
      <c r="KDT28" s="104"/>
      <c r="KDU28" s="521"/>
      <c r="KDV28" s="522"/>
      <c r="KDW28" s="522"/>
      <c r="KDX28" s="522"/>
      <c r="KDY28" s="523"/>
      <c r="KDZ28" s="104"/>
      <c r="KEA28" s="521"/>
      <c r="KEB28" s="522"/>
      <c r="KEC28" s="522"/>
      <c r="KED28" s="522"/>
      <c r="KEE28" s="523"/>
      <c r="KEF28" s="104"/>
      <c r="KEG28" s="521"/>
      <c r="KEH28" s="522"/>
      <c r="KEI28" s="522"/>
      <c r="KEJ28" s="522"/>
      <c r="KEK28" s="523"/>
      <c r="KEL28" s="104"/>
      <c r="KEM28" s="521"/>
      <c r="KEN28" s="522"/>
      <c r="KEO28" s="522"/>
      <c r="KEP28" s="522"/>
      <c r="KEQ28" s="523"/>
      <c r="KER28" s="104"/>
      <c r="KES28" s="521"/>
      <c r="KET28" s="522"/>
      <c r="KEU28" s="522"/>
      <c r="KEV28" s="522"/>
      <c r="KEW28" s="523"/>
      <c r="KEX28" s="104"/>
      <c r="KEY28" s="521"/>
      <c r="KEZ28" s="522"/>
      <c r="KFA28" s="522"/>
      <c r="KFB28" s="522"/>
      <c r="KFC28" s="523"/>
      <c r="KFD28" s="104"/>
      <c r="KFE28" s="521"/>
      <c r="KFF28" s="522"/>
      <c r="KFG28" s="522"/>
      <c r="KFH28" s="522"/>
      <c r="KFI28" s="523"/>
      <c r="KFJ28" s="104"/>
      <c r="KFK28" s="521"/>
      <c r="KFL28" s="522"/>
      <c r="KFM28" s="522"/>
      <c r="KFN28" s="522"/>
      <c r="KFO28" s="523"/>
      <c r="KFP28" s="104"/>
      <c r="KFQ28" s="521"/>
      <c r="KFR28" s="522"/>
      <c r="KFS28" s="522"/>
      <c r="KFT28" s="522"/>
      <c r="KFU28" s="523"/>
      <c r="KFV28" s="104"/>
      <c r="KFW28" s="521"/>
      <c r="KFX28" s="522"/>
      <c r="KFY28" s="522"/>
      <c r="KFZ28" s="522"/>
      <c r="KGA28" s="523"/>
      <c r="KGB28" s="104"/>
      <c r="KGC28" s="521"/>
      <c r="KGD28" s="522"/>
      <c r="KGE28" s="522"/>
      <c r="KGF28" s="522"/>
      <c r="KGG28" s="523"/>
      <c r="KGH28" s="104"/>
      <c r="KGI28" s="521"/>
      <c r="KGJ28" s="522"/>
      <c r="KGK28" s="522"/>
      <c r="KGL28" s="522"/>
      <c r="KGM28" s="523"/>
      <c r="KGN28" s="104"/>
      <c r="KGO28" s="521"/>
      <c r="KGP28" s="522"/>
      <c r="KGQ28" s="522"/>
      <c r="KGR28" s="522"/>
      <c r="KGS28" s="523"/>
      <c r="KGT28" s="104"/>
      <c r="KGU28" s="521"/>
      <c r="KGV28" s="522"/>
      <c r="KGW28" s="522"/>
      <c r="KGX28" s="522"/>
      <c r="KGY28" s="523"/>
      <c r="KGZ28" s="104"/>
      <c r="KHA28" s="521"/>
      <c r="KHB28" s="522"/>
      <c r="KHC28" s="522"/>
      <c r="KHD28" s="522"/>
      <c r="KHE28" s="523"/>
      <c r="KHF28" s="104"/>
      <c r="KHG28" s="521"/>
      <c r="KHH28" s="522"/>
      <c r="KHI28" s="522"/>
      <c r="KHJ28" s="522"/>
      <c r="KHK28" s="523"/>
      <c r="KHL28" s="104"/>
      <c r="KHM28" s="521"/>
      <c r="KHN28" s="522"/>
      <c r="KHO28" s="522"/>
      <c r="KHP28" s="522"/>
      <c r="KHQ28" s="523"/>
      <c r="KHR28" s="104"/>
      <c r="KHS28" s="521"/>
      <c r="KHT28" s="522"/>
      <c r="KHU28" s="522"/>
      <c r="KHV28" s="522"/>
      <c r="KHW28" s="523"/>
      <c r="KHX28" s="104"/>
      <c r="KHY28" s="521"/>
      <c r="KHZ28" s="522"/>
      <c r="KIA28" s="522"/>
      <c r="KIB28" s="522"/>
      <c r="KIC28" s="523"/>
      <c r="KID28" s="104"/>
      <c r="KIE28" s="521"/>
      <c r="KIF28" s="522"/>
      <c r="KIG28" s="522"/>
      <c r="KIH28" s="522"/>
      <c r="KII28" s="523"/>
      <c r="KIJ28" s="104"/>
      <c r="KIK28" s="521"/>
      <c r="KIL28" s="522"/>
      <c r="KIM28" s="522"/>
      <c r="KIN28" s="522"/>
      <c r="KIO28" s="523"/>
      <c r="KIP28" s="104"/>
      <c r="KIQ28" s="521"/>
      <c r="KIR28" s="522"/>
      <c r="KIS28" s="522"/>
      <c r="KIT28" s="522"/>
      <c r="KIU28" s="523"/>
      <c r="KIV28" s="104"/>
      <c r="KIW28" s="521"/>
      <c r="KIX28" s="522"/>
      <c r="KIY28" s="522"/>
      <c r="KIZ28" s="522"/>
      <c r="KJA28" s="523"/>
      <c r="KJB28" s="104"/>
      <c r="KJC28" s="521"/>
      <c r="KJD28" s="522"/>
      <c r="KJE28" s="522"/>
      <c r="KJF28" s="522"/>
      <c r="KJG28" s="523"/>
      <c r="KJH28" s="104"/>
      <c r="KJI28" s="521"/>
      <c r="KJJ28" s="522"/>
      <c r="KJK28" s="522"/>
      <c r="KJL28" s="522"/>
      <c r="KJM28" s="523"/>
      <c r="KJN28" s="104"/>
      <c r="KJO28" s="521"/>
      <c r="KJP28" s="522"/>
      <c r="KJQ28" s="522"/>
      <c r="KJR28" s="522"/>
      <c r="KJS28" s="523"/>
      <c r="KJT28" s="104"/>
      <c r="KJU28" s="521"/>
      <c r="KJV28" s="522"/>
      <c r="KJW28" s="522"/>
      <c r="KJX28" s="522"/>
      <c r="KJY28" s="523"/>
      <c r="KJZ28" s="104"/>
      <c r="KKA28" s="521"/>
      <c r="KKB28" s="522"/>
      <c r="KKC28" s="522"/>
      <c r="KKD28" s="522"/>
      <c r="KKE28" s="523"/>
      <c r="KKF28" s="104"/>
      <c r="KKG28" s="521"/>
      <c r="KKH28" s="522"/>
      <c r="KKI28" s="522"/>
      <c r="KKJ28" s="522"/>
      <c r="KKK28" s="523"/>
      <c r="KKL28" s="104"/>
      <c r="KKM28" s="521"/>
      <c r="KKN28" s="522"/>
      <c r="KKO28" s="522"/>
      <c r="KKP28" s="522"/>
      <c r="KKQ28" s="523"/>
      <c r="KKR28" s="104"/>
      <c r="KKS28" s="521"/>
      <c r="KKT28" s="522"/>
      <c r="KKU28" s="522"/>
      <c r="KKV28" s="522"/>
      <c r="KKW28" s="523"/>
      <c r="KKX28" s="104"/>
      <c r="KKY28" s="521"/>
      <c r="KKZ28" s="522"/>
      <c r="KLA28" s="522"/>
      <c r="KLB28" s="522"/>
      <c r="KLC28" s="523"/>
      <c r="KLD28" s="104"/>
      <c r="KLE28" s="521"/>
      <c r="KLF28" s="522"/>
      <c r="KLG28" s="522"/>
      <c r="KLH28" s="522"/>
      <c r="KLI28" s="523"/>
      <c r="KLJ28" s="104"/>
      <c r="KLK28" s="521"/>
      <c r="KLL28" s="522"/>
      <c r="KLM28" s="522"/>
      <c r="KLN28" s="522"/>
      <c r="KLO28" s="523"/>
      <c r="KLP28" s="104"/>
      <c r="KLQ28" s="521"/>
      <c r="KLR28" s="522"/>
      <c r="KLS28" s="522"/>
      <c r="KLT28" s="522"/>
      <c r="KLU28" s="523"/>
      <c r="KLV28" s="104"/>
      <c r="KLW28" s="521"/>
      <c r="KLX28" s="522"/>
      <c r="KLY28" s="522"/>
      <c r="KLZ28" s="522"/>
      <c r="KMA28" s="523"/>
      <c r="KMB28" s="104"/>
      <c r="KMC28" s="521"/>
      <c r="KMD28" s="522"/>
      <c r="KME28" s="522"/>
      <c r="KMF28" s="522"/>
      <c r="KMG28" s="523"/>
      <c r="KMH28" s="104"/>
      <c r="KMI28" s="521"/>
      <c r="KMJ28" s="522"/>
      <c r="KMK28" s="522"/>
      <c r="KML28" s="522"/>
      <c r="KMM28" s="523"/>
      <c r="KMN28" s="104"/>
      <c r="KMO28" s="521"/>
      <c r="KMP28" s="522"/>
      <c r="KMQ28" s="522"/>
      <c r="KMR28" s="522"/>
      <c r="KMS28" s="523"/>
      <c r="KMT28" s="104"/>
      <c r="KMU28" s="521"/>
      <c r="KMV28" s="522"/>
      <c r="KMW28" s="522"/>
      <c r="KMX28" s="522"/>
      <c r="KMY28" s="523"/>
      <c r="KMZ28" s="104"/>
      <c r="KNA28" s="521"/>
      <c r="KNB28" s="522"/>
      <c r="KNC28" s="522"/>
      <c r="KND28" s="522"/>
      <c r="KNE28" s="523"/>
      <c r="KNF28" s="104"/>
      <c r="KNG28" s="521"/>
      <c r="KNH28" s="522"/>
      <c r="KNI28" s="522"/>
      <c r="KNJ28" s="522"/>
      <c r="KNK28" s="523"/>
      <c r="KNL28" s="104"/>
      <c r="KNM28" s="521"/>
      <c r="KNN28" s="522"/>
      <c r="KNO28" s="522"/>
      <c r="KNP28" s="522"/>
      <c r="KNQ28" s="523"/>
      <c r="KNR28" s="104"/>
      <c r="KNS28" s="521"/>
      <c r="KNT28" s="522"/>
      <c r="KNU28" s="522"/>
      <c r="KNV28" s="522"/>
      <c r="KNW28" s="523"/>
      <c r="KNX28" s="104"/>
      <c r="KNY28" s="521"/>
      <c r="KNZ28" s="522"/>
      <c r="KOA28" s="522"/>
      <c r="KOB28" s="522"/>
      <c r="KOC28" s="523"/>
      <c r="KOD28" s="104"/>
      <c r="KOE28" s="521"/>
      <c r="KOF28" s="522"/>
      <c r="KOG28" s="522"/>
      <c r="KOH28" s="522"/>
      <c r="KOI28" s="523"/>
      <c r="KOJ28" s="104"/>
      <c r="KOK28" s="521"/>
      <c r="KOL28" s="522"/>
      <c r="KOM28" s="522"/>
      <c r="KON28" s="522"/>
      <c r="KOO28" s="523"/>
      <c r="KOP28" s="104"/>
      <c r="KOQ28" s="521"/>
      <c r="KOR28" s="522"/>
      <c r="KOS28" s="522"/>
      <c r="KOT28" s="522"/>
      <c r="KOU28" s="523"/>
      <c r="KOV28" s="104"/>
      <c r="KOW28" s="521"/>
      <c r="KOX28" s="522"/>
      <c r="KOY28" s="522"/>
      <c r="KOZ28" s="522"/>
      <c r="KPA28" s="523"/>
      <c r="KPB28" s="104"/>
      <c r="KPC28" s="521"/>
      <c r="KPD28" s="522"/>
      <c r="KPE28" s="522"/>
      <c r="KPF28" s="522"/>
      <c r="KPG28" s="523"/>
      <c r="KPH28" s="104"/>
      <c r="KPI28" s="521"/>
      <c r="KPJ28" s="522"/>
      <c r="KPK28" s="522"/>
      <c r="KPL28" s="522"/>
      <c r="KPM28" s="523"/>
      <c r="KPN28" s="104"/>
      <c r="KPO28" s="521"/>
      <c r="KPP28" s="522"/>
      <c r="KPQ28" s="522"/>
      <c r="KPR28" s="522"/>
      <c r="KPS28" s="523"/>
      <c r="KPT28" s="104"/>
      <c r="KPU28" s="521"/>
      <c r="KPV28" s="522"/>
      <c r="KPW28" s="522"/>
      <c r="KPX28" s="522"/>
      <c r="KPY28" s="523"/>
      <c r="KPZ28" s="104"/>
      <c r="KQA28" s="521"/>
      <c r="KQB28" s="522"/>
      <c r="KQC28" s="522"/>
      <c r="KQD28" s="522"/>
      <c r="KQE28" s="523"/>
      <c r="KQF28" s="104"/>
      <c r="KQG28" s="521"/>
      <c r="KQH28" s="522"/>
      <c r="KQI28" s="522"/>
      <c r="KQJ28" s="522"/>
      <c r="KQK28" s="523"/>
      <c r="KQL28" s="104"/>
      <c r="KQM28" s="521"/>
      <c r="KQN28" s="522"/>
      <c r="KQO28" s="522"/>
      <c r="KQP28" s="522"/>
      <c r="KQQ28" s="523"/>
      <c r="KQR28" s="104"/>
      <c r="KQS28" s="521"/>
      <c r="KQT28" s="522"/>
      <c r="KQU28" s="522"/>
      <c r="KQV28" s="522"/>
      <c r="KQW28" s="523"/>
      <c r="KQX28" s="104"/>
      <c r="KQY28" s="521"/>
      <c r="KQZ28" s="522"/>
      <c r="KRA28" s="522"/>
      <c r="KRB28" s="522"/>
      <c r="KRC28" s="523"/>
      <c r="KRD28" s="104"/>
      <c r="KRE28" s="521"/>
      <c r="KRF28" s="522"/>
      <c r="KRG28" s="522"/>
      <c r="KRH28" s="522"/>
      <c r="KRI28" s="523"/>
      <c r="KRJ28" s="104"/>
      <c r="KRK28" s="521"/>
      <c r="KRL28" s="522"/>
      <c r="KRM28" s="522"/>
      <c r="KRN28" s="522"/>
      <c r="KRO28" s="523"/>
      <c r="KRP28" s="104"/>
      <c r="KRQ28" s="521"/>
      <c r="KRR28" s="522"/>
      <c r="KRS28" s="522"/>
      <c r="KRT28" s="522"/>
      <c r="KRU28" s="523"/>
      <c r="KRV28" s="104"/>
      <c r="KRW28" s="521"/>
      <c r="KRX28" s="522"/>
      <c r="KRY28" s="522"/>
      <c r="KRZ28" s="522"/>
      <c r="KSA28" s="523"/>
      <c r="KSB28" s="104"/>
      <c r="KSC28" s="521"/>
      <c r="KSD28" s="522"/>
      <c r="KSE28" s="522"/>
      <c r="KSF28" s="522"/>
      <c r="KSG28" s="523"/>
      <c r="KSH28" s="104"/>
      <c r="KSI28" s="521"/>
      <c r="KSJ28" s="522"/>
      <c r="KSK28" s="522"/>
      <c r="KSL28" s="522"/>
      <c r="KSM28" s="523"/>
      <c r="KSN28" s="104"/>
      <c r="KSO28" s="521"/>
      <c r="KSP28" s="522"/>
      <c r="KSQ28" s="522"/>
      <c r="KSR28" s="522"/>
      <c r="KSS28" s="523"/>
      <c r="KST28" s="104"/>
      <c r="KSU28" s="521"/>
      <c r="KSV28" s="522"/>
      <c r="KSW28" s="522"/>
      <c r="KSX28" s="522"/>
      <c r="KSY28" s="523"/>
      <c r="KSZ28" s="104"/>
      <c r="KTA28" s="521"/>
      <c r="KTB28" s="522"/>
      <c r="KTC28" s="522"/>
      <c r="KTD28" s="522"/>
      <c r="KTE28" s="523"/>
      <c r="KTF28" s="104"/>
      <c r="KTG28" s="521"/>
      <c r="KTH28" s="522"/>
      <c r="KTI28" s="522"/>
      <c r="KTJ28" s="522"/>
      <c r="KTK28" s="523"/>
      <c r="KTL28" s="104"/>
      <c r="KTM28" s="521"/>
      <c r="KTN28" s="522"/>
      <c r="KTO28" s="522"/>
      <c r="KTP28" s="522"/>
      <c r="KTQ28" s="523"/>
      <c r="KTR28" s="104"/>
      <c r="KTS28" s="521"/>
      <c r="KTT28" s="522"/>
      <c r="KTU28" s="522"/>
      <c r="KTV28" s="522"/>
      <c r="KTW28" s="523"/>
      <c r="KTX28" s="104"/>
      <c r="KTY28" s="521"/>
      <c r="KTZ28" s="522"/>
      <c r="KUA28" s="522"/>
      <c r="KUB28" s="522"/>
      <c r="KUC28" s="523"/>
      <c r="KUD28" s="104"/>
      <c r="KUE28" s="521"/>
      <c r="KUF28" s="522"/>
      <c r="KUG28" s="522"/>
      <c r="KUH28" s="522"/>
      <c r="KUI28" s="523"/>
      <c r="KUJ28" s="104"/>
      <c r="KUK28" s="521"/>
      <c r="KUL28" s="522"/>
      <c r="KUM28" s="522"/>
      <c r="KUN28" s="522"/>
      <c r="KUO28" s="523"/>
      <c r="KUP28" s="104"/>
      <c r="KUQ28" s="521"/>
      <c r="KUR28" s="522"/>
      <c r="KUS28" s="522"/>
      <c r="KUT28" s="522"/>
      <c r="KUU28" s="523"/>
      <c r="KUV28" s="104"/>
      <c r="KUW28" s="521"/>
      <c r="KUX28" s="522"/>
      <c r="KUY28" s="522"/>
      <c r="KUZ28" s="522"/>
      <c r="KVA28" s="523"/>
      <c r="KVB28" s="104"/>
      <c r="KVC28" s="521"/>
      <c r="KVD28" s="522"/>
      <c r="KVE28" s="522"/>
      <c r="KVF28" s="522"/>
      <c r="KVG28" s="523"/>
      <c r="KVH28" s="104"/>
      <c r="KVI28" s="521"/>
      <c r="KVJ28" s="522"/>
      <c r="KVK28" s="522"/>
      <c r="KVL28" s="522"/>
      <c r="KVM28" s="523"/>
      <c r="KVN28" s="104"/>
      <c r="KVO28" s="521"/>
      <c r="KVP28" s="522"/>
      <c r="KVQ28" s="522"/>
      <c r="KVR28" s="522"/>
      <c r="KVS28" s="523"/>
      <c r="KVT28" s="104"/>
      <c r="KVU28" s="521"/>
      <c r="KVV28" s="522"/>
      <c r="KVW28" s="522"/>
      <c r="KVX28" s="522"/>
      <c r="KVY28" s="523"/>
      <c r="KVZ28" s="104"/>
      <c r="KWA28" s="521"/>
      <c r="KWB28" s="522"/>
      <c r="KWC28" s="522"/>
      <c r="KWD28" s="522"/>
      <c r="KWE28" s="523"/>
      <c r="KWF28" s="104"/>
      <c r="KWG28" s="521"/>
      <c r="KWH28" s="522"/>
      <c r="KWI28" s="522"/>
      <c r="KWJ28" s="522"/>
      <c r="KWK28" s="523"/>
      <c r="KWL28" s="104"/>
      <c r="KWM28" s="521"/>
      <c r="KWN28" s="522"/>
      <c r="KWO28" s="522"/>
      <c r="KWP28" s="522"/>
      <c r="KWQ28" s="523"/>
      <c r="KWR28" s="104"/>
      <c r="KWS28" s="521"/>
      <c r="KWT28" s="522"/>
      <c r="KWU28" s="522"/>
      <c r="KWV28" s="522"/>
      <c r="KWW28" s="523"/>
      <c r="KWX28" s="104"/>
      <c r="KWY28" s="521"/>
      <c r="KWZ28" s="522"/>
      <c r="KXA28" s="522"/>
      <c r="KXB28" s="522"/>
      <c r="KXC28" s="523"/>
      <c r="KXD28" s="104"/>
      <c r="KXE28" s="521"/>
      <c r="KXF28" s="522"/>
      <c r="KXG28" s="522"/>
      <c r="KXH28" s="522"/>
      <c r="KXI28" s="523"/>
      <c r="KXJ28" s="104"/>
      <c r="KXK28" s="521"/>
      <c r="KXL28" s="522"/>
      <c r="KXM28" s="522"/>
      <c r="KXN28" s="522"/>
      <c r="KXO28" s="523"/>
      <c r="KXP28" s="104"/>
      <c r="KXQ28" s="521"/>
      <c r="KXR28" s="522"/>
      <c r="KXS28" s="522"/>
      <c r="KXT28" s="522"/>
      <c r="KXU28" s="523"/>
      <c r="KXV28" s="104"/>
      <c r="KXW28" s="521"/>
      <c r="KXX28" s="522"/>
      <c r="KXY28" s="522"/>
      <c r="KXZ28" s="522"/>
      <c r="KYA28" s="523"/>
      <c r="KYB28" s="104"/>
      <c r="KYC28" s="521"/>
      <c r="KYD28" s="522"/>
      <c r="KYE28" s="522"/>
      <c r="KYF28" s="522"/>
      <c r="KYG28" s="523"/>
      <c r="KYH28" s="104"/>
      <c r="KYI28" s="521"/>
      <c r="KYJ28" s="522"/>
      <c r="KYK28" s="522"/>
      <c r="KYL28" s="522"/>
      <c r="KYM28" s="523"/>
      <c r="KYN28" s="104"/>
      <c r="KYO28" s="521"/>
      <c r="KYP28" s="522"/>
      <c r="KYQ28" s="522"/>
      <c r="KYR28" s="522"/>
      <c r="KYS28" s="523"/>
      <c r="KYT28" s="104"/>
      <c r="KYU28" s="521"/>
      <c r="KYV28" s="522"/>
      <c r="KYW28" s="522"/>
      <c r="KYX28" s="522"/>
      <c r="KYY28" s="523"/>
      <c r="KYZ28" s="104"/>
      <c r="KZA28" s="521"/>
      <c r="KZB28" s="522"/>
      <c r="KZC28" s="522"/>
      <c r="KZD28" s="522"/>
      <c r="KZE28" s="523"/>
      <c r="KZF28" s="104"/>
      <c r="KZG28" s="521"/>
      <c r="KZH28" s="522"/>
      <c r="KZI28" s="522"/>
      <c r="KZJ28" s="522"/>
      <c r="KZK28" s="523"/>
      <c r="KZL28" s="104"/>
      <c r="KZM28" s="521"/>
      <c r="KZN28" s="522"/>
      <c r="KZO28" s="522"/>
      <c r="KZP28" s="522"/>
      <c r="KZQ28" s="523"/>
      <c r="KZR28" s="104"/>
      <c r="KZS28" s="521"/>
      <c r="KZT28" s="522"/>
      <c r="KZU28" s="522"/>
      <c r="KZV28" s="522"/>
      <c r="KZW28" s="523"/>
      <c r="KZX28" s="104"/>
      <c r="KZY28" s="521"/>
      <c r="KZZ28" s="522"/>
      <c r="LAA28" s="522"/>
      <c r="LAB28" s="522"/>
      <c r="LAC28" s="523"/>
      <c r="LAD28" s="104"/>
      <c r="LAE28" s="521"/>
      <c r="LAF28" s="522"/>
      <c r="LAG28" s="522"/>
      <c r="LAH28" s="522"/>
      <c r="LAI28" s="523"/>
      <c r="LAJ28" s="104"/>
      <c r="LAK28" s="521"/>
      <c r="LAL28" s="522"/>
      <c r="LAM28" s="522"/>
      <c r="LAN28" s="522"/>
      <c r="LAO28" s="523"/>
      <c r="LAP28" s="104"/>
      <c r="LAQ28" s="521"/>
      <c r="LAR28" s="522"/>
      <c r="LAS28" s="522"/>
      <c r="LAT28" s="522"/>
      <c r="LAU28" s="523"/>
      <c r="LAV28" s="104"/>
      <c r="LAW28" s="521"/>
      <c r="LAX28" s="522"/>
      <c r="LAY28" s="522"/>
      <c r="LAZ28" s="522"/>
      <c r="LBA28" s="523"/>
      <c r="LBB28" s="104"/>
      <c r="LBC28" s="521"/>
      <c r="LBD28" s="522"/>
      <c r="LBE28" s="522"/>
      <c r="LBF28" s="522"/>
      <c r="LBG28" s="523"/>
      <c r="LBH28" s="104"/>
      <c r="LBI28" s="521"/>
      <c r="LBJ28" s="522"/>
      <c r="LBK28" s="522"/>
      <c r="LBL28" s="522"/>
      <c r="LBM28" s="523"/>
      <c r="LBN28" s="104"/>
      <c r="LBO28" s="521"/>
      <c r="LBP28" s="522"/>
      <c r="LBQ28" s="522"/>
      <c r="LBR28" s="522"/>
      <c r="LBS28" s="523"/>
      <c r="LBT28" s="104"/>
      <c r="LBU28" s="521"/>
      <c r="LBV28" s="522"/>
      <c r="LBW28" s="522"/>
      <c r="LBX28" s="522"/>
      <c r="LBY28" s="523"/>
      <c r="LBZ28" s="104"/>
      <c r="LCA28" s="521"/>
      <c r="LCB28" s="522"/>
      <c r="LCC28" s="522"/>
      <c r="LCD28" s="522"/>
      <c r="LCE28" s="523"/>
      <c r="LCF28" s="104"/>
      <c r="LCG28" s="521"/>
      <c r="LCH28" s="522"/>
      <c r="LCI28" s="522"/>
      <c r="LCJ28" s="522"/>
      <c r="LCK28" s="523"/>
      <c r="LCL28" s="104"/>
      <c r="LCM28" s="521"/>
      <c r="LCN28" s="522"/>
      <c r="LCO28" s="522"/>
      <c r="LCP28" s="522"/>
      <c r="LCQ28" s="523"/>
      <c r="LCR28" s="104"/>
      <c r="LCS28" s="521"/>
      <c r="LCT28" s="522"/>
      <c r="LCU28" s="522"/>
      <c r="LCV28" s="522"/>
      <c r="LCW28" s="523"/>
      <c r="LCX28" s="104"/>
      <c r="LCY28" s="521"/>
      <c r="LCZ28" s="522"/>
      <c r="LDA28" s="522"/>
      <c r="LDB28" s="522"/>
      <c r="LDC28" s="523"/>
      <c r="LDD28" s="104"/>
      <c r="LDE28" s="521"/>
      <c r="LDF28" s="522"/>
      <c r="LDG28" s="522"/>
      <c r="LDH28" s="522"/>
      <c r="LDI28" s="523"/>
      <c r="LDJ28" s="104"/>
      <c r="LDK28" s="521"/>
      <c r="LDL28" s="522"/>
      <c r="LDM28" s="522"/>
      <c r="LDN28" s="522"/>
      <c r="LDO28" s="523"/>
      <c r="LDP28" s="104"/>
      <c r="LDQ28" s="521"/>
      <c r="LDR28" s="522"/>
      <c r="LDS28" s="522"/>
      <c r="LDT28" s="522"/>
      <c r="LDU28" s="523"/>
      <c r="LDV28" s="104"/>
      <c r="LDW28" s="521"/>
      <c r="LDX28" s="522"/>
      <c r="LDY28" s="522"/>
      <c r="LDZ28" s="522"/>
      <c r="LEA28" s="523"/>
      <c r="LEB28" s="104"/>
      <c r="LEC28" s="521"/>
      <c r="LED28" s="522"/>
      <c r="LEE28" s="522"/>
      <c r="LEF28" s="522"/>
      <c r="LEG28" s="523"/>
      <c r="LEH28" s="104"/>
      <c r="LEI28" s="521"/>
      <c r="LEJ28" s="522"/>
      <c r="LEK28" s="522"/>
      <c r="LEL28" s="522"/>
      <c r="LEM28" s="523"/>
      <c r="LEN28" s="104"/>
      <c r="LEO28" s="521"/>
      <c r="LEP28" s="522"/>
      <c r="LEQ28" s="522"/>
      <c r="LER28" s="522"/>
      <c r="LES28" s="523"/>
      <c r="LET28" s="104"/>
      <c r="LEU28" s="521"/>
      <c r="LEV28" s="522"/>
      <c r="LEW28" s="522"/>
      <c r="LEX28" s="522"/>
      <c r="LEY28" s="523"/>
      <c r="LEZ28" s="104"/>
      <c r="LFA28" s="521"/>
      <c r="LFB28" s="522"/>
      <c r="LFC28" s="522"/>
      <c r="LFD28" s="522"/>
      <c r="LFE28" s="523"/>
      <c r="LFF28" s="104"/>
      <c r="LFG28" s="521"/>
      <c r="LFH28" s="522"/>
      <c r="LFI28" s="522"/>
      <c r="LFJ28" s="522"/>
      <c r="LFK28" s="523"/>
      <c r="LFL28" s="104"/>
      <c r="LFM28" s="521"/>
      <c r="LFN28" s="522"/>
      <c r="LFO28" s="522"/>
      <c r="LFP28" s="522"/>
      <c r="LFQ28" s="523"/>
      <c r="LFR28" s="104"/>
      <c r="LFS28" s="521"/>
      <c r="LFT28" s="522"/>
      <c r="LFU28" s="522"/>
      <c r="LFV28" s="522"/>
      <c r="LFW28" s="523"/>
      <c r="LFX28" s="104"/>
      <c r="LFY28" s="521"/>
      <c r="LFZ28" s="522"/>
      <c r="LGA28" s="522"/>
      <c r="LGB28" s="522"/>
      <c r="LGC28" s="523"/>
      <c r="LGD28" s="104"/>
      <c r="LGE28" s="521"/>
      <c r="LGF28" s="522"/>
      <c r="LGG28" s="522"/>
      <c r="LGH28" s="522"/>
      <c r="LGI28" s="523"/>
      <c r="LGJ28" s="104"/>
      <c r="LGK28" s="521"/>
      <c r="LGL28" s="522"/>
      <c r="LGM28" s="522"/>
      <c r="LGN28" s="522"/>
      <c r="LGO28" s="523"/>
      <c r="LGP28" s="104"/>
      <c r="LGQ28" s="521"/>
      <c r="LGR28" s="522"/>
      <c r="LGS28" s="522"/>
      <c r="LGT28" s="522"/>
      <c r="LGU28" s="523"/>
      <c r="LGV28" s="104"/>
      <c r="LGW28" s="521"/>
      <c r="LGX28" s="522"/>
      <c r="LGY28" s="522"/>
      <c r="LGZ28" s="522"/>
      <c r="LHA28" s="523"/>
      <c r="LHB28" s="104"/>
      <c r="LHC28" s="521"/>
      <c r="LHD28" s="522"/>
      <c r="LHE28" s="522"/>
      <c r="LHF28" s="522"/>
      <c r="LHG28" s="523"/>
      <c r="LHH28" s="104"/>
      <c r="LHI28" s="521"/>
      <c r="LHJ28" s="522"/>
      <c r="LHK28" s="522"/>
      <c r="LHL28" s="522"/>
      <c r="LHM28" s="523"/>
      <c r="LHN28" s="104"/>
      <c r="LHO28" s="521"/>
      <c r="LHP28" s="522"/>
      <c r="LHQ28" s="522"/>
      <c r="LHR28" s="522"/>
      <c r="LHS28" s="523"/>
      <c r="LHT28" s="104"/>
      <c r="LHU28" s="521"/>
      <c r="LHV28" s="522"/>
      <c r="LHW28" s="522"/>
      <c r="LHX28" s="522"/>
      <c r="LHY28" s="523"/>
      <c r="LHZ28" s="104"/>
      <c r="LIA28" s="521"/>
      <c r="LIB28" s="522"/>
      <c r="LIC28" s="522"/>
      <c r="LID28" s="522"/>
      <c r="LIE28" s="523"/>
      <c r="LIF28" s="104"/>
      <c r="LIG28" s="521"/>
      <c r="LIH28" s="522"/>
      <c r="LII28" s="522"/>
      <c r="LIJ28" s="522"/>
      <c r="LIK28" s="523"/>
      <c r="LIL28" s="104"/>
      <c r="LIM28" s="521"/>
      <c r="LIN28" s="522"/>
      <c r="LIO28" s="522"/>
      <c r="LIP28" s="522"/>
      <c r="LIQ28" s="523"/>
      <c r="LIR28" s="104"/>
      <c r="LIS28" s="521"/>
      <c r="LIT28" s="522"/>
      <c r="LIU28" s="522"/>
      <c r="LIV28" s="522"/>
      <c r="LIW28" s="523"/>
      <c r="LIX28" s="104"/>
      <c r="LIY28" s="521"/>
      <c r="LIZ28" s="522"/>
      <c r="LJA28" s="522"/>
      <c r="LJB28" s="522"/>
      <c r="LJC28" s="523"/>
      <c r="LJD28" s="104"/>
      <c r="LJE28" s="521"/>
      <c r="LJF28" s="522"/>
      <c r="LJG28" s="522"/>
      <c r="LJH28" s="522"/>
      <c r="LJI28" s="523"/>
      <c r="LJJ28" s="104"/>
      <c r="LJK28" s="521"/>
      <c r="LJL28" s="522"/>
      <c r="LJM28" s="522"/>
      <c r="LJN28" s="522"/>
      <c r="LJO28" s="523"/>
      <c r="LJP28" s="104"/>
      <c r="LJQ28" s="521"/>
      <c r="LJR28" s="522"/>
      <c r="LJS28" s="522"/>
      <c r="LJT28" s="522"/>
      <c r="LJU28" s="523"/>
      <c r="LJV28" s="104"/>
      <c r="LJW28" s="521"/>
      <c r="LJX28" s="522"/>
      <c r="LJY28" s="522"/>
      <c r="LJZ28" s="522"/>
      <c r="LKA28" s="523"/>
      <c r="LKB28" s="104"/>
      <c r="LKC28" s="521"/>
      <c r="LKD28" s="522"/>
      <c r="LKE28" s="522"/>
      <c r="LKF28" s="522"/>
      <c r="LKG28" s="523"/>
      <c r="LKH28" s="104"/>
      <c r="LKI28" s="521"/>
      <c r="LKJ28" s="522"/>
      <c r="LKK28" s="522"/>
      <c r="LKL28" s="522"/>
      <c r="LKM28" s="523"/>
      <c r="LKN28" s="104"/>
      <c r="LKO28" s="521"/>
      <c r="LKP28" s="522"/>
      <c r="LKQ28" s="522"/>
      <c r="LKR28" s="522"/>
      <c r="LKS28" s="523"/>
      <c r="LKT28" s="104"/>
      <c r="LKU28" s="521"/>
      <c r="LKV28" s="522"/>
      <c r="LKW28" s="522"/>
      <c r="LKX28" s="522"/>
      <c r="LKY28" s="523"/>
      <c r="LKZ28" s="104"/>
      <c r="LLA28" s="521"/>
      <c r="LLB28" s="522"/>
      <c r="LLC28" s="522"/>
      <c r="LLD28" s="522"/>
      <c r="LLE28" s="523"/>
      <c r="LLF28" s="104"/>
      <c r="LLG28" s="521"/>
      <c r="LLH28" s="522"/>
      <c r="LLI28" s="522"/>
      <c r="LLJ28" s="522"/>
      <c r="LLK28" s="523"/>
      <c r="LLL28" s="104"/>
      <c r="LLM28" s="521"/>
      <c r="LLN28" s="522"/>
      <c r="LLO28" s="522"/>
      <c r="LLP28" s="522"/>
      <c r="LLQ28" s="523"/>
      <c r="LLR28" s="104"/>
      <c r="LLS28" s="521"/>
      <c r="LLT28" s="522"/>
      <c r="LLU28" s="522"/>
      <c r="LLV28" s="522"/>
      <c r="LLW28" s="523"/>
      <c r="LLX28" s="104"/>
      <c r="LLY28" s="521"/>
      <c r="LLZ28" s="522"/>
      <c r="LMA28" s="522"/>
      <c r="LMB28" s="522"/>
      <c r="LMC28" s="523"/>
      <c r="LMD28" s="104"/>
      <c r="LME28" s="521"/>
      <c r="LMF28" s="522"/>
      <c r="LMG28" s="522"/>
      <c r="LMH28" s="522"/>
      <c r="LMI28" s="523"/>
      <c r="LMJ28" s="104"/>
      <c r="LMK28" s="521"/>
      <c r="LML28" s="522"/>
      <c r="LMM28" s="522"/>
      <c r="LMN28" s="522"/>
      <c r="LMO28" s="523"/>
      <c r="LMP28" s="104"/>
      <c r="LMQ28" s="521"/>
      <c r="LMR28" s="522"/>
      <c r="LMS28" s="522"/>
      <c r="LMT28" s="522"/>
      <c r="LMU28" s="523"/>
      <c r="LMV28" s="104"/>
      <c r="LMW28" s="521"/>
      <c r="LMX28" s="522"/>
      <c r="LMY28" s="522"/>
      <c r="LMZ28" s="522"/>
      <c r="LNA28" s="523"/>
      <c r="LNB28" s="104"/>
      <c r="LNC28" s="521"/>
      <c r="LND28" s="522"/>
      <c r="LNE28" s="522"/>
      <c r="LNF28" s="522"/>
      <c r="LNG28" s="523"/>
      <c r="LNH28" s="104"/>
      <c r="LNI28" s="521"/>
      <c r="LNJ28" s="522"/>
      <c r="LNK28" s="522"/>
      <c r="LNL28" s="522"/>
      <c r="LNM28" s="523"/>
      <c r="LNN28" s="104"/>
      <c r="LNO28" s="521"/>
      <c r="LNP28" s="522"/>
      <c r="LNQ28" s="522"/>
      <c r="LNR28" s="522"/>
      <c r="LNS28" s="523"/>
      <c r="LNT28" s="104"/>
      <c r="LNU28" s="521"/>
      <c r="LNV28" s="522"/>
      <c r="LNW28" s="522"/>
      <c r="LNX28" s="522"/>
      <c r="LNY28" s="523"/>
      <c r="LNZ28" s="104"/>
      <c r="LOA28" s="521"/>
      <c r="LOB28" s="522"/>
      <c r="LOC28" s="522"/>
      <c r="LOD28" s="522"/>
      <c r="LOE28" s="523"/>
      <c r="LOF28" s="104"/>
      <c r="LOG28" s="521"/>
      <c r="LOH28" s="522"/>
      <c r="LOI28" s="522"/>
      <c r="LOJ28" s="522"/>
      <c r="LOK28" s="523"/>
      <c r="LOL28" s="104"/>
      <c r="LOM28" s="521"/>
      <c r="LON28" s="522"/>
      <c r="LOO28" s="522"/>
      <c r="LOP28" s="522"/>
      <c r="LOQ28" s="523"/>
      <c r="LOR28" s="104"/>
      <c r="LOS28" s="521"/>
      <c r="LOT28" s="522"/>
      <c r="LOU28" s="522"/>
      <c r="LOV28" s="522"/>
      <c r="LOW28" s="523"/>
      <c r="LOX28" s="104"/>
      <c r="LOY28" s="521"/>
      <c r="LOZ28" s="522"/>
      <c r="LPA28" s="522"/>
      <c r="LPB28" s="522"/>
      <c r="LPC28" s="523"/>
      <c r="LPD28" s="104"/>
      <c r="LPE28" s="521"/>
      <c r="LPF28" s="522"/>
      <c r="LPG28" s="522"/>
      <c r="LPH28" s="522"/>
      <c r="LPI28" s="523"/>
      <c r="LPJ28" s="104"/>
      <c r="LPK28" s="521"/>
      <c r="LPL28" s="522"/>
      <c r="LPM28" s="522"/>
      <c r="LPN28" s="522"/>
      <c r="LPO28" s="523"/>
      <c r="LPP28" s="104"/>
      <c r="LPQ28" s="521"/>
      <c r="LPR28" s="522"/>
      <c r="LPS28" s="522"/>
      <c r="LPT28" s="522"/>
      <c r="LPU28" s="523"/>
      <c r="LPV28" s="104"/>
      <c r="LPW28" s="521"/>
      <c r="LPX28" s="522"/>
      <c r="LPY28" s="522"/>
      <c r="LPZ28" s="522"/>
      <c r="LQA28" s="523"/>
      <c r="LQB28" s="104"/>
      <c r="LQC28" s="521"/>
      <c r="LQD28" s="522"/>
      <c r="LQE28" s="522"/>
      <c r="LQF28" s="522"/>
      <c r="LQG28" s="523"/>
      <c r="LQH28" s="104"/>
      <c r="LQI28" s="521"/>
      <c r="LQJ28" s="522"/>
      <c r="LQK28" s="522"/>
      <c r="LQL28" s="522"/>
      <c r="LQM28" s="523"/>
      <c r="LQN28" s="104"/>
      <c r="LQO28" s="521"/>
      <c r="LQP28" s="522"/>
      <c r="LQQ28" s="522"/>
      <c r="LQR28" s="522"/>
      <c r="LQS28" s="523"/>
      <c r="LQT28" s="104"/>
      <c r="LQU28" s="521"/>
      <c r="LQV28" s="522"/>
      <c r="LQW28" s="522"/>
      <c r="LQX28" s="522"/>
      <c r="LQY28" s="523"/>
      <c r="LQZ28" s="104"/>
      <c r="LRA28" s="521"/>
      <c r="LRB28" s="522"/>
      <c r="LRC28" s="522"/>
      <c r="LRD28" s="522"/>
      <c r="LRE28" s="523"/>
      <c r="LRF28" s="104"/>
      <c r="LRG28" s="521"/>
      <c r="LRH28" s="522"/>
      <c r="LRI28" s="522"/>
      <c r="LRJ28" s="522"/>
      <c r="LRK28" s="523"/>
      <c r="LRL28" s="104"/>
      <c r="LRM28" s="521"/>
      <c r="LRN28" s="522"/>
      <c r="LRO28" s="522"/>
      <c r="LRP28" s="522"/>
      <c r="LRQ28" s="523"/>
      <c r="LRR28" s="104"/>
      <c r="LRS28" s="521"/>
      <c r="LRT28" s="522"/>
      <c r="LRU28" s="522"/>
      <c r="LRV28" s="522"/>
      <c r="LRW28" s="523"/>
      <c r="LRX28" s="104"/>
      <c r="LRY28" s="521"/>
      <c r="LRZ28" s="522"/>
      <c r="LSA28" s="522"/>
      <c r="LSB28" s="522"/>
      <c r="LSC28" s="523"/>
      <c r="LSD28" s="104"/>
      <c r="LSE28" s="521"/>
      <c r="LSF28" s="522"/>
      <c r="LSG28" s="522"/>
      <c r="LSH28" s="522"/>
      <c r="LSI28" s="523"/>
      <c r="LSJ28" s="104"/>
      <c r="LSK28" s="521"/>
      <c r="LSL28" s="522"/>
      <c r="LSM28" s="522"/>
      <c r="LSN28" s="522"/>
      <c r="LSO28" s="523"/>
      <c r="LSP28" s="104"/>
      <c r="LSQ28" s="521"/>
      <c r="LSR28" s="522"/>
      <c r="LSS28" s="522"/>
      <c r="LST28" s="522"/>
      <c r="LSU28" s="523"/>
      <c r="LSV28" s="104"/>
      <c r="LSW28" s="521"/>
      <c r="LSX28" s="522"/>
      <c r="LSY28" s="522"/>
      <c r="LSZ28" s="522"/>
      <c r="LTA28" s="523"/>
      <c r="LTB28" s="104"/>
      <c r="LTC28" s="521"/>
      <c r="LTD28" s="522"/>
      <c r="LTE28" s="522"/>
      <c r="LTF28" s="522"/>
      <c r="LTG28" s="523"/>
      <c r="LTH28" s="104"/>
      <c r="LTI28" s="521"/>
      <c r="LTJ28" s="522"/>
      <c r="LTK28" s="522"/>
      <c r="LTL28" s="522"/>
      <c r="LTM28" s="523"/>
      <c r="LTN28" s="104"/>
      <c r="LTO28" s="521"/>
      <c r="LTP28" s="522"/>
      <c r="LTQ28" s="522"/>
      <c r="LTR28" s="522"/>
      <c r="LTS28" s="523"/>
      <c r="LTT28" s="104"/>
      <c r="LTU28" s="521"/>
      <c r="LTV28" s="522"/>
      <c r="LTW28" s="522"/>
      <c r="LTX28" s="522"/>
      <c r="LTY28" s="523"/>
      <c r="LTZ28" s="104"/>
      <c r="LUA28" s="521"/>
      <c r="LUB28" s="522"/>
      <c r="LUC28" s="522"/>
      <c r="LUD28" s="522"/>
      <c r="LUE28" s="523"/>
      <c r="LUF28" s="104"/>
      <c r="LUG28" s="521"/>
      <c r="LUH28" s="522"/>
      <c r="LUI28" s="522"/>
      <c r="LUJ28" s="522"/>
      <c r="LUK28" s="523"/>
      <c r="LUL28" s="104"/>
      <c r="LUM28" s="521"/>
      <c r="LUN28" s="522"/>
      <c r="LUO28" s="522"/>
      <c r="LUP28" s="522"/>
      <c r="LUQ28" s="523"/>
      <c r="LUR28" s="104"/>
      <c r="LUS28" s="521"/>
      <c r="LUT28" s="522"/>
      <c r="LUU28" s="522"/>
      <c r="LUV28" s="522"/>
      <c r="LUW28" s="523"/>
      <c r="LUX28" s="104"/>
      <c r="LUY28" s="521"/>
      <c r="LUZ28" s="522"/>
      <c r="LVA28" s="522"/>
      <c r="LVB28" s="522"/>
      <c r="LVC28" s="523"/>
      <c r="LVD28" s="104"/>
      <c r="LVE28" s="521"/>
      <c r="LVF28" s="522"/>
      <c r="LVG28" s="522"/>
      <c r="LVH28" s="522"/>
      <c r="LVI28" s="523"/>
      <c r="LVJ28" s="104"/>
      <c r="LVK28" s="521"/>
      <c r="LVL28" s="522"/>
      <c r="LVM28" s="522"/>
      <c r="LVN28" s="522"/>
      <c r="LVO28" s="523"/>
      <c r="LVP28" s="104"/>
      <c r="LVQ28" s="521"/>
      <c r="LVR28" s="522"/>
      <c r="LVS28" s="522"/>
      <c r="LVT28" s="522"/>
      <c r="LVU28" s="523"/>
      <c r="LVV28" s="104"/>
      <c r="LVW28" s="521"/>
      <c r="LVX28" s="522"/>
      <c r="LVY28" s="522"/>
      <c r="LVZ28" s="522"/>
      <c r="LWA28" s="523"/>
      <c r="LWB28" s="104"/>
      <c r="LWC28" s="521"/>
      <c r="LWD28" s="522"/>
      <c r="LWE28" s="522"/>
      <c r="LWF28" s="522"/>
      <c r="LWG28" s="523"/>
      <c r="LWH28" s="104"/>
      <c r="LWI28" s="521"/>
      <c r="LWJ28" s="522"/>
      <c r="LWK28" s="522"/>
      <c r="LWL28" s="522"/>
      <c r="LWM28" s="523"/>
      <c r="LWN28" s="104"/>
      <c r="LWO28" s="521"/>
      <c r="LWP28" s="522"/>
      <c r="LWQ28" s="522"/>
      <c r="LWR28" s="522"/>
      <c r="LWS28" s="523"/>
      <c r="LWT28" s="104"/>
      <c r="LWU28" s="521"/>
      <c r="LWV28" s="522"/>
      <c r="LWW28" s="522"/>
      <c r="LWX28" s="522"/>
      <c r="LWY28" s="523"/>
      <c r="LWZ28" s="104"/>
      <c r="LXA28" s="521"/>
      <c r="LXB28" s="522"/>
      <c r="LXC28" s="522"/>
      <c r="LXD28" s="522"/>
      <c r="LXE28" s="523"/>
      <c r="LXF28" s="104"/>
      <c r="LXG28" s="521"/>
      <c r="LXH28" s="522"/>
      <c r="LXI28" s="522"/>
      <c r="LXJ28" s="522"/>
      <c r="LXK28" s="523"/>
      <c r="LXL28" s="104"/>
      <c r="LXM28" s="521"/>
      <c r="LXN28" s="522"/>
      <c r="LXO28" s="522"/>
      <c r="LXP28" s="522"/>
      <c r="LXQ28" s="523"/>
      <c r="LXR28" s="104"/>
      <c r="LXS28" s="521"/>
      <c r="LXT28" s="522"/>
      <c r="LXU28" s="522"/>
      <c r="LXV28" s="522"/>
      <c r="LXW28" s="523"/>
      <c r="LXX28" s="104"/>
      <c r="LXY28" s="521"/>
      <c r="LXZ28" s="522"/>
      <c r="LYA28" s="522"/>
      <c r="LYB28" s="522"/>
      <c r="LYC28" s="523"/>
      <c r="LYD28" s="104"/>
      <c r="LYE28" s="521"/>
      <c r="LYF28" s="522"/>
      <c r="LYG28" s="522"/>
      <c r="LYH28" s="522"/>
      <c r="LYI28" s="523"/>
      <c r="LYJ28" s="104"/>
      <c r="LYK28" s="521"/>
      <c r="LYL28" s="522"/>
      <c r="LYM28" s="522"/>
      <c r="LYN28" s="522"/>
      <c r="LYO28" s="523"/>
      <c r="LYP28" s="104"/>
      <c r="LYQ28" s="521"/>
      <c r="LYR28" s="522"/>
      <c r="LYS28" s="522"/>
      <c r="LYT28" s="522"/>
      <c r="LYU28" s="523"/>
      <c r="LYV28" s="104"/>
      <c r="LYW28" s="521"/>
      <c r="LYX28" s="522"/>
      <c r="LYY28" s="522"/>
      <c r="LYZ28" s="522"/>
      <c r="LZA28" s="523"/>
      <c r="LZB28" s="104"/>
      <c r="LZC28" s="521"/>
      <c r="LZD28" s="522"/>
      <c r="LZE28" s="522"/>
      <c r="LZF28" s="522"/>
      <c r="LZG28" s="523"/>
      <c r="LZH28" s="104"/>
      <c r="LZI28" s="521"/>
      <c r="LZJ28" s="522"/>
      <c r="LZK28" s="522"/>
      <c r="LZL28" s="522"/>
      <c r="LZM28" s="523"/>
      <c r="LZN28" s="104"/>
      <c r="LZO28" s="521"/>
      <c r="LZP28" s="522"/>
      <c r="LZQ28" s="522"/>
      <c r="LZR28" s="522"/>
      <c r="LZS28" s="523"/>
      <c r="LZT28" s="104"/>
      <c r="LZU28" s="521"/>
      <c r="LZV28" s="522"/>
      <c r="LZW28" s="522"/>
      <c r="LZX28" s="522"/>
      <c r="LZY28" s="523"/>
      <c r="LZZ28" s="104"/>
      <c r="MAA28" s="521"/>
      <c r="MAB28" s="522"/>
      <c r="MAC28" s="522"/>
      <c r="MAD28" s="522"/>
      <c r="MAE28" s="523"/>
      <c r="MAF28" s="104"/>
      <c r="MAG28" s="521"/>
      <c r="MAH28" s="522"/>
      <c r="MAI28" s="522"/>
      <c r="MAJ28" s="522"/>
      <c r="MAK28" s="523"/>
      <c r="MAL28" s="104"/>
      <c r="MAM28" s="521"/>
      <c r="MAN28" s="522"/>
      <c r="MAO28" s="522"/>
      <c r="MAP28" s="522"/>
      <c r="MAQ28" s="523"/>
      <c r="MAR28" s="104"/>
      <c r="MAS28" s="521"/>
      <c r="MAT28" s="522"/>
      <c r="MAU28" s="522"/>
      <c r="MAV28" s="522"/>
      <c r="MAW28" s="523"/>
      <c r="MAX28" s="104"/>
      <c r="MAY28" s="521"/>
      <c r="MAZ28" s="522"/>
      <c r="MBA28" s="522"/>
      <c r="MBB28" s="522"/>
      <c r="MBC28" s="523"/>
      <c r="MBD28" s="104"/>
      <c r="MBE28" s="521"/>
      <c r="MBF28" s="522"/>
      <c r="MBG28" s="522"/>
      <c r="MBH28" s="522"/>
      <c r="MBI28" s="523"/>
      <c r="MBJ28" s="104"/>
      <c r="MBK28" s="521"/>
      <c r="MBL28" s="522"/>
      <c r="MBM28" s="522"/>
      <c r="MBN28" s="522"/>
      <c r="MBO28" s="523"/>
      <c r="MBP28" s="104"/>
      <c r="MBQ28" s="521"/>
      <c r="MBR28" s="522"/>
      <c r="MBS28" s="522"/>
      <c r="MBT28" s="522"/>
      <c r="MBU28" s="523"/>
      <c r="MBV28" s="104"/>
      <c r="MBW28" s="521"/>
      <c r="MBX28" s="522"/>
      <c r="MBY28" s="522"/>
      <c r="MBZ28" s="522"/>
      <c r="MCA28" s="523"/>
      <c r="MCB28" s="104"/>
      <c r="MCC28" s="521"/>
      <c r="MCD28" s="522"/>
      <c r="MCE28" s="522"/>
      <c r="MCF28" s="522"/>
      <c r="MCG28" s="523"/>
      <c r="MCH28" s="104"/>
      <c r="MCI28" s="521"/>
      <c r="MCJ28" s="522"/>
      <c r="MCK28" s="522"/>
      <c r="MCL28" s="522"/>
      <c r="MCM28" s="523"/>
      <c r="MCN28" s="104"/>
      <c r="MCO28" s="521"/>
      <c r="MCP28" s="522"/>
      <c r="MCQ28" s="522"/>
      <c r="MCR28" s="522"/>
      <c r="MCS28" s="523"/>
      <c r="MCT28" s="104"/>
      <c r="MCU28" s="521"/>
      <c r="MCV28" s="522"/>
      <c r="MCW28" s="522"/>
      <c r="MCX28" s="522"/>
      <c r="MCY28" s="523"/>
      <c r="MCZ28" s="104"/>
      <c r="MDA28" s="521"/>
      <c r="MDB28" s="522"/>
      <c r="MDC28" s="522"/>
      <c r="MDD28" s="522"/>
      <c r="MDE28" s="523"/>
      <c r="MDF28" s="104"/>
      <c r="MDG28" s="521"/>
      <c r="MDH28" s="522"/>
      <c r="MDI28" s="522"/>
      <c r="MDJ28" s="522"/>
      <c r="MDK28" s="523"/>
      <c r="MDL28" s="104"/>
      <c r="MDM28" s="521"/>
      <c r="MDN28" s="522"/>
      <c r="MDO28" s="522"/>
      <c r="MDP28" s="522"/>
      <c r="MDQ28" s="523"/>
      <c r="MDR28" s="104"/>
      <c r="MDS28" s="521"/>
      <c r="MDT28" s="522"/>
      <c r="MDU28" s="522"/>
      <c r="MDV28" s="522"/>
      <c r="MDW28" s="523"/>
      <c r="MDX28" s="104"/>
      <c r="MDY28" s="521"/>
      <c r="MDZ28" s="522"/>
      <c r="MEA28" s="522"/>
      <c r="MEB28" s="522"/>
      <c r="MEC28" s="523"/>
      <c r="MED28" s="104"/>
      <c r="MEE28" s="521"/>
      <c r="MEF28" s="522"/>
      <c r="MEG28" s="522"/>
      <c r="MEH28" s="522"/>
      <c r="MEI28" s="523"/>
      <c r="MEJ28" s="104"/>
      <c r="MEK28" s="521"/>
      <c r="MEL28" s="522"/>
      <c r="MEM28" s="522"/>
      <c r="MEN28" s="522"/>
      <c r="MEO28" s="523"/>
      <c r="MEP28" s="104"/>
      <c r="MEQ28" s="521"/>
      <c r="MER28" s="522"/>
      <c r="MES28" s="522"/>
      <c r="MET28" s="522"/>
      <c r="MEU28" s="523"/>
      <c r="MEV28" s="104"/>
      <c r="MEW28" s="521"/>
      <c r="MEX28" s="522"/>
      <c r="MEY28" s="522"/>
      <c r="MEZ28" s="522"/>
      <c r="MFA28" s="523"/>
      <c r="MFB28" s="104"/>
      <c r="MFC28" s="521"/>
      <c r="MFD28" s="522"/>
      <c r="MFE28" s="522"/>
      <c r="MFF28" s="522"/>
      <c r="MFG28" s="523"/>
      <c r="MFH28" s="104"/>
      <c r="MFI28" s="521"/>
      <c r="MFJ28" s="522"/>
      <c r="MFK28" s="522"/>
      <c r="MFL28" s="522"/>
      <c r="MFM28" s="523"/>
      <c r="MFN28" s="104"/>
      <c r="MFO28" s="521"/>
      <c r="MFP28" s="522"/>
      <c r="MFQ28" s="522"/>
      <c r="MFR28" s="522"/>
      <c r="MFS28" s="523"/>
      <c r="MFT28" s="104"/>
      <c r="MFU28" s="521"/>
      <c r="MFV28" s="522"/>
      <c r="MFW28" s="522"/>
      <c r="MFX28" s="522"/>
      <c r="MFY28" s="523"/>
      <c r="MFZ28" s="104"/>
      <c r="MGA28" s="521"/>
      <c r="MGB28" s="522"/>
      <c r="MGC28" s="522"/>
      <c r="MGD28" s="522"/>
      <c r="MGE28" s="523"/>
      <c r="MGF28" s="104"/>
      <c r="MGG28" s="521"/>
      <c r="MGH28" s="522"/>
      <c r="MGI28" s="522"/>
      <c r="MGJ28" s="522"/>
      <c r="MGK28" s="523"/>
      <c r="MGL28" s="104"/>
      <c r="MGM28" s="521"/>
      <c r="MGN28" s="522"/>
      <c r="MGO28" s="522"/>
      <c r="MGP28" s="522"/>
      <c r="MGQ28" s="523"/>
      <c r="MGR28" s="104"/>
      <c r="MGS28" s="521"/>
      <c r="MGT28" s="522"/>
      <c r="MGU28" s="522"/>
      <c r="MGV28" s="522"/>
      <c r="MGW28" s="523"/>
      <c r="MGX28" s="104"/>
      <c r="MGY28" s="521"/>
      <c r="MGZ28" s="522"/>
      <c r="MHA28" s="522"/>
      <c r="MHB28" s="522"/>
      <c r="MHC28" s="523"/>
      <c r="MHD28" s="104"/>
      <c r="MHE28" s="521"/>
      <c r="MHF28" s="522"/>
      <c r="MHG28" s="522"/>
      <c r="MHH28" s="522"/>
      <c r="MHI28" s="523"/>
      <c r="MHJ28" s="104"/>
      <c r="MHK28" s="521"/>
      <c r="MHL28" s="522"/>
      <c r="MHM28" s="522"/>
      <c r="MHN28" s="522"/>
      <c r="MHO28" s="523"/>
      <c r="MHP28" s="104"/>
      <c r="MHQ28" s="521"/>
      <c r="MHR28" s="522"/>
      <c r="MHS28" s="522"/>
      <c r="MHT28" s="522"/>
      <c r="MHU28" s="523"/>
      <c r="MHV28" s="104"/>
      <c r="MHW28" s="521"/>
      <c r="MHX28" s="522"/>
      <c r="MHY28" s="522"/>
      <c r="MHZ28" s="522"/>
      <c r="MIA28" s="523"/>
      <c r="MIB28" s="104"/>
      <c r="MIC28" s="521"/>
      <c r="MID28" s="522"/>
      <c r="MIE28" s="522"/>
      <c r="MIF28" s="522"/>
      <c r="MIG28" s="523"/>
      <c r="MIH28" s="104"/>
      <c r="MII28" s="521"/>
      <c r="MIJ28" s="522"/>
      <c r="MIK28" s="522"/>
      <c r="MIL28" s="522"/>
      <c r="MIM28" s="523"/>
      <c r="MIN28" s="104"/>
      <c r="MIO28" s="521"/>
      <c r="MIP28" s="522"/>
      <c r="MIQ28" s="522"/>
      <c r="MIR28" s="522"/>
      <c r="MIS28" s="523"/>
      <c r="MIT28" s="104"/>
      <c r="MIU28" s="521"/>
      <c r="MIV28" s="522"/>
      <c r="MIW28" s="522"/>
      <c r="MIX28" s="522"/>
      <c r="MIY28" s="523"/>
      <c r="MIZ28" s="104"/>
      <c r="MJA28" s="521"/>
      <c r="MJB28" s="522"/>
      <c r="MJC28" s="522"/>
      <c r="MJD28" s="522"/>
      <c r="MJE28" s="523"/>
      <c r="MJF28" s="104"/>
      <c r="MJG28" s="521"/>
      <c r="MJH28" s="522"/>
      <c r="MJI28" s="522"/>
      <c r="MJJ28" s="522"/>
      <c r="MJK28" s="523"/>
      <c r="MJL28" s="104"/>
      <c r="MJM28" s="521"/>
      <c r="MJN28" s="522"/>
      <c r="MJO28" s="522"/>
      <c r="MJP28" s="522"/>
      <c r="MJQ28" s="523"/>
      <c r="MJR28" s="104"/>
      <c r="MJS28" s="521"/>
      <c r="MJT28" s="522"/>
      <c r="MJU28" s="522"/>
      <c r="MJV28" s="522"/>
      <c r="MJW28" s="523"/>
      <c r="MJX28" s="104"/>
      <c r="MJY28" s="521"/>
      <c r="MJZ28" s="522"/>
      <c r="MKA28" s="522"/>
      <c r="MKB28" s="522"/>
      <c r="MKC28" s="523"/>
      <c r="MKD28" s="104"/>
      <c r="MKE28" s="521"/>
      <c r="MKF28" s="522"/>
      <c r="MKG28" s="522"/>
      <c r="MKH28" s="522"/>
      <c r="MKI28" s="523"/>
      <c r="MKJ28" s="104"/>
      <c r="MKK28" s="521"/>
      <c r="MKL28" s="522"/>
      <c r="MKM28" s="522"/>
      <c r="MKN28" s="522"/>
      <c r="MKO28" s="523"/>
      <c r="MKP28" s="104"/>
      <c r="MKQ28" s="521"/>
      <c r="MKR28" s="522"/>
      <c r="MKS28" s="522"/>
      <c r="MKT28" s="522"/>
      <c r="MKU28" s="523"/>
      <c r="MKV28" s="104"/>
      <c r="MKW28" s="521"/>
      <c r="MKX28" s="522"/>
      <c r="MKY28" s="522"/>
      <c r="MKZ28" s="522"/>
      <c r="MLA28" s="523"/>
      <c r="MLB28" s="104"/>
      <c r="MLC28" s="521"/>
      <c r="MLD28" s="522"/>
      <c r="MLE28" s="522"/>
      <c r="MLF28" s="522"/>
      <c r="MLG28" s="523"/>
      <c r="MLH28" s="104"/>
      <c r="MLI28" s="521"/>
      <c r="MLJ28" s="522"/>
      <c r="MLK28" s="522"/>
      <c r="MLL28" s="522"/>
      <c r="MLM28" s="523"/>
      <c r="MLN28" s="104"/>
      <c r="MLO28" s="521"/>
      <c r="MLP28" s="522"/>
      <c r="MLQ28" s="522"/>
      <c r="MLR28" s="522"/>
      <c r="MLS28" s="523"/>
      <c r="MLT28" s="104"/>
      <c r="MLU28" s="521"/>
      <c r="MLV28" s="522"/>
      <c r="MLW28" s="522"/>
      <c r="MLX28" s="522"/>
      <c r="MLY28" s="523"/>
      <c r="MLZ28" s="104"/>
      <c r="MMA28" s="521"/>
      <c r="MMB28" s="522"/>
      <c r="MMC28" s="522"/>
      <c r="MMD28" s="522"/>
      <c r="MME28" s="523"/>
      <c r="MMF28" s="104"/>
      <c r="MMG28" s="521"/>
      <c r="MMH28" s="522"/>
      <c r="MMI28" s="522"/>
      <c r="MMJ28" s="522"/>
      <c r="MMK28" s="523"/>
      <c r="MML28" s="104"/>
      <c r="MMM28" s="521"/>
      <c r="MMN28" s="522"/>
      <c r="MMO28" s="522"/>
      <c r="MMP28" s="522"/>
      <c r="MMQ28" s="523"/>
      <c r="MMR28" s="104"/>
      <c r="MMS28" s="521"/>
      <c r="MMT28" s="522"/>
      <c r="MMU28" s="522"/>
      <c r="MMV28" s="522"/>
      <c r="MMW28" s="523"/>
      <c r="MMX28" s="104"/>
      <c r="MMY28" s="521"/>
      <c r="MMZ28" s="522"/>
      <c r="MNA28" s="522"/>
      <c r="MNB28" s="522"/>
      <c r="MNC28" s="523"/>
      <c r="MND28" s="104"/>
      <c r="MNE28" s="521"/>
      <c r="MNF28" s="522"/>
      <c r="MNG28" s="522"/>
      <c r="MNH28" s="522"/>
      <c r="MNI28" s="523"/>
      <c r="MNJ28" s="104"/>
      <c r="MNK28" s="521"/>
      <c r="MNL28" s="522"/>
      <c r="MNM28" s="522"/>
      <c r="MNN28" s="522"/>
      <c r="MNO28" s="523"/>
      <c r="MNP28" s="104"/>
      <c r="MNQ28" s="521"/>
      <c r="MNR28" s="522"/>
      <c r="MNS28" s="522"/>
      <c r="MNT28" s="522"/>
      <c r="MNU28" s="523"/>
      <c r="MNV28" s="104"/>
      <c r="MNW28" s="521"/>
      <c r="MNX28" s="522"/>
      <c r="MNY28" s="522"/>
      <c r="MNZ28" s="522"/>
      <c r="MOA28" s="523"/>
      <c r="MOB28" s="104"/>
      <c r="MOC28" s="521"/>
      <c r="MOD28" s="522"/>
      <c r="MOE28" s="522"/>
      <c r="MOF28" s="522"/>
      <c r="MOG28" s="523"/>
      <c r="MOH28" s="104"/>
      <c r="MOI28" s="521"/>
      <c r="MOJ28" s="522"/>
      <c r="MOK28" s="522"/>
      <c r="MOL28" s="522"/>
      <c r="MOM28" s="523"/>
      <c r="MON28" s="104"/>
      <c r="MOO28" s="521"/>
      <c r="MOP28" s="522"/>
      <c r="MOQ28" s="522"/>
      <c r="MOR28" s="522"/>
      <c r="MOS28" s="523"/>
      <c r="MOT28" s="104"/>
      <c r="MOU28" s="521"/>
      <c r="MOV28" s="522"/>
      <c r="MOW28" s="522"/>
      <c r="MOX28" s="522"/>
      <c r="MOY28" s="523"/>
      <c r="MOZ28" s="104"/>
      <c r="MPA28" s="521"/>
      <c r="MPB28" s="522"/>
      <c r="MPC28" s="522"/>
      <c r="MPD28" s="522"/>
      <c r="MPE28" s="523"/>
      <c r="MPF28" s="104"/>
      <c r="MPG28" s="521"/>
      <c r="MPH28" s="522"/>
      <c r="MPI28" s="522"/>
      <c r="MPJ28" s="522"/>
      <c r="MPK28" s="523"/>
      <c r="MPL28" s="104"/>
      <c r="MPM28" s="521"/>
      <c r="MPN28" s="522"/>
      <c r="MPO28" s="522"/>
      <c r="MPP28" s="522"/>
      <c r="MPQ28" s="523"/>
      <c r="MPR28" s="104"/>
      <c r="MPS28" s="521"/>
      <c r="MPT28" s="522"/>
      <c r="MPU28" s="522"/>
      <c r="MPV28" s="522"/>
      <c r="MPW28" s="523"/>
      <c r="MPX28" s="104"/>
      <c r="MPY28" s="521"/>
      <c r="MPZ28" s="522"/>
      <c r="MQA28" s="522"/>
      <c r="MQB28" s="522"/>
      <c r="MQC28" s="523"/>
      <c r="MQD28" s="104"/>
      <c r="MQE28" s="521"/>
      <c r="MQF28" s="522"/>
      <c r="MQG28" s="522"/>
      <c r="MQH28" s="522"/>
      <c r="MQI28" s="523"/>
      <c r="MQJ28" s="104"/>
      <c r="MQK28" s="521"/>
      <c r="MQL28" s="522"/>
      <c r="MQM28" s="522"/>
      <c r="MQN28" s="522"/>
      <c r="MQO28" s="523"/>
      <c r="MQP28" s="104"/>
      <c r="MQQ28" s="521"/>
      <c r="MQR28" s="522"/>
      <c r="MQS28" s="522"/>
      <c r="MQT28" s="522"/>
      <c r="MQU28" s="523"/>
      <c r="MQV28" s="104"/>
      <c r="MQW28" s="521"/>
      <c r="MQX28" s="522"/>
      <c r="MQY28" s="522"/>
      <c r="MQZ28" s="522"/>
      <c r="MRA28" s="523"/>
      <c r="MRB28" s="104"/>
      <c r="MRC28" s="521"/>
      <c r="MRD28" s="522"/>
      <c r="MRE28" s="522"/>
      <c r="MRF28" s="522"/>
      <c r="MRG28" s="523"/>
      <c r="MRH28" s="104"/>
      <c r="MRI28" s="521"/>
      <c r="MRJ28" s="522"/>
      <c r="MRK28" s="522"/>
      <c r="MRL28" s="522"/>
      <c r="MRM28" s="523"/>
      <c r="MRN28" s="104"/>
      <c r="MRO28" s="521"/>
      <c r="MRP28" s="522"/>
      <c r="MRQ28" s="522"/>
      <c r="MRR28" s="522"/>
      <c r="MRS28" s="523"/>
      <c r="MRT28" s="104"/>
      <c r="MRU28" s="521"/>
      <c r="MRV28" s="522"/>
      <c r="MRW28" s="522"/>
      <c r="MRX28" s="522"/>
      <c r="MRY28" s="523"/>
      <c r="MRZ28" s="104"/>
      <c r="MSA28" s="521"/>
      <c r="MSB28" s="522"/>
      <c r="MSC28" s="522"/>
      <c r="MSD28" s="522"/>
      <c r="MSE28" s="523"/>
      <c r="MSF28" s="104"/>
      <c r="MSG28" s="521"/>
      <c r="MSH28" s="522"/>
      <c r="MSI28" s="522"/>
      <c r="MSJ28" s="522"/>
      <c r="MSK28" s="523"/>
      <c r="MSL28" s="104"/>
      <c r="MSM28" s="521"/>
      <c r="MSN28" s="522"/>
      <c r="MSO28" s="522"/>
      <c r="MSP28" s="522"/>
      <c r="MSQ28" s="523"/>
      <c r="MSR28" s="104"/>
      <c r="MSS28" s="521"/>
      <c r="MST28" s="522"/>
      <c r="MSU28" s="522"/>
      <c r="MSV28" s="522"/>
      <c r="MSW28" s="523"/>
      <c r="MSX28" s="104"/>
      <c r="MSY28" s="521"/>
      <c r="MSZ28" s="522"/>
      <c r="MTA28" s="522"/>
      <c r="MTB28" s="522"/>
      <c r="MTC28" s="523"/>
      <c r="MTD28" s="104"/>
      <c r="MTE28" s="521"/>
      <c r="MTF28" s="522"/>
      <c r="MTG28" s="522"/>
      <c r="MTH28" s="522"/>
      <c r="MTI28" s="523"/>
      <c r="MTJ28" s="104"/>
      <c r="MTK28" s="521"/>
      <c r="MTL28" s="522"/>
      <c r="MTM28" s="522"/>
      <c r="MTN28" s="522"/>
      <c r="MTO28" s="523"/>
      <c r="MTP28" s="104"/>
      <c r="MTQ28" s="521"/>
      <c r="MTR28" s="522"/>
      <c r="MTS28" s="522"/>
      <c r="MTT28" s="522"/>
      <c r="MTU28" s="523"/>
      <c r="MTV28" s="104"/>
      <c r="MTW28" s="521"/>
      <c r="MTX28" s="522"/>
      <c r="MTY28" s="522"/>
      <c r="MTZ28" s="522"/>
      <c r="MUA28" s="523"/>
      <c r="MUB28" s="104"/>
      <c r="MUC28" s="521"/>
      <c r="MUD28" s="522"/>
      <c r="MUE28" s="522"/>
      <c r="MUF28" s="522"/>
      <c r="MUG28" s="523"/>
      <c r="MUH28" s="104"/>
      <c r="MUI28" s="521"/>
      <c r="MUJ28" s="522"/>
      <c r="MUK28" s="522"/>
      <c r="MUL28" s="522"/>
      <c r="MUM28" s="523"/>
      <c r="MUN28" s="104"/>
      <c r="MUO28" s="521"/>
      <c r="MUP28" s="522"/>
      <c r="MUQ28" s="522"/>
      <c r="MUR28" s="522"/>
      <c r="MUS28" s="523"/>
      <c r="MUT28" s="104"/>
      <c r="MUU28" s="521"/>
      <c r="MUV28" s="522"/>
      <c r="MUW28" s="522"/>
      <c r="MUX28" s="522"/>
      <c r="MUY28" s="523"/>
      <c r="MUZ28" s="104"/>
      <c r="MVA28" s="521"/>
      <c r="MVB28" s="522"/>
      <c r="MVC28" s="522"/>
      <c r="MVD28" s="522"/>
      <c r="MVE28" s="523"/>
      <c r="MVF28" s="104"/>
      <c r="MVG28" s="521"/>
      <c r="MVH28" s="522"/>
      <c r="MVI28" s="522"/>
      <c r="MVJ28" s="522"/>
      <c r="MVK28" s="523"/>
      <c r="MVL28" s="104"/>
      <c r="MVM28" s="521"/>
      <c r="MVN28" s="522"/>
      <c r="MVO28" s="522"/>
      <c r="MVP28" s="522"/>
      <c r="MVQ28" s="523"/>
      <c r="MVR28" s="104"/>
      <c r="MVS28" s="521"/>
      <c r="MVT28" s="522"/>
      <c r="MVU28" s="522"/>
      <c r="MVV28" s="522"/>
      <c r="MVW28" s="523"/>
      <c r="MVX28" s="104"/>
      <c r="MVY28" s="521"/>
      <c r="MVZ28" s="522"/>
      <c r="MWA28" s="522"/>
      <c r="MWB28" s="522"/>
      <c r="MWC28" s="523"/>
      <c r="MWD28" s="104"/>
      <c r="MWE28" s="521"/>
      <c r="MWF28" s="522"/>
      <c r="MWG28" s="522"/>
      <c r="MWH28" s="522"/>
      <c r="MWI28" s="523"/>
      <c r="MWJ28" s="104"/>
      <c r="MWK28" s="521"/>
      <c r="MWL28" s="522"/>
      <c r="MWM28" s="522"/>
      <c r="MWN28" s="522"/>
      <c r="MWO28" s="523"/>
      <c r="MWP28" s="104"/>
      <c r="MWQ28" s="521"/>
      <c r="MWR28" s="522"/>
      <c r="MWS28" s="522"/>
      <c r="MWT28" s="522"/>
      <c r="MWU28" s="523"/>
      <c r="MWV28" s="104"/>
      <c r="MWW28" s="521"/>
      <c r="MWX28" s="522"/>
      <c r="MWY28" s="522"/>
      <c r="MWZ28" s="522"/>
      <c r="MXA28" s="523"/>
      <c r="MXB28" s="104"/>
      <c r="MXC28" s="521"/>
      <c r="MXD28" s="522"/>
      <c r="MXE28" s="522"/>
      <c r="MXF28" s="522"/>
      <c r="MXG28" s="523"/>
      <c r="MXH28" s="104"/>
      <c r="MXI28" s="521"/>
      <c r="MXJ28" s="522"/>
      <c r="MXK28" s="522"/>
      <c r="MXL28" s="522"/>
      <c r="MXM28" s="523"/>
      <c r="MXN28" s="104"/>
      <c r="MXO28" s="521"/>
      <c r="MXP28" s="522"/>
      <c r="MXQ28" s="522"/>
      <c r="MXR28" s="522"/>
      <c r="MXS28" s="523"/>
      <c r="MXT28" s="104"/>
      <c r="MXU28" s="521"/>
      <c r="MXV28" s="522"/>
      <c r="MXW28" s="522"/>
      <c r="MXX28" s="522"/>
      <c r="MXY28" s="523"/>
      <c r="MXZ28" s="104"/>
      <c r="MYA28" s="521"/>
      <c r="MYB28" s="522"/>
      <c r="MYC28" s="522"/>
      <c r="MYD28" s="522"/>
      <c r="MYE28" s="523"/>
      <c r="MYF28" s="104"/>
      <c r="MYG28" s="521"/>
      <c r="MYH28" s="522"/>
      <c r="MYI28" s="522"/>
      <c r="MYJ28" s="522"/>
      <c r="MYK28" s="523"/>
      <c r="MYL28" s="104"/>
      <c r="MYM28" s="521"/>
      <c r="MYN28" s="522"/>
      <c r="MYO28" s="522"/>
      <c r="MYP28" s="522"/>
      <c r="MYQ28" s="523"/>
      <c r="MYR28" s="104"/>
      <c r="MYS28" s="521"/>
      <c r="MYT28" s="522"/>
      <c r="MYU28" s="522"/>
      <c r="MYV28" s="522"/>
      <c r="MYW28" s="523"/>
      <c r="MYX28" s="104"/>
      <c r="MYY28" s="521"/>
      <c r="MYZ28" s="522"/>
      <c r="MZA28" s="522"/>
      <c r="MZB28" s="522"/>
      <c r="MZC28" s="523"/>
      <c r="MZD28" s="104"/>
      <c r="MZE28" s="521"/>
      <c r="MZF28" s="522"/>
      <c r="MZG28" s="522"/>
      <c r="MZH28" s="522"/>
      <c r="MZI28" s="523"/>
      <c r="MZJ28" s="104"/>
      <c r="MZK28" s="521"/>
      <c r="MZL28" s="522"/>
      <c r="MZM28" s="522"/>
      <c r="MZN28" s="522"/>
      <c r="MZO28" s="523"/>
      <c r="MZP28" s="104"/>
      <c r="MZQ28" s="521"/>
      <c r="MZR28" s="522"/>
      <c r="MZS28" s="522"/>
      <c r="MZT28" s="522"/>
      <c r="MZU28" s="523"/>
      <c r="MZV28" s="104"/>
      <c r="MZW28" s="521"/>
      <c r="MZX28" s="522"/>
      <c r="MZY28" s="522"/>
      <c r="MZZ28" s="522"/>
      <c r="NAA28" s="523"/>
      <c r="NAB28" s="104"/>
      <c r="NAC28" s="521"/>
      <c r="NAD28" s="522"/>
      <c r="NAE28" s="522"/>
      <c r="NAF28" s="522"/>
      <c r="NAG28" s="523"/>
      <c r="NAH28" s="104"/>
      <c r="NAI28" s="521"/>
      <c r="NAJ28" s="522"/>
      <c r="NAK28" s="522"/>
      <c r="NAL28" s="522"/>
      <c r="NAM28" s="523"/>
      <c r="NAN28" s="104"/>
      <c r="NAO28" s="521"/>
      <c r="NAP28" s="522"/>
      <c r="NAQ28" s="522"/>
      <c r="NAR28" s="522"/>
      <c r="NAS28" s="523"/>
      <c r="NAT28" s="104"/>
      <c r="NAU28" s="521"/>
      <c r="NAV28" s="522"/>
      <c r="NAW28" s="522"/>
      <c r="NAX28" s="522"/>
      <c r="NAY28" s="523"/>
      <c r="NAZ28" s="104"/>
      <c r="NBA28" s="521"/>
      <c r="NBB28" s="522"/>
      <c r="NBC28" s="522"/>
      <c r="NBD28" s="522"/>
      <c r="NBE28" s="523"/>
      <c r="NBF28" s="104"/>
      <c r="NBG28" s="521"/>
      <c r="NBH28" s="522"/>
      <c r="NBI28" s="522"/>
      <c r="NBJ28" s="522"/>
      <c r="NBK28" s="523"/>
      <c r="NBL28" s="104"/>
      <c r="NBM28" s="521"/>
      <c r="NBN28" s="522"/>
      <c r="NBO28" s="522"/>
      <c r="NBP28" s="522"/>
      <c r="NBQ28" s="523"/>
      <c r="NBR28" s="104"/>
      <c r="NBS28" s="521"/>
      <c r="NBT28" s="522"/>
      <c r="NBU28" s="522"/>
      <c r="NBV28" s="522"/>
      <c r="NBW28" s="523"/>
      <c r="NBX28" s="104"/>
      <c r="NBY28" s="521"/>
      <c r="NBZ28" s="522"/>
      <c r="NCA28" s="522"/>
      <c r="NCB28" s="522"/>
      <c r="NCC28" s="523"/>
      <c r="NCD28" s="104"/>
      <c r="NCE28" s="521"/>
      <c r="NCF28" s="522"/>
      <c r="NCG28" s="522"/>
      <c r="NCH28" s="522"/>
      <c r="NCI28" s="523"/>
      <c r="NCJ28" s="104"/>
      <c r="NCK28" s="521"/>
      <c r="NCL28" s="522"/>
      <c r="NCM28" s="522"/>
      <c r="NCN28" s="522"/>
      <c r="NCO28" s="523"/>
      <c r="NCP28" s="104"/>
      <c r="NCQ28" s="521"/>
      <c r="NCR28" s="522"/>
      <c r="NCS28" s="522"/>
      <c r="NCT28" s="522"/>
      <c r="NCU28" s="523"/>
      <c r="NCV28" s="104"/>
      <c r="NCW28" s="521"/>
      <c r="NCX28" s="522"/>
      <c r="NCY28" s="522"/>
      <c r="NCZ28" s="522"/>
      <c r="NDA28" s="523"/>
      <c r="NDB28" s="104"/>
      <c r="NDC28" s="521"/>
      <c r="NDD28" s="522"/>
      <c r="NDE28" s="522"/>
      <c r="NDF28" s="522"/>
      <c r="NDG28" s="523"/>
      <c r="NDH28" s="104"/>
      <c r="NDI28" s="521"/>
      <c r="NDJ28" s="522"/>
      <c r="NDK28" s="522"/>
      <c r="NDL28" s="522"/>
      <c r="NDM28" s="523"/>
      <c r="NDN28" s="104"/>
      <c r="NDO28" s="521"/>
      <c r="NDP28" s="522"/>
      <c r="NDQ28" s="522"/>
      <c r="NDR28" s="522"/>
      <c r="NDS28" s="523"/>
      <c r="NDT28" s="104"/>
      <c r="NDU28" s="521"/>
      <c r="NDV28" s="522"/>
      <c r="NDW28" s="522"/>
      <c r="NDX28" s="522"/>
      <c r="NDY28" s="523"/>
      <c r="NDZ28" s="104"/>
      <c r="NEA28" s="521"/>
      <c r="NEB28" s="522"/>
      <c r="NEC28" s="522"/>
      <c r="NED28" s="522"/>
      <c r="NEE28" s="523"/>
      <c r="NEF28" s="104"/>
      <c r="NEG28" s="521"/>
      <c r="NEH28" s="522"/>
      <c r="NEI28" s="522"/>
      <c r="NEJ28" s="522"/>
      <c r="NEK28" s="523"/>
      <c r="NEL28" s="104"/>
      <c r="NEM28" s="521"/>
      <c r="NEN28" s="522"/>
      <c r="NEO28" s="522"/>
      <c r="NEP28" s="522"/>
      <c r="NEQ28" s="523"/>
      <c r="NER28" s="104"/>
      <c r="NES28" s="521"/>
      <c r="NET28" s="522"/>
      <c r="NEU28" s="522"/>
      <c r="NEV28" s="522"/>
      <c r="NEW28" s="523"/>
      <c r="NEX28" s="104"/>
      <c r="NEY28" s="521"/>
      <c r="NEZ28" s="522"/>
      <c r="NFA28" s="522"/>
      <c r="NFB28" s="522"/>
      <c r="NFC28" s="523"/>
      <c r="NFD28" s="104"/>
      <c r="NFE28" s="521"/>
      <c r="NFF28" s="522"/>
      <c r="NFG28" s="522"/>
      <c r="NFH28" s="522"/>
      <c r="NFI28" s="523"/>
      <c r="NFJ28" s="104"/>
      <c r="NFK28" s="521"/>
      <c r="NFL28" s="522"/>
      <c r="NFM28" s="522"/>
      <c r="NFN28" s="522"/>
      <c r="NFO28" s="523"/>
      <c r="NFP28" s="104"/>
      <c r="NFQ28" s="521"/>
      <c r="NFR28" s="522"/>
      <c r="NFS28" s="522"/>
      <c r="NFT28" s="522"/>
      <c r="NFU28" s="523"/>
      <c r="NFV28" s="104"/>
      <c r="NFW28" s="521"/>
      <c r="NFX28" s="522"/>
      <c r="NFY28" s="522"/>
      <c r="NFZ28" s="522"/>
      <c r="NGA28" s="523"/>
      <c r="NGB28" s="104"/>
      <c r="NGC28" s="521"/>
      <c r="NGD28" s="522"/>
      <c r="NGE28" s="522"/>
      <c r="NGF28" s="522"/>
      <c r="NGG28" s="523"/>
      <c r="NGH28" s="104"/>
      <c r="NGI28" s="521"/>
      <c r="NGJ28" s="522"/>
      <c r="NGK28" s="522"/>
      <c r="NGL28" s="522"/>
      <c r="NGM28" s="523"/>
      <c r="NGN28" s="104"/>
      <c r="NGO28" s="521"/>
      <c r="NGP28" s="522"/>
      <c r="NGQ28" s="522"/>
      <c r="NGR28" s="522"/>
      <c r="NGS28" s="523"/>
      <c r="NGT28" s="104"/>
      <c r="NGU28" s="521"/>
      <c r="NGV28" s="522"/>
      <c r="NGW28" s="522"/>
      <c r="NGX28" s="522"/>
      <c r="NGY28" s="523"/>
      <c r="NGZ28" s="104"/>
      <c r="NHA28" s="521"/>
      <c r="NHB28" s="522"/>
      <c r="NHC28" s="522"/>
      <c r="NHD28" s="522"/>
      <c r="NHE28" s="523"/>
      <c r="NHF28" s="104"/>
      <c r="NHG28" s="521"/>
      <c r="NHH28" s="522"/>
      <c r="NHI28" s="522"/>
      <c r="NHJ28" s="522"/>
      <c r="NHK28" s="523"/>
      <c r="NHL28" s="104"/>
      <c r="NHM28" s="521"/>
      <c r="NHN28" s="522"/>
      <c r="NHO28" s="522"/>
      <c r="NHP28" s="522"/>
      <c r="NHQ28" s="523"/>
      <c r="NHR28" s="104"/>
      <c r="NHS28" s="521"/>
      <c r="NHT28" s="522"/>
      <c r="NHU28" s="522"/>
      <c r="NHV28" s="522"/>
      <c r="NHW28" s="523"/>
      <c r="NHX28" s="104"/>
      <c r="NHY28" s="521"/>
      <c r="NHZ28" s="522"/>
      <c r="NIA28" s="522"/>
      <c r="NIB28" s="522"/>
      <c r="NIC28" s="523"/>
      <c r="NID28" s="104"/>
      <c r="NIE28" s="521"/>
      <c r="NIF28" s="522"/>
      <c r="NIG28" s="522"/>
      <c r="NIH28" s="522"/>
      <c r="NII28" s="523"/>
      <c r="NIJ28" s="104"/>
      <c r="NIK28" s="521"/>
      <c r="NIL28" s="522"/>
      <c r="NIM28" s="522"/>
      <c r="NIN28" s="522"/>
      <c r="NIO28" s="523"/>
      <c r="NIP28" s="104"/>
      <c r="NIQ28" s="521"/>
      <c r="NIR28" s="522"/>
      <c r="NIS28" s="522"/>
      <c r="NIT28" s="522"/>
      <c r="NIU28" s="523"/>
      <c r="NIV28" s="104"/>
      <c r="NIW28" s="521"/>
      <c r="NIX28" s="522"/>
      <c r="NIY28" s="522"/>
      <c r="NIZ28" s="522"/>
      <c r="NJA28" s="523"/>
      <c r="NJB28" s="104"/>
      <c r="NJC28" s="521"/>
      <c r="NJD28" s="522"/>
      <c r="NJE28" s="522"/>
      <c r="NJF28" s="522"/>
      <c r="NJG28" s="523"/>
      <c r="NJH28" s="104"/>
      <c r="NJI28" s="521"/>
      <c r="NJJ28" s="522"/>
      <c r="NJK28" s="522"/>
      <c r="NJL28" s="522"/>
      <c r="NJM28" s="523"/>
      <c r="NJN28" s="104"/>
      <c r="NJO28" s="521"/>
      <c r="NJP28" s="522"/>
      <c r="NJQ28" s="522"/>
      <c r="NJR28" s="522"/>
      <c r="NJS28" s="523"/>
      <c r="NJT28" s="104"/>
      <c r="NJU28" s="521"/>
      <c r="NJV28" s="522"/>
      <c r="NJW28" s="522"/>
      <c r="NJX28" s="522"/>
      <c r="NJY28" s="523"/>
      <c r="NJZ28" s="104"/>
      <c r="NKA28" s="521"/>
      <c r="NKB28" s="522"/>
      <c r="NKC28" s="522"/>
      <c r="NKD28" s="522"/>
      <c r="NKE28" s="523"/>
      <c r="NKF28" s="104"/>
      <c r="NKG28" s="521"/>
      <c r="NKH28" s="522"/>
      <c r="NKI28" s="522"/>
      <c r="NKJ28" s="522"/>
      <c r="NKK28" s="523"/>
      <c r="NKL28" s="104"/>
      <c r="NKM28" s="521"/>
      <c r="NKN28" s="522"/>
      <c r="NKO28" s="522"/>
      <c r="NKP28" s="522"/>
      <c r="NKQ28" s="523"/>
      <c r="NKR28" s="104"/>
      <c r="NKS28" s="521"/>
      <c r="NKT28" s="522"/>
      <c r="NKU28" s="522"/>
      <c r="NKV28" s="522"/>
      <c r="NKW28" s="523"/>
      <c r="NKX28" s="104"/>
      <c r="NKY28" s="521"/>
      <c r="NKZ28" s="522"/>
      <c r="NLA28" s="522"/>
      <c r="NLB28" s="522"/>
      <c r="NLC28" s="523"/>
      <c r="NLD28" s="104"/>
      <c r="NLE28" s="521"/>
      <c r="NLF28" s="522"/>
      <c r="NLG28" s="522"/>
      <c r="NLH28" s="522"/>
      <c r="NLI28" s="523"/>
      <c r="NLJ28" s="104"/>
      <c r="NLK28" s="521"/>
      <c r="NLL28" s="522"/>
      <c r="NLM28" s="522"/>
      <c r="NLN28" s="522"/>
      <c r="NLO28" s="523"/>
      <c r="NLP28" s="104"/>
      <c r="NLQ28" s="521"/>
      <c r="NLR28" s="522"/>
      <c r="NLS28" s="522"/>
      <c r="NLT28" s="522"/>
      <c r="NLU28" s="523"/>
      <c r="NLV28" s="104"/>
      <c r="NLW28" s="521"/>
      <c r="NLX28" s="522"/>
      <c r="NLY28" s="522"/>
      <c r="NLZ28" s="522"/>
      <c r="NMA28" s="523"/>
      <c r="NMB28" s="104"/>
      <c r="NMC28" s="521"/>
      <c r="NMD28" s="522"/>
      <c r="NME28" s="522"/>
      <c r="NMF28" s="522"/>
      <c r="NMG28" s="523"/>
      <c r="NMH28" s="104"/>
      <c r="NMI28" s="521"/>
      <c r="NMJ28" s="522"/>
      <c r="NMK28" s="522"/>
      <c r="NML28" s="522"/>
      <c r="NMM28" s="523"/>
      <c r="NMN28" s="104"/>
      <c r="NMO28" s="521"/>
      <c r="NMP28" s="522"/>
      <c r="NMQ28" s="522"/>
      <c r="NMR28" s="522"/>
      <c r="NMS28" s="523"/>
      <c r="NMT28" s="104"/>
      <c r="NMU28" s="521"/>
      <c r="NMV28" s="522"/>
      <c r="NMW28" s="522"/>
      <c r="NMX28" s="522"/>
      <c r="NMY28" s="523"/>
      <c r="NMZ28" s="104"/>
      <c r="NNA28" s="521"/>
      <c r="NNB28" s="522"/>
      <c r="NNC28" s="522"/>
      <c r="NND28" s="522"/>
      <c r="NNE28" s="523"/>
      <c r="NNF28" s="104"/>
      <c r="NNG28" s="521"/>
      <c r="NNH28" s="522"/>
      <c r="NNI28" s="522"/>
      <c r="NNJ28" s="522"/>
      <c r="NNK28" s="523"/>
      <c r="NNL28" s="104"/>
      <c r="NNM28" s="521"/>
      <c r="NNN28" s="522"/>
      <c r="NNO28" s="522"/>
      <c r="NNP28" s="522"/>
      <c r="NNQ28" s="523"/>
      <c r="NNR28" s="104"/>
      <c r="NNS28" s="521"/>
      <c r="NNT28" s="522"/>
      <c r="NNU28" s="522"/>
      <c r="NNV28" s="522"/>
      <c r="NNW28" s="523"/>
      <c r="NNX28" s="104"/>
      <c r="NNY28" s="521"/>
      <c r="NNZ28" s="522"/>
      <c r="NOA28" s="522"/>
      <c r="NOB28" s="522"/>
      <c r="NOC28" s="523"/>
      <c r="NOD28" s="104"/>
      <c r="NOE28" s="521"/>
      <c r="NOF28" s="522"/>
      <c r="NOG28" s="522"/>
      <c r="NOH28" s="522"/>
      <c r="NOI28" s="523"/>
      <c r="NOJ28" s="104"/>
      <c r="NOK28" s="521"/>
      <c r="NOL28" s="522"/>
      <c r="NOM28" s="522"/>
      <c r="NON28" s="522"/>
      <c r="NOO28" s="523"/>
      <c r="NOP28" s="104"/>
      <c r="NOQ28" s="521"/>
      <c r="NOR28" s="522"/>
      <c r="NOS28" s="522"/>
      <c r="NOT28" s="522"/>
      <c r="NOU28" s="523"/>
      <c r="NOV28" s="104"/>
      <c r="NOW28" s="521"/>
      <c r="NOX28" s="522"/>
      <c r="NOY28" s="522"/>
      <c r="NOZ28" s="522"/>
      <c r="NPA28" s="523"/>
      <c r="NPB28" s="104"/>
      <c r="NPC28" s="521"/>
      <c r="NPD28" s="522"/>
      <c r="NPE28" s="522"/>
      <c r="NPF28" s="522"/>
      <c r="NPG28" s="523"/>
      <c r="NPH28" s="104"/>
      <c r="NPI28" s="521"/>
      <c r="NPJ28" s="522"/>
      <c r="NPK28" s="522"/>
      <c r="NPL28" s="522"/>
      <c r="NPM28" s="523"/>
      <c r="NPN28" s="104"/>
      <c r="NPO28" s="521"/>
      <c r="NPP28" s="522"/>
      <c r="NPQ28" s="522"/>
      <c r="NPR28" s="522"/>
      <c r="NPS28" s="523"/>
      <c r="NPT28" s="104"/>
      <c r="NPU28" s="521"/>
      <c r="NPV28" s="522"/>
      <c r="NPW28" s="522"/>
      <c r="NPX28" s="522"/>
      <c r="NPY28" s="523"/>
      <c r="NPZ28" s="104"/>
      <c r="NQA28" s="521"/>
      <c r="NQB28" s="522"/>
      <c r="NQC28" s="522"/>
      <c r="NQD28" s="522"/>
      <c r="NQE28" s="523"/>
      <c r="NQF28" s="104"/>
      <c r="NQG28" s="521"/>
      <c r="NQH28" s="522"/>
      <c r="NQI28" s="522"/>
      <c r="NQJ28" s="522"/>
      <c r="NQK28" s="523"/>
      <c r="NQL28" s="104"/>
      <c r="NQM28" s="521"/>
      <c r="NQN28" s="522"/>
      <c r="NQO28" s="522"/>
      <c r="NQP28" s="522"/>
      <c r="NQQ28" s="523"/>
      <c r="NQR28" s="104"/>
      <c r="NQS28" s="521"/>
      <c r="NQT28" s="522"/>
      <c r="NQU28" s="522"/>
      <c r="NQV28" s="522"/>
      <c r="NQW28" s="523"/>
      <c r="NQX28" s="104"/>
      <c r="NQY28" s="521"/>
      <c r="NQZ28" s="522"/>
      <c r="NRA28" s="522"/>
      <c r="NRB28" s="522"/>
      <c r="NRC28" s="523"/>
      <c r="NRD28" s="104"/>
      <c r="NRE28" s="521"/>
      <c r="NRF28" s="522"/>
      <c r="NRG28" s="522"/>
      <c r="NRH28" s="522"/>
      <c r="NRI28" s="523"/>
      <c r="NRJ28" s="104"/>
      <c r="NRK28" s="521"/>
      <c r="NRL28" s="522"/>
      <c r="NRM28" s="522"/>
      <c r="NRN28" s="522"/>
      <c r="NRO28" s="523"/>
      <c r="NRP28" s="104"/>
      <c r="NRQ28" s="521"/>
      <c r="NRR28" s="522"/>
      <c r="NRS28" s="522"/>
      <c r="NRT28" s="522"/>
      <c r="NRU28" s="523"/>
      <c r="NRV28" s="104"/>
      <c r="NRW28" s="521"/>
      <c r="NRX28" s="522"/>
      <c r="NRY28" s="522"/>
      <c r="NRZ28" s="522"/>
      <c r="NSA28" s="523"/>
      <c r="NSB28" s="104"/>
      <c r="NSC28" s="521"/>
      <c r="NSD28" s="522"/>
      <c r="NSE28" s="522"/>
      <c r="NSF28" s="522"/>
      <c r="NSG28" s="523"/>
      <c r="NSH28" s="104"/>
      <c r="NSI28" s="521"/>
      <c r="NSJ28" s="522"/>
      <c r="NSK28" s="522"/>
      <c r="NSL28" s="522"/>
      <c r="NSM28" s="523"/>
      <c r="NSN28" s="104"/>
      <c r="NSO28" s="521"/>
      <c r="NSP28" s="522"/>
      <c r="NSQ28" s="522"/>
      <c r="NSR28" s="522"/>
      <c r="NSS28" s="523"/>
      <c r="NST28" s="104"/>
      <c r="NSU28" s="521"/>
      <c r="NSV28" s="522"/>
      <c r="NSW28" s="522"/>
      <c r="NSX28" s="522"/>
      <c r="NSY28" s="523"/>
      <c r="NSZ28" s="104"/>
      <c r="NTA28" s="521"/>
      <c r="NTB28" s="522"/>
      <c r="NTC28" s="522"/>
      <c r="NTD28" s="522"/>
      <c r="NTE28" s="523"/>
      <c r="NTF28" s="104"/>
      <c r="NTG28" s="521"/>
      <c r="NTH28" s="522"/>
      <c r="NTI28" s="522"/>
      <c r="NTJ28" s="522"/>
      <c r="NTK28" s="523"/>
      <c r="NTL28" s="104"/>
      <c r="NTM28" s="521"/>
      <c r="NTN28" s="522"/>
      <c r="NTO28" s="522"/>
      <c r="NTP28" s="522"/>
      <c r="NTQ28" s="523"/>
      <c r="NTR28" s="104"/>
      <c r="NTS28" s="521"/>
      <c r="NTT28" s="522"/>
      <c r="NTU28" s="522"/>
      <c r="NTV28" s="522"/>
      <c r="NTW28" s="523"/>
      <c r="NTX28" s="104"/>
      <c r="NTY28" s="521"/>
      <c r="NTZ28" s="522"/>
      <c r="NUA28" s="522"/>
      <c r="NUB28" s="522"/>
      <c r="NUC28" s="523"/>
      <c r="NUD28" s="104"/>
      <c r="NUE28" s="521"/>
      <c r="NUF28" s="522"/>
      <c r="NUG28" s="522"/>
      <c r="NUH28" s="522"/>
      <c r="NUI28" s="523"/>
      <c r="NUJ28" s="104"/>
      <c r="NUK28" s="521"/>
      <c r="NUL28" s="522"/>
      <c r="NUM28" s="522"/>
      <c r="NUN28" s="522"/>
      <c r="NUO28" s="523"/>
      <c r="NUP28" s="104"/>
      <c r="NUQ28" s="521"/>
      <c r="NUR28" s="522"/>
      <c r="NUS28" s="522"/>
      <c r="NUT28" s="522"/>
      <c r="NUU28" s="523"/>
      <c r="NUV28" s="104"/>
      <c r="NUW28" s="521"/>
      <c r="NUX28" s="522"/>
      <c r="NUY28" s="522"/>
      <c r="NUZ28" s="522"/>
      <c r="NVA28" s="523"/>
      <c r="NVB28" s="104"/>
      <c r="NVC28" s="521"/>
      <c r="NVD28" s="522"/>
      <c r="NVE28" s="522"/>
      <c r="NVF28" s="522"/>
      <c r="NVG28" s="523"/>
      <c r="NVH28" s="104"/>
      <c r="NVI28" s="521"/>
      <c r="NVJ28" s="522"/>
      <c r="NVK28" s="522"/>
      <c r="NVL28" s="522"/>
      <c r="NVM28" s="523"/>
      <c r="NVN28" s="104"/>
      <c r="NVO28" s="521"/>
      <c r="NVP28" s="522"/>
      <c r="NVQ28" s="522"/>
      <c r="NVR28" s="522"/>
      <c r="NVS28" s="523"/>
      <c r="NVT28" s="104"/>
      <c r="NVU28" s="521"/>
      <c r="NVV28" s="522"/>
      <c r="NVW28" s="522"/>
      <c r="NVX28" s="522"/>
      <c r="NVY28" s="523"/>
      <c r="NVZ28" s="104"/>
      <c r="NWA28" s="521"/>
      <c r="NWB28" s="522"/>
      <c r="NWC28" s="522"/>
      <c r="NWD28" s="522"/>
      <c r="NWE28" s="523"/>
      <c r="NWF28" s="104"/>
      <c r="NWG28" s="521"/>
      <c r="NWH28" s="522"/>
      <c r="NWI28" s="522"/>
      <c r="NWJ28" s="522"/>
      <c r="NWK28" s="523"/>
      <c r="NWL28" s="104"/>
      <c r="NWM28" s="521"/>
      <c r="NWN28" s="522"/>
      <c r="NWO28" s="522"/>
      <c r="NWP28" s="522"/>
      <c r="NWQ28" s="523"/>
      <c r="NWR28" s="104"/>
      <c r="NWS28" s="521"/>
      <c r="NWT28" s="522"/>
      <c r="NWU28" s="522"/>
      <c r="NWV28" s="522"/>
      <c r="NWW28" s="523"/>
      <c r="NWX28" s="104"/>
      <c r="NWY28" s="521"/>
      <c r="NWZ28" s="522"/>
      <c r="NXA28" s="522"/>
      <c r="NXB28" s="522"/>
      <c r="NXC28" s="523"/>
      <c r="NXD28" s="104"/>
      <c r="NXE28" s="521"/>
      <c r="NXF28" s="522"/>
      <c r="NXG28" s="522"/>
      <c r="NXH28" s="522"/>
      <c r="NXI28" s="523"/>
      <c r="NXJ28" s="104"/>
      <c r="NXK28" s="521"/>
      <c r="NXL28" s="522"/>
      <c r="NXM28" s="522"/>
      <c r="NXN28" s="522"/>
      <c r="NXO28" s="523"/>
      <c r="NXP28" s="104"/>
      <c r="NXQ28" s="521"/>
      <c r="NXR28" s="522"/>
      <c r="NXS28" s="522"/>
      <c r="NXT28" s="522"/>
      <c r="NXU28" s="523"/>
      <c r="NXV28" s="104"/>
      <c r="NXW28" s="521"/>
      <c r="NXX28" s="522"/>
      <c r="NXY28" s="522"/>
      <c r="NXZ28" s="522"/>
      <c r="NYA28" s="523"/>
      <c r="NYB28" s="104"/>
      <c r="NYC28" s="521"/>
      <c r="NYD28" s="522"/>
      <c r="NYE28" s="522"/>
      <c r="NYF28" s="522"/>
      <c r="NYG28" s="523"/>
      <c r="NYH28" s="104"/>
      <c r="NYI28" s="521"/>
      <c r="NYJ28" s="522"/>
      <c r="NYK28" s="522"/>
      <c r="NYL28" s="522"/>
      <c r="NYM28" s="523"/>
      <c r="NYN28" s="104"/>
      <c r="NYO28" s="521"/>
      <c r="NYP28" s="522"/>
      <c r="NYQ28" s="522"/>
      <c r="NYR28" s="522"/>
      <c r="NYS28" s="523"/>
      <c r="NYT28" s="104"/>
      <c r="NYU28" s="521"/>
      <c r="NYV28" s="522"/>
      <c r="NYW28" s="522"/>
      <c r="NYX28" s="522"/>
      <c r="NYY28" s="523"/>
      <c r="NYZ28" s="104"/>
      <c r="NZA28" s="521"/>
      <c r="NZB28" s="522"/>
      <c r="NZC28" s="522"/>
      <c r="NZD28" s="522"/>
      <c r="NZE28" s="523"/>
      <c r="NZF28" s="104"/>
      <c r="NZG28" s="521"/>
      <c r="NZH28" s="522"/>
      <c r="NZI28" s="522"/>
      <c r="NZJ28" s="522"/>
      <c r="NZK28" s="523"/>
      <c r="NZL28" s="104"/>
      <c r="NZM28" s="521"/>
      <c r="NZN28" s="522"/>
      <c r="NZO28" s="522"/>
      <c r="NZP28" s="522"/>
      <c r="NZQ28" s="523"/>
      <c r="NZR28" s="104"/>
      <c r="NZS28" s="521"/>
      <c r="NZT28" s="522"/>
      <c r="NZU28" s="522"/>
      <c r="NZV28" s="522"/>
      <c r="NZW28" s="523"/>
      <c r="NZX28" s="104"/>
      <c r="NZY28" s="521"/>
      <c r="NZZ28" s="522"/>
      <c r="OAA28" s="522"/>
      <c r="OAB28" s="522"/>
      <c r="OAC28" s="523"/>
      <c r="OAD28" s="104"/>
      <c r="OAE28" s="521"/>
      <c r="OAF28" s="522"/>
      <c r="OAG28" s="522"/>
      <c r="OAH28" s="522"/>
      <c r="OAI28" s="523"/>
      <c r="OAJ28" s="104"/>
      <c r="OAK28" s="521"/>
      <c r="OAL28" s="522"/>
      <c r="OAM28" s="522"/>
      <c r="OAN28" s="522"/>
      <c r="OAO28" s="523"/>
      <c r="OAP28" s="104"/>
      <c r="OAQ28" s="521"/>
      <c r="OAR28" s="522"/>
      <c r="OAS28" s="522"/>
      <c r="OAT28" s="522"/>
      <c r="OAU28" s="523"/>
      <c r="OAV28" s="104"/>
      <c r="OAW28" s="521"/>
      <c r="OAX28" s="522"/>
      <c r="OAY28" s="522"/>
      <c r="OAZ28" s="522"/>
      <c r="OBA28" s="523"/>
      <c r="OBB28" s="104"/>
      <c r="OBC28" s="521"/>
      <c r="OBD28" s="522"/>
      <c r="OBE28" s="522"/>
      <c r="OBF28" s="522"/>
      <c r="OBG28" s="523"/>
      <c r="OBH28" s="104"/>
      <c r="OBI28" s="521"/>
      <c r="OBJ28" s="522"/>
      <c r="OBK28" s="522"/>
      <c r="OBL28" s="522"/>
      <c r="OBM28" s="523"/>
      <c r="OBN28" s="104"/>
      <c r="OBO28" s="521"/>
      <c r="OBP28" s="522"/>
      <c r="OBQ28" s="522"/>
      <c r="OBR28" s="522"/>
      <c r="OBS28" s="523"/>
      <c r="OBT28" s="104"/>
      <c r="OBU28" s="521"/>
      <c r="OBV28" s="522"/>
      <c r="OBW28" s="522"/>
      <c r="OBX28" s="522"/>
      <c r="OBY28" s="523"/>
      <c r="OBZ28" s="104"/>
      <c r="OCA28" s="521"/>
      <c r="OCB28" s="522"/>
      <c r="OCC28" s="522"/>
      <c r="OCD28" s="522"/>
      <c r="OCE28" s="523"/>
      <c r="OCF28" s="104"/>
      <c r="OCG28" s="521"/>
      <c r="OCH28" s="522"/>
      <c r="OCI28" s="522"/>
      <c r="OCJ28" s="522"/>
      <c r="OCK28" s="523"/>
      <c r="OCL28" s="104"/>
      <c r="OCM28" s="521"/>
      <c r="OCN28" s="522"/>
      <c r="OCO28" s="522"/>
      <c r="OCP28" s="522"/>
      <c r="OCQ28" s="523"/>
      <c r="OCR28" s="104"/>
      <c r="OCS28" s="521"/>
      <c r="OCT28" s="522"/>
      <c r="OCU28" s="522"/>
      <c r="OCV28" s="522"/>
      <c r="OCW28" s="523"/>
      <c r="OCX28" s="104"/>
      <c r="OCY28" s="521"/>
      <c r="OCZ28" s="522"/>
      <c r="ODA28" s="522"/>
      <c r="ODB28" s="522"/>
      <c r="ODC28" s="523"/>
      <c r="ODD28" s="104"/>
      <c r="ODE28" s="521"/>
      <c r="ODF28" s="522"/>
      <c r="ODG28" s="522"/>
      <c r="ODH28" s="522"/>
      <c r="ODI28" s="523"/>
      <c r="ODJ28" s="104"/>
      <c r="ODK28" s="521"/>
      <c r="ODL28" s="522"/>
      <c r="ODM28" s="522"/>
      <c r="ODN28" s="522"/>
      <c r="ODO28" s="523"/>
      <c r="ODP28" s="104"/>
      <c r="ODQ28" s="521"/>
      <c r="ODR28" s="522"/>
      <c r="ODS28" s="522"/>
      <c r="ODT28" s="522"/>
      <c r="ODU28" s="523"/>
      <c r="ODV28" s="104"/>
      <c r="ODW28" s="521"/>
      <c r="ODX28" s="522"/>
      <c r="ODY28" s="522"/>
      <c r="ODZ28" s="522"/>
      <c r="OEA28" s="523"/>
      <c r="OEB28" s="104"/>
      <c r="OEC28" s="521"/>
      <c r="OED28" s="522"/>
      <c r="OEE28" s="522"/>
      <c r="OEF28" s="522"/>
      <c r="OEG28" s="523"/>
      <c r="OEH28" s="104"/>
      <c r="OEI28" s="521"/>
      <c r="OEJ28" s="522"/>
      <c r="OEK28" s="522"/>
      <c r="OEL28" s="522"/>
      <c r="OEM28" s="523"/>
      <c r="OEN28" s="104"/>
      <c r="OEO28" s="521"/>
      <c r="OEP28" s="522"/>
      <c r="OEQ28" s="522"/>
      <c r="OER28" s="522"/>
      <c r="OES28" s="523"/>
      <c r="OET28" s="104"/>
      <c r="OEU28" s="521"/>
      <c r="OEV28" s="522"/>
      <c r="OEW28" s="522"/>
      <c r="OEX28" s="522"/>
      <c r="OEY28" s="523"/>
      <c r="OEZ28" s="104"/>
      <c r="OFA28" s="521"/>
      <c r="OFB28" s="522"/>
      <c r="OFC28" s="522"/>
      <c r="OFD28" s="522"/>
      <c r="OFE28" s="523"/>
      <c r="OFF28" s="104"/>
      <c r="OFG28" s="521"/>
      <c r="OFH28" s="522"/>
      <c r="OFI28" s="522"/>
      <c r="OFJ28" s="522"/>
      <c r="OFK28" s="523"/>
      <c r="OFL28" s="104"/>
      <c r="OFM28" s="521"/>
      <c r="OFN28" s="522"/>
      <c r="OFO28" s="522"/>
      <c r="OFP28" s="522"/>
      <c r="OFQ28" s="523"/>
      <c r="OFR28" s="104"/>
      <c r="OFS28" s="521"/>
      <c r="OFT28" s="522"/>
      <c r="OFU28" s="522"/>
      <c r="OFV28" s="522"/>
      <c r="OFW28" s="523"/>
      <c r="OFX28" s="104"/>
      <c r="OFY28" s="521"/>
      <c r="OFZ28" s="522"/>
      <c r="OGA28" s="522"/>
      <c r="OGB28" s="522"/>
      <c r="OGC28" s="523"/>
      <c r="OGD28" s="104"/>
      <c r="OGE28" s="521"/>
      <c r="OGF28" s="522"/>
      <c r="OGG28" s="522"/>
      <c r="OGH28" s="522"/>
      <c r="OGI28" s="523"/>
      <c r="OGJ28" s="104"/>
      <c r="OGK28" s="521"/>
      <c r="OGL28" s="522"/>
      <c r="OGM28" s="522"/>
      <c r="OGN28" s="522"/>
      <c r="OGO28" s="523"/>
      <c r="OGP28" s="104"/>
      <c r="OGQ28" s="521"/>
      <c r="OGR28" s="522"/>
      <c r="OGS28" s="522"/>
      <c r="OGT28" s="522"/>
      <c r="OGU28" s="523"/>
      <c r="OGV28" s="104"/>
      <c r="OGW28" s="521"/>
      <c r="OGX28" s="522"/>
      <c r="OGY28" s="522"/>
      <c r="OGZ28" s="522"/>
      <c r="OHA28" s="523"/>
      <c r="OHB28" s="104"/>
      <c r="OHC28" s="521"/>
      <c r="OHD28" s="522"/>
      <c r="OHE28" s="522"/>
      <c r="OHF28" s="522"/>
      <c r="OHG28" s="523"/>
      <c r="OHH28" s="104"/>
      <c r="OHI28" s="521"/>
      <c r="OHJ28" s="522"/>
      <c r="OHK28" s="522"/>
      <c r="OHL28" s="522"/>
      <c r="OHM28" s="523"/>
      <c r="OHN28" s="104"/>
      <c r="OHO28" s="521"/>
      <c r="OHP28" s="522"/>
      <c r="OHQ28" s="522"/>
      <c r="OHR28" s="522"/>
      <c r="OHS28" s="523"/>
      <c r="OHT28" s="104"/>
      <c r="OHU28" s="521"/>
      <c r="OHV28" s="522"/>
      <c r="OHW28" s="522"/>
      <c r="OHX28" s="522"/>
      <c r="OHY28" s="523"/>
      <c r="OHZ28" s="104"/>
      <c r="OIA28" s="521"/>
      <c r="OIB28" s="522"/>
      <c r="OIC28" s="522"/>
      <c r="OID28" s="522"/>
      <c r="OIE28" s="523"/>
      <c r="OIF28" s="104"/>
      <c r="OIG28" s="521"/>
      <c r="OIH28" s="522"/>
      <c r="OII28" s="522"/>
      <c r="OIJ28" s="522"/>
      <c r="OIK28" s="523"/>
      <c r="OIL28" s="104"/>
      <c r="OIM28" s="521"/>
      <c r="OIN28" s="522"/>
      <c r="OIO28" s="522"/>
      <c r="OIP28" s="522"/>
      <c r="OIQ28" s="523"/>
      <c r="OIR28" s="104"/>
      <c r="OIS28" s="521"/>
      <c r="OIT28" s="522"/>
      <c r="OIU28" s="522"/>
      <c r="OIV28" s="522"/>
      <c r="OIW28" s="523"/>
      <c r="OIX28" s="104"/>
      <c r="OIY28" s="521"/>
      <c r="OIZ28" s="522"/>
      <c r="OJA28" s="522"/>
      <c r="OJB28" s="522"/>
      <c r="OJC28" s="523"/>
      <c r="OJD28" s="104"/>
      <c r="OJE28" s="521"/>
      <c r="OJF28" s="522"/>
      <c r="OJG28" s="522"/>
      <c r="OJH28" s="522"/>
      <c r="OJI28" s="523"/>
      <c r="OJJ28" s="104"/>
      <c r="OJK28" s="521"/>
      <c r="OJL28" s="522"/>
      <c r="OJM28" s="522"/>
      <c r="OJN28" s="522"/>
      <c r="OJO28" s="523"/>
      <c r="OJP28" s="104"/>
      <c r="OJQ28" s="521"/>
      <c r="OJR28" s="522"/>
      <c r="OJS28" s="522"/>
      <c r="OJT28" s="522"/>
      <c r="OJU28" s="523"/>
      <c r="OJV28" s="104"/>
      <c r="OJW28" s="521"/>
      <c r="OJX28" s="522"/>
      <c r="OJY28" s="522"/>
      <c r="OJZ28" s="522"/>
      <c r="OKA28" s="523"/>
      <c r="OKB28" s="104"/>
      <c r="OKC28" s="521"/>
      <c r="OKD28" s="522"/>
      <c r="OKE28" s="522"/>
      <c r="OKF28" s="522"/>
      <c r="OKG28" s="523"/>
      <c r="OKH28" s="104"/>
      <c r="OKI28" s="521"/>
      <c r="OKJ28" s="522"/>
      <c r="OKK28" s="522"/>
      <c r="OKL28" s="522"/>
      <c r="OKM28" s="523"/>
      <c r="OKN28" s="104"/>
      <c r="OKO28" s="521"/>
      <c r="OKP28" s="522"/>
      <c r="OKQ28" s="522"/>
      <c r="OKR28" s="522"/>
      <c r="OKS28" s="523"/>
      <c r="OKT28" s="104"/>
      <c r="OKU28" s="521"/>
      <c r="OKV28" s="522"/>
      <c r="OKW28" s="522"/>
      <c r="OKX28" s="522"/>
      <c r="OKY28" s="523"/>
      <c r="OKZ28" s="104"/>
      <c r="OLA28" s="521"/>
      <c r="OLB28" s="522"/>
      <c r="OLC28" s="522"/>
      <c r="OLD28" s="522"/>
      <c r="OLE28" s="523"/>
      <c r="OLF28" s="104"/>
      <c r="OLG28" s="521"/>
      <c r="OLH28" s="522"/>
      <c r="OLI28" s="522"/>
      <c r="OLJ28" s="522"/>
      <c r="OLK28" s="523"/>
      <c r="OLL28" s="104"/>
      <c r="OLM28" s="521"/>
      <c r="OLN28" s="522"/>
      <c r="OLO28" s="522"/>
      <c r="OLP28" s="522"/>
      <c r="OLQ28" s="523"/>
      <c r="OLR28" s="104"/>
      <c r="OLS28" s="521"/>
      <c r="OLT28" s="522"/>
      <c r="OLU28" s="522"/>
      <c r="OLV28" s="522"/>
      <c r="OLW28" s="523"/>
      <c r="OLX28" s="104"/>
      <c r="OLY28" s="521"/>
      <c r="OLZ28" s="522"/>
      <c r="OMA28" s="522"/>
      <c r="OMB28" s="522"/>
      <c r="OMC28" s="523"/>
      <c r="OMD28" s="104"/>
      <c r="OME28" s="521"/>
      <c r="OMF28" s="522"/>
      <c r="OMG28" s="522"/>
      <c r="OMH28" s="522"/>
      <c r="OMI28" s="523"/>
      <c r="OMJ28" s="104"/>
      <c r="OMK28" s="521"/>
      <c r="OML28" s="522"/>
      <c r="OMM28" s="522"/>
      <c r="OMN28" s="522"/>
      <c r="OMO28" s="523"/>
      <c r="OMP28" s="104"/>
      <c r="OMQ28" s="521"/>
      <c r="OMR28" s="522"/>
      <c r="OMS28" s="522"/>
      <c r="OMT28" s="522"/>
      <c r="OMU28" s="523"/>
      <c r="OMV28" s="104"/>
      <c r="OMW28" s="521"/>
      <c r="OMX28" s="522"/>
      <c r="OMY28" s="522"/>
      <c r="OMZ28" s="522"/>
      <c r="ONA28" s="523"/>
      <c r="ONB28" s="104"/>
      <c r="ONC28" s="521"/>
      <c r="OND28" s="522"/>
      <c r="ONE28" s="522"/>
      <c r="ONF28" s="522"/>
      <c r="ONG28" s="523"/>
      <c r="ONH28" s="104"/>
      <c r="ONI28" s="521"/>
      <c r="ONJ28" s="522"/>
      <c r="ONK28" s="522"/>
      <c r="ONL28" s="522"/>
      <c r="ONM28" s="523"/>
      <c r="ONN28" s="104"/>
      <c r="ONO28" s="521"/>
      <c r="ONP28" s="522"/>
      <c r="ONQ28" s="522"/>
      <c r="ONR28" s="522"/>
      <c r="ONS28" s="523"/>
      <c r="ONT28" s="104"/>
      <c r="ONU28" s="521"/>
      <c r="ONV28" s="522"/>
      <c r="ONW28" s="522"/>
      <c r="ONX28" s="522"/>
      <c r="ONY28" s="523"/>
      <c r="ONZ28" s="104"/>
      <c r="OOA28" s="521"/>
      <c r="OOB28" s="522"/>
      <c r="OOC28" s="522"/>
      <c r="OOD28" s="522"/>
      <c r="OOE28" s="523"/>
      <c r="OOF28" s="104"/>
      <c r="OOG28" s="521"/>
      <c r="OOH28" s="522"/>
      <c r="OOI28" s="522"/>
      <c r="OOJ28" s="522"/>
      <c r="OOK28" s="523"/>
      <c r="OOL28" s="104"/>
      <c r="OOM28" s="521"/>
      <c r="OON28" s="522"/>
      <c r="OOO28" s="522"/>
      <c r="OOP28" s="522"/>
      <c r="OOQ28" s="523"/>
      <c r="OOR28" s="104"/>
      <c r="OOS28" s="521"/>
      <c r="OOT28" s="522"/>
      <c r="OOU28" s="522"/>
      <c r="OOV28" s="522"/>
      <c r="OOW28" s="523"/>
      <c r="OOX28" s="104"/>
      <c r="OOY28" s="521"/>
      <c r="OOZ28" s="522"/>
      <c r="OPA28" s="522"/>
      <c r="OPB28" s="522"/>
      <c r="OPC28" s="523"/>
      <c r="OPD28" s="104"/>
      <c r="OPE28" s="521"/>
      <c r="OPF28" s="522"/>
      <c r="OPG28" s="522"/>
      <c r="OPH28" s="522"/>
      <c r="OPI28" s="523"/>
      <c r="OPJ28" s="104"/>
      <c r="OPK28" s="521"/>
      <c r="OPL28" s="522"/>
      <c r="OPM28" s="522"/>
      <c r="OPN28" s="522"/>
      <c r="OPO28" s="523"/>
      <c r="OPP28" s="104"/>
      <c r="OPQ28" s="521"/>
      <c r="OPR28" s="522"/>
      <c r="OPS28" s="522"/>
      <c r="OPT28" s="522"/>
      <c r="OPU28" s="523"/>
      <c r="OPV28" s="104"/>
      <c r="OPW28" s="521"/>
      <c r="OPX28" s="522"/>
      <c r="OPY28" s="522"/>
      <c r="OPZ28" s="522"/>
      <c r="OQA28" s="523"/>
      <c r="OQB28" s="104"/>
      <c r="OQC28" s="521"/>
      <c r="OQD28" s="522"/>
      <c r="OQE28" s="522"/>
      <c r="OQF28" s="522"/>
      <c r="OQG28" s="523"/>
      <c r="OQH28" s="104"/>
      <c r="OQI28" s="521"/>
      <c r="OQJ28" s="522"/>
      <c r="OQK28" s="522"/>
      <c r="OQL28" s="522"/>
      <c r="OQM28" s="523"/>
      <c r="OQN28" s="104"/>
      <c r="OQO28" s="521"/>
      <c r="OQP28" s="522"/>
      <c r="OQQ28" s="522"/>
      <c r="OQR28" s="522"/>
      <c r="OQS28" s="523"/>
      <c r="OQT28" s="104"/>
      <c r="OQU28" s="521"/>
      <c r="OQV28" s="522"/>
      <c r="OQW28" s="522"/>
      <c r="OQX28" s="522"/>
      <c r="OQY28" s="523"/>
      <c r="OQZ28" s="104"/>
      <c r="ORA28" s="521"/>
      <c r="ORB28" s="522"/>
      <c r="ORC28" s="522"/>
      <c r="ORD28" s="522"/>
      <c r="ORE28" s="523"/>
      <c r="ORF28" s="104"/>
      <c r="ORG28" s="521"/>
      <c r="ORH28" s="522"/>
      <c r="ORI28" s="522"/>
      <c r="ORJ28" s="522"/>
      <c r="ORK28" s="523"/>
      <c r="ORL28" s="104"/>
      <c r="ORM28" s="521"/>
      <c r="ORN28" s="522"/>
      <c r="ORO28" s="522"/>
      <c r="ORP28" s="522"/>
      <c r="ORQ28" s="523"/>
      <c r="ORR28" s="104"/>
      <c r="ORS28" s="521"/>
      <c r="ORT28" s="522"/>
      <c r="ORU28" s="522"/>
      <c r="ORV28" s="522"/>
      <c r="ORW28" s="523"/>
      <c r="ORX28" s="104"/>
      <c r="ORY28" s="521"/>
      <c r="ORZ28" s="522"/>
      <c r="OSA28" s="522"/>
      <c r="OSB28" s="522"/>
      <c r="OSC28" s="523"/>
      <c r="OSD28" s="104"/>
      <c r="OSE28" s="521"/>
      <c r="OSF28" s="522"/>
      <c r="OSG28" s="522"/>
      <c r="OSH28" s="522"/>
      <c r="OSI28" s="523"/>
      <c r="OSJ28" s="104"/>
      <c r="OSK28" s="521"/>
      <c r="OSL28" s="522"/>
      <c r="OSM28" s="522"/>
      <c r="OSN28" s="522"/>
      <c r="OSO28" s="523"/>
      <c r="OSP28" s="104"/>
      <c r="OSQ28" s="521"/>
      <c r="OSR28" s="522"/>
      <c r="OSS28" s="522"/>
      <c r="OST28" s="522"/>
      <c r="OSU28" s="523"/>
      <c r="OSV28" s="104"/>
      <c r="OSW28" s="521"/>
      <c r="OSX28" s="522"/>
      <c r="OSY28" s="522"/>
      <c r="OSZ28" s="522"/>
      <c r="OTA28" s="523"/>
      <c r="OTB28" s="104"/>
      <c r="OTC28" s="521"/>
      <c r="OTD28" s="522"/>
      <c r="OTE28" s="522"/>
      <c r="OTF28" s="522"/>
      <c r="OTG28" s="523"/>
      <c r="OTH28" s="104"/>
      <c r="OTI28" s="521"/>
      <c r="OTJ28" s="522"/>
      <c r="OTK28" s="522"/>
      <c r="OTL28" s="522"/>
      <c r="OTM28" s="523"/>
      <c r="OTN28" s="104"/>
      <c r="OTO28" s="521"/>
      <c r="OTP28" s="522"/>
      <c r="OTQ28" s="522"/>
      <c r="OTR28" s="522"/>
      <c r="OTS28" s="523"/>
      <c r="OTT28" s="104"/>
      <c r="OTU28" s="521"/>
      <c r="OTV28" s="522"/>
      <c r="OTW28" s="522"/>
      <c r="OTX28" s="522"/>
      <c r="OTY28" s="523"/>
      <c r="OTZ28" s="104"/>
      <c r="OUA28" s="521"/>
      <c r="OUB28" s="522"/>
      <c r="OUC28" s="522"/>
      <c r="OUD28" s="522"/>
      <c r="OUE28" s="523"/>
      <c r="OUF28" s="104"/>
      <c r="OUG28" s="521"/>
      <c r="OUH28" s="522"/>
      <c r="OUI28" s="522"/>
      <c r="OUJ28" s="522"/>
      <c r="OUK28" s="523"/>
      <c r="OUL28" s="104"/>
      <c r="OUM28" s="521"/>
      <c r="OUN28" s="522"/>
      <c r="OUO28" s="522"/>
      <c r="OUP28" s="522"/>
      <c r="OUQ28" s="523"/>
      <c r="OUR28" s="104"/>
      <c r="OUS28" s="521"/>
      <c r="OUT28" s="522"/>
      <c r="OUU28" s="522"/>
      <c r="OUV28" s="522"/>
      <c r="OUW28" s="523"/>
      <c r="OUX28" s="104"/>
      <c r="OUY28" s="521"/>
      <c r="OUZ28" s="522"/>
      <c r="OVA28" s="522"/>
      <c r="OVB28" s="522"/>
      <c r="OVC28" s="523"/>
      <c r="OVD28" s="104"/>
      <c r="OVE28" s="521"/>
      <c r="OVF28" s="522"/>
      <c r="OVG28" s="522"/>
      <c r="OVH28" s="522"/>
      <c r="OVI28" s="523"/>
      <c r="OVJ28" s="104"/>
      <c r="OVK28" s="521"/>
      <c r="OVL28" s="522"/>
      <c r="OVM28" s="522"/>
      <c r="OVN28" s="522"/>
      <c r="OVO28" s="523"/>
      <c r="OVP28" s="104"/>
      <c r="OVQ28" s="521"/>
      <c r="OVR28" s="522"/>
      <c r="OVS28" s="522"/>
      <c r="OVT28" s="522"/>
      <c r="OVU28" s="523"/>
      <c r="OVV28" s="104"/>
      <c r="OVW28" s="521"/>
      <c r="OVX28" s="522"/>
      <c r="OVY28" s="522"/>
      <c r="OVZ28" s="522"/>
      <c r="OWA28" s="523"/>
      <c r="OWB28" s="104"/>
      <c r="OWC28" s="521"/>
      <c r="OWD28" s="522"/>
      <c r="OWE28" s="522"/>
      <c r="OWF28" s="522"/>
      <c r="OWG28" s="523"/>
      <c r="OWH28" s="104"/>
      <c r="OWI28" s="521"/>
      <c r="OWJ28" s="522"/>
      <c r="OWK28" s="522"/>
      <c r="OWL28" s="522"/>
      <c r="OWM28" s="523"/>
      <c r="OWN28" s="104"/>
      <c r="OWO28" s="521"/>
      <c r="OWP28" s="522"/>
      <c r="OWQ28" s="522"/>
      <c r="OWR28" s="522"/>
      <c r="OWS28" s="523"/>
      <c r="OWT28" s="104"/>
      <c r="OWU28" s="521"/>
      <c r="OWV28" s="522"/>
      <c r="OWW28" s="522"/>
      <c r="OWX28" s="522"/>
      <c r="OWY28" s="523"/>
      <c r="OWZ28" s="104"/>
      <c r="OXA28" s="521"/>
      <c r="OXB28" s="522"/>
      <c r="OXC28" s="522"/>
      <c r="OXD28" s="522"/>
      <c r="OXE28" s="523"/>
      <c r="OXF28" s="104"/>
      <c r="OXG28" s="521"/>
      <c r="OXH28" s="522"/>
      <c r="OXI28" s="522"/>
      <c r="OXJ28" s="522"/>
      <c r="OXK28" s="523"/>
      <c r="OXL28" s="104"/>
      <c r="OXM28" s="521"/>
      <c r="OXN28" s="522"/>
      <c r="OXO28" s="522"/>
      <c r="OXP28" s="522"/>
      <c r="OXQ28" s="523"/>
      <c r="OXR28" s="104"/>
      <c r="OXS28" s="521"/>
      <c r="OXT28" s="522"/>
      <c r="OXU28" s="522"/>
      <c r="OXV28" s="522"/>
      <c r="OXW28" s="523"/>
      <c r="OXX28" s="104"/>
      <c r="OXY28" s="521"/>
      <c r="OXZ28" s="522"/>
      <c r="OYA28" s="522"/>
      <c r="OYB28" s="522"/>
      <c r="OYC28" s="523"/>
      <c r="OYD28" s="104"/>
      <c r="OYE28" s="521"/>
      <c r="OYF28" s="522"/>
      <c r="OYG28" s="522"/>
      <c r="OYH28" s="522"/>
      <c r="OYI28" s="523"/>
      <c r="OYJ28" s="104"/>
      <c r="OYK28" s="521"/>
      <c r="OYL28" s="522"/>
      <c r="OYM28" s="522"/>
      <c r="OYN28" s="522"/>
      <c r="OYO28" s="523"/>
      <c r="OYP28" s="104"/>
      <c r="OYQ28" s="521"/>
      <c r="OYR28" s="522"/>
      <c r="OYS28" s="522"/>
      <c r="OYT28" s="522"/>
      <c r="OYU28" s="523"/>
      <c r="OYV28" s="104"/>
      <c r="OYW28" s="521"/>
      <c r="OYX28" s="522"/>
      <c r="OYY28" s="522"/>
      <c r="OYZ28" s="522"/>
      <c r="OZA28" s="523"/>
      <c r="OZB28" s="104"/>
      <c r="OZC28" s="521"/>
      <c r="OZD28" s="522"/>
      <c r="OZE28" s="522"/>
      <c r="OZF28" s="522"/>
      <c r="OZG28" s="523"/>
      <c r="OZH28" s="104"/>
      <c r="OZI28" s="521"/>
      <c r="OZJ28" s="522"/>
      <c r="OZK28" s="522"/>
      <c r="OZL28" s="522"/>
      <c r="OZM28" s="523"/>
      <c r="OZN28" s="104"/>
      <c r="OZO28" s="521"/>
      <c r="OZP28" s="522"/>
      <c r="OZQ28" s="522"/>
      <c r="OZR28" s="522"/>
      <c r="OZS28" s="523"/>
      <c r="OZT28" s="104"/>
      <c r="OZU28" s="521"/>
      <c r="OZV28" s="522"/>
      <c r="OZW28" s="522"/>
      <c r="OZX28" s="522"/>
      <c r="OZY28" s="523"/>
      <c r="OZZ28" s="104"/>
      <c r="PAA28" s="521"/>
      <c r="PAB28" s="522"/>
      <c r="PAC28" s="522"/>
      <c r="PAD28" s="522"/>
      <c r="PAE28" s="523"/>
      <c r="PAF28" s="104"/>
      <c r="PAG28" s="521"/>
      <c r="PAH28" s="522"/>
      <c r="PAI28" s="522"/>
      <c r="PAJ28" s="522"/>
      <c r="PAK28" s="523"/>
      <c r="PAL28" s="104"/>
      <c r="PAM28" s="521"/>
      <c r="PAN28" s="522"/>
      <c r="PAO28" s="522"/>
      <c r="PAP28" s="522"/>
      <c r="PAQ28" s="523"/>
      <c r="PAR28" s="104"/>
      <c r="PAS28" s="521"/>
      <c r="PAT28" s="522"/>
      <c r="PAU28" s="522"/>
      <c r="PAV28" s="522"/>
      <c r="PAW28" s="523"/>
      <c r="PAX28" s="104"/>
      <c r="PAY28" s="521"/>
      <c r="PAZ28" s="522"/>
      <c r="PBA28" s="522"/>
      <c r="PBB28" s="522"/>
      <c r="PBC28" s="523"/>
      <c r="PBD28" s="104"/>
      <c r="PBE28" s="521"/>
      <c r="PBF28" s="522"/>
      <c r="PBG28" s="522"/>
      <c r="PBH28" s="522"/>
      <c r="PBI28" s="523"/>
      <c r="PBJ28" s="104"/>
      <c r="PBK28" s="521"/>
      <c r="PBL28" s="522"/>
      <c r="PBM28" s="522"/>
      <c r="PBN28" s="522"/>
      <c r="PBO28" s="523"/>
      <c r="PBP28" s="104"/>
      <c r="PBQ28" s="521"/>
      <c r="PBR28" s="522"/>
      <c r="PBS28" s="522"/>
      <c r="PBT28" s="522"/>
      <c r="PBU28" s="523"/>
      <c r="PBV28" s="104"/>
      <c r="PBW28" s="521"/>
      <c r="PBX28" s="522"/>
      <c r="PBY28" s="522"/>
      <c r="PBZ28" s="522"/>
      <c r="PCA28" s="523"/>
      <c r="PCB28" s="104"/>
      <c r="PCC28" s="521"/>
      <c r="PCD28" s="522"/>
      <c r="PCE28" s="522"/>
      <c r="PCF28" s="522"/>
      <c r="PCG28" s="523"/>
      <c r="PCH28" s="104"/>
      <c r="PCI28" s="521"/>
      <c r="PCJ28" s="522"/>
      <c r="PCK28" s="522"/>
      <c r="PCL28" s="522"/>
      <c r="PCM28" s="523"/>
      <c r="PCN28" s="104"/>
      <c r="PCO28" s="521"/>
      <c r="PCP28" s="522"/>
      <c r="PCQ28" s="522"/>
      <c r="PCR28" s="522"/>
      <c r="PCS28" s="523"/>
      <c r="PCT28" s="104"/>
      <c r="PCU28" s="521"/>
      <c r="PCV28" s="522"/>
      <c r="PCW28" s="522"/>
      <c r="PCX28" s="522"/>
      <c r="PCY28" s="523"/>
      <c r="PCZ28" s="104"/>
      <c r="PDA28" s="521"/>
      <c r="PDB28" s="522"/>
      <c r="PDC28" s="522"/>
      <c r="PDD28" s="522"/>
      <c r="PDE28" s="523"/>
      <c r="PDF28" s="104"/>
      <c r="PDG28" s="521"/>
      <c r="PDH28" s="522"/>
      <c r="PDI28" s="522"/>
      <c r="PDJ28" s="522"/>
      <c r="PDK28" s="523"/>
      <c r="PDL28" s="104"/>
      <c r="PDM28" s="521"/>
      <c r="PDN28" s="522"/>
      <c r="PDO28" s="522"/>
      <c r="PDP28" s="522"/>
      <c r="PDQ28" s="523"/>
      <c r="PDR28" s="104"/>
      <c r="PDS28" s="521"/>
      <c r="PDT28" s="522"/>
      <c r="PDU28" s="522"/>
      <c r="PDV28" s="522"/>
      <c r="PDW28" s="523"/>
      <c r="PDX28" s="104"/>
      <c r="PDY28" s="521"/>
      <c r="PDZ28" s="522"/>
      <c r="PEA28" s="522"/>
      <c r="PEB28" s="522"/>
      <c r="PEC28" s="523"/>
      <c r="PED28" s="104"/>
      <c r="PEE28" s="521"/>
      <c r="PEF28" s="522"/>
      <c r="PEG28" s="522"/>
      <c r="PEH28" s="522"/>
      <c r="PEI28" s="523"/>
      <c r="PEJ28" s="104"/>
      <c r="PEK28" s="521"/>
      <c r="PEL28" s="522"/>
      <c r="PEM28" s="522"/>
      <c r="PEN28" s="522"/>
      <c r="PEO28" s="523"/>
      <c r="PEP28" s="104"/>
      <c r="PEQ28" s="521"/>
      <c r="PER28" s="522"/>
      <c r="PES28" s="522"/>
      <c r="PET28" s="522"/>
      <c r="PEU28" s="523"/>
      <c r="PEV28" s="104"/>
      <c r="PEW28" s="521"/>
      <c r="PEX28" s="522"/>
      <c r="PEY28" s="522"/>
      <c r="PEZ28" s="522"/>
      <c r="PFA28" s="523"/>
      <c r="PFB28" s="104"/>
      <c r="PFC28" s="521"/>
      <c r="PFD28" s="522"/>
      <c r="PFE28" s="522"/>
      <c r="PFF28" s="522"/>
      <c r="PFG28" s="523"/>
      <c r="PFH28" s="104"/>
      <c r="PFI28" s="521"/>
      <c r="PFJ28" s="522"/>
      <c r="PFK28" s="522"/>
      <c r="PFL28" s="522"/>
      <c r="PFM28" s="523"/>
      <c r="PFN28" s="104"/>
      <c r="PFO28" s="521"/>
      <c r="PFP28" s="522"/>
      <c r="PFQ28" s="522"/>
      <c r="PFR28" s="522"/>
      <c r="PFS28" s="523"/>
      <c r="PFT28" s="104"/>
      <c r="PFU28" s="521"/>
      <c r="PFV28" s="522"/>
      <c r="PFW28" s="522"/>
      <c r="PFX28" s="522"/>
      <c r="PFY28" s="523"/>
      <c r="PFZ28" s="104"/>
      <c r="PGA28" s="521"/>
      <c r="PGB28" s="522"/>
      <c r="PGC28" s="522"/>
      <c r="PGD28" s="522"/>
      <c r="PGE28" s="523"/>
      <c r="PGF28" s="104"/>
      <c r="PGG28" s="521"/>
      <c r="PGH28" s="522"/>
      <c r="PGI28" s="522"/>
      <c r="PGJ28" s="522"/>
      <c r="PGK28" s="523"/>
      <c r="PGL28" s="104"/>
      <c r="PGM28" s="521"/>
      <c r="PGN28" s="522"/>
      <c r="PGO28" s="522"/>
      <c r="PGP28" s="522"/>
      <c r="PGQ28" s="523"/>
      <c r="PGR28" s="104"/>
      <c r="PGS28" s="521"/>
      <c r="PGT28" s="522"/>
      <c r="PGU28" s="522"/>
      <c r="PGV28" s="522"/>
      <c r="PGW28" s="523"/>
      <c r="PGX28" s="104"/>
      <c r="PGY28" s="521"/>
      <c r="PGZ28" s="522"/>
      <c r="PHA28" s="522"/>
      <c r="PHB28" s="522"/>
      <c r="PHC28" s="523"/>
      <c r="PHD28" s="104"/>
      <c r="PHE28" s="521"/>
      <c r="PHF28" s="522"/>
      <c r="PHG28" s="522"/>
      <c r="PHH28" s="522"/>
      <c r="PHI28" s="523"/>
      <c r="PHJ28" s="104"/>
      <c r="PHK28" s="521"/>
      <c r="PHL28" s="522"/>
      <c r="PHM28" s="522"/>
      <c r="PHN28" s="522"/>
      <c r="PHO28" s="523"/>
      <c r="PHP28" s="104"/>
      <c r="PHQ28" s="521"/>
      <c r="PHR28" s="522"/>
      <c r="PHS28" s="522"/>
      <c r="PHT28" s="522"/>
      <c r="PHU28" s="523"/>
      <c r="PHV28" s="104"/>
      <c r="PHW28" s="521"/>
      <c r="PHX28" s="522"/>
      <c r="PHY28" s="522"/>
      <c r="PHZ28" s="522"/>
      <c r="PIA28" s="523"/>
      <c r="PIB28" s="104"/>
      <c r="PIC28" s="521"/>
      <c r="PID28" s="522"/>
      <c r="PIE28" s="522"/>
      <c r="PIF28" s="522"/>
      <c r="PIG28" s="523"/>
      <c r="PIH28" s="104"/>
      <c r="PII28" s="521"/>
      <c r="PIJ28" s="522"/>
      <c r="PIK28" s="522"/>
      <c r="PIL28" s="522"/>
      <c r="PIM28" s="523"/>
      <c r="PIN28" s="104"/>
      <c r="PIO28" s="521"/>
      <c r="PIP28" s="522"/>
      <c r="PIQ28" s="522"/>
      <c r="PIR28" s="522"/>
      <c r="PIS28" s="523"/>
      <c r="PIT28" s="104"/>
      <c r="PIU28" s="521"/>
      <c r="PIV28" s="522"/>
      <c r="PIW28" s="522"/>
      <c r="PIX28" s="522"/>
      <c r="PIY28" s="523"/>
      <c r="PIZ28" s="104"/>
      <c r="PJA28" s="521"/>
      <c r="PJB28" s="522"/>
      <c r="PJC28" s="522"/>
      <c r="PJD28" s="522"/>
      <c r="PJE28" s="523"/>
      <c r="PJF28" s="104"/>
      <c r="PJG28" s="521"/>
      <c r="PJH28" s="522"/>
      <c r="PJI28" s="522"/>
      <c r="PJJ28" s="522"/>
      <c r="PJK28" s="523"/>
      <c r="PJL28" s="104"/>
      <c r="PJM28" s="521"/>
      <c r="PJN28" s="522"/>
      <c r="PJO28" s="522"/>
      <c r="PJP28" s="522"/>
      <c r="PJQ28" s="523"/>
      <c r="PJR28" s="104"/>
      <c r="PJS28" s="521"/>
      <c r="PJT28" s="522"/>
      <c r="PJU28" s="522"/>
      <c r="PJV28" s="522"/>
      <c r="PJW28" s="523"/>
      <c r="PJX28" s="104"/>
      <c r="PJY28" s="521"/>
      <c r="PJZ28" s="522"/>
      <c r="PKA28" s="522"/>
      <c r="PKB28" s="522"/>
      <c r="PKC28" s="523"/>
      <c r="PKD28" s="104"/>
      <c r="PKE28" s="521"/>
      <c r="PKF28" s="522"/>
      <c r="PKG28" s="522"/>
      <c r="PKH28" s="522"/>
      <c r="PKI28" s="523"/>
      <c r="PKJ28" s="104"/>
      <c r="PKK28" s="521"/>
      <c r="PKL28" s="522"/>
      <c r="PKM28" s="522"/>
      <c r="PKN28" s="522"/>
      <c r="PKO28" s="523"/>
      <c r="PKP28" s="104"/>
      <c r="PKQ28" s="521"/>
      <c r="PKR28" s="522"/>
      <c r="PKS28" s="522"/>
      <c r="PKT28" s="522"/>
      <c r="PKU28" s="523"/>
      <c r="PKV28" s="104"/>
      <c r="PKW28" s="521"/>
      <c r="PKX28" s="522"/>
      <c r="PKY28" s="522"/>
      <c r="PKZ28" s="522"/>
      <c r="PLA28" s="523"/>
      <c r="PLB28" s="104"/>
      <c r="PLC28" s="521"/>
      <c r="PLD28" s="522"/>
      <c r="PLE28" s="522"/>
      <c r="PLF28" s="522"/>
      <c r="PLG28" s="523"/>
      <c r="PLH28" s="104"/>
      <c r="PLI28" s="521"/>
      <c r="PLJ28" s="522"/>
      <c r="PLK28" s="522"/>
      <c r="PLL28" s="522"/>
      <c r="PLM28" s="523"/>
      <c r="PLN28" s="104"/>
      <c r="PLO28" s="521"/>
      <c r="PLP28" s="522"/>
      <c r="PLQ28" s="522"/>
      <c r="PLR28" s="522"/>
      <c r="PLS28" s="523"/>
      <c r="PLT28" s="104"/>
      <c r="PLU28" s="521"/>
      <c r="PLV28" s="522"/>
      <c r="PLW28" s="522"/>
      <c r="PLX28" s="522"/>
      <c r="PLY28" s="523"/>
      <c r="PLZ28" s="104"/>
      <c r="PMA28" s="521"/>
      <c r="PMB28" s="522"/>
      <c r="PMC28" s="522"/>
      <c r="PMD28" s="522"/>
      <c r="PME28" s="523"/>
      <c r="PMF28" s="104"/>
      <c r="PMG28" s="521"/>
      <c r="PMH28" s="522"/>
      <c r="PMI28" s="522"/>
      <c r="PMJ28" s="522"/>
      <c r="PMK28" s="523"/>
      <c r="PML28" s="104"/>
      <c r="PMM28" s="521"/>
      <c r="PMN28" s="522"/>
      <c r="PMO28" s="522"/>
      <c r="PMP28" s="522"/>
      <c r="PMQ28" s="523"/>
      <c r="PMR28" s="104"/>
      <c r="PMS28" s="521"/>
      <c r="PMT28" s="522"/>
      <c r="PMU28" s="522"/>
      <c r="PMV28" s="522"/>
      <c r="PMW28" s="523"/>
      <c r="PMX28" s="104"/>
      <c r="PMY28" s="521"/>
      <c r="PMZ28" s="522"/>
      <c r="PNA28" s="522"/>
      <c r="PNB28" s="522"/>
      <c r="PNC28" s="523"/>
      <c r="PND28" s="104"/>
      <c r="PNE28" s="521"/>
      <c r="PNF28" s="522"/>
      <c r="PNG28" s="522"/>
      <c r="PNH28" s="522"/>
      <c r="PNI28" s="523"/>
      <c r="PNJ28" s="104"/>
      <c r="PNK28" s="521"/>
      <c r="PNL28" s="522"/>
      <c r="PNM28" s="522"/>
      <c r="PNN28" s="522"/>
      <c r="PNO28" s="523"/>
      <c r="PNP28" s="104"/>
      <c r="PNQ28" s="521"/>
      <c r="PNR28" s="522"/>
      <c r="PNS28" s="522"/>
      <c r="PNT28" s="522"/>
      <c r="PNU28" s="523"/>
      <c r="PNV28" s="104"/>
      <c r="PNW28" s="521"/>
      <c r="PNX28" s="522"/>
      <c r="PNY28" s="522"/>
      <c r="PNZ28" s="522"/>
      <c r="POA28" s="523"/>
      <c r="POB28" s="104"/>
      <c r="POC28" s="521"/>
      <c r="POD28" s="522"/>
      <c r="POE28" s="522"/>
      <c r="POF28" s="522"/>
      <c r="POG28" s="523"/>
      <c r="POH28" s="104"/>
      <c r="POI28" s="521"/>
      <c r="POJ28" s="522"/>
      <c r="POK28" s="522"/>
      <c r="POL28" s="522"/>
      <c r="POM28" s="523"/>
      <c r="PON28" s="104"/>
      <c r="POO28" s="521"/>
      <c r="POP28" s="522"/>
      <c r="POQ28" s="522"/>
      <c r="POR28" s="522"/>
      <c r="POS28" s="523"/>
      <c r="POT28" s="104"/>
      <c r="POU28" s="521"/>
      <c r="POV28" s="522"/>
      <c r="POW28" s="522"/>
      <c r="POX28" s="522"/>
      <c r="POY28" s="523"/>
      <c r="POZ28" s="104"/>
      <c r="PPA28" s="521"/>
      <c r="PPB28" s="522"/>
      <c r="PPC28" s="522"/>
      <c r="PPD28" s="522"/>
      <c r="PPE28" s="523"/>
      <c r="PPF28" s="104"/>
      <c r="PPG28" s="521"/>
      <c r="PPH28" s="522"/>
      <c r="PPI28" s="522"/>
      <c r="PPJ28" s="522"/>
      <c r="PPK28" s="523"/>
      <c r="PPL28" s="104"/>
      <c r="PPM28" s="521"/>
      <c r="PPN28" s="522"/>
      <c r="PPO28" s="522"/>
      <c r="PPP28" s="522"/>
      <c r="PPQ28" s="523"/>
      <c r="PPR28" s="104"/>
      <c r="PPS28" s="521"/>
      <c r="PPT28" s="522"/>
      <c r="PPU28" s="522"/>
      <c r="PPV28" s="522"/>
      <c r="PPW28" s="523"/>
      <c r="PPX28" s="104"/>
      <c r="PPY28" s="521"/>
      <c r="PPZ28" s="522"/>
      <c r="PQA28" s="522"/>
      <c r="PQB28" s="522"/>
      <c r="PQC28" s="523"/>
      <c r="PQD28" s="104"/>
      <c r="PQE28" s="521"/>
      <c r="PQF28" s="522"/>
      <c r="PQG28" s="522"/>
      <c r="PQH28" s="522"/>
      <c r="PQI28" s="523"/>
      <c r="PQJ28" s="104"/>
      <c r="PQK28" s="521"/>
      <c r="PQL28" s="522"/>
      <c r="PQM28" s="522"/>
      <c r="PQN28" s="522"/>
      <c r="PQO28" s="523"/>
      <c r="PQP28" s="104"/>
      <c r="PQQ28" s="521"/>
      <c r="PQR28" s="522"/>
      <c r="PQS28" s="522"/>
      <c r="PQT28" s="522"/>
      <c r="PQU28" s="523"/>
      <c r="PQV28" s="104"/>
      <c r="PQW28" s="521"/>
      <c r="PQX28" s="522"/>
      <c r="PQY28" s="522"/>
      <c r="PQZ28" s="522"/>
      <c r="PRA28" s="523"/>
      <c r="PRB28" s="104"/>
      <c r="PRC28" s="521"/>
      <c r="PRD28" s="522"/>
      <c r="PRE28" s="522"/>
      <c r="PRF28" s="522"/>
      <c r="PRG28" s="523"/>
      <c r="PRH28" s="104"/>
      <c r="PRI28" s="521"/>
      <c r="PRJ28" s="522"/>
      <c r="PRK28" s="522"/>
      <c r="PRL28" s="522"/>
      <c r="PRM28" s="523"/>
      <c r="PRN28" s="104"/>
      <c r="PRO28" s="521"/>
      <c r="PRP28" s="522"/>
      <c r="PRQ28" s="522"/>
      <c r="PRR28" s="522"/>
      <c r="PRS28" s="523"/>
      <c r="PRT28" s="104"/>
      <c r="PRU28" s="521"/>
      <c r="PRV28" s="522"/>
      <c r="PRW28" s="522"/>
      <c r="PRX28" s="522"/>
      <c r="PRY28" s="523"/>
      <c r="PRZ28" s="104"/>
      <c r="PSA28" s="521"/>
      <c r="PSB28" s="522"/>
      <c r="PSC28" s="522"/>
      <c r="PSD28" s="522"/>
      <c r="PSE28" s="523"/>
      <c r="PSF28" s="104"/>
      <c r="PSG28" s="521"/>
      <c r="PSH28" s="522"/>
      <c r="PSI28" s="522"/>
      <c r="PSJ28" s="522"/>
      <c r="PSK28" s="523"/>
      <c r="PSL28" s="104"/>
      <c r="PSM28" s="521"/>
      <c r="PSN28" s="522"/>
      <c r="PSO28" s="522"/>
      <c r="PSP28" s="522"/>
      <c r="PSQ28" s="523"/>
      <c r="PSR28" s="104"/>
      <c r="PSS28" s="521"/>
      <c r="PST28" s="522"/>
      <c r="PSU28" s="522"/>
      <c r="PSV28" s="522"/>
      <c r="PSW28" s="523"/>
      <c r="PSX28" s="104"/>
      <c r="PSY28" s="521"/>
      <c r="PSZ28" s="522"/>
      <c r="PTA28" s="522"/>
      <c r="PTB28" s="522"/>
      <c r="PTC28" s="523"/>
      <c r="PTD28" s="104"/>
      <c r="PTE28" s="521"/>
      <c r="PTF28" s="522"/>
      <c r="PTG28" s="522"/>
      <c r="PTH28" s="522"/>
      <c r="PTI28" s="523"/>
      <c r="PTJ28" s="104"/>
      <c r="PTK28" s="521"/>
      <c r="PTL28" s="522"/>
      <c r="PTM28" s="522"/>
      <c r="PTN28" s="522"/>
      <c r="PTO28" s="523"/>
      <c r="PTP28" s="104"/>
      <c r="PTQ28" s="521"/>
      <c r="PTR28" s="522"/>
      <c r="PTS28" s="522"/>
      <c r="PTT28" s="522"/>
      <c r="PTU28" s="523"/>
      <c r="PTV28" s="104"/>
      <c r="PTW28" s="521"/>
      <c r="PTX28" s="522"/>
      <c r="PTY28" s="522"/>
      <c r="PTZ28" s="522"/>
      <c r="PUA28" s="523"/>
      <c r="PUB28" s="104"/>
      <c r="PUC28" s="521"/>
      <c r="PUD28" s="522"/>
      <c r="PUE28" s="522"/>
      <c r="PUF28" s="522"/>
      <c r="PUG28" s="523"/>
      <c r="PUH28" s="104"/>
      <c r="PUI28" s="521"/>
      <c r="PUJ28" s="522"/>
      <c r="PUK28" s="522"/>
      <c r="PUL28" s="522"/>
      <c r="PUM28" s="523"/>
      <c r="PUN28" s="104"/>
      <c r="PUO28" s="521"/>
      <c r="PUP28" s="522"/>
      <c r="PUQ28" s="522"/>
      <c r="PUR28" s="522"/>
      <c r="PUS28" s="523"/>
      <c r="PUT28" s="104"/>
      <c r="PUU28" s="521"/>
      <c r="PUV28" s="522"/>
      <c r="PUW28" s="522"/>
      <c r="PUX28" s="522"/>
      <c r="PUY28" s="523"/>
      <c r="PUZ28" s="104"/>
      <c r="PVA28" s="521"/>
      <c r="PVB28" s="522"/>
      <c r="PVC28" s="522"/>
      <c r="PVD28" s="522"/>
      <c r="PVE28" s="523"/>
      <c r="PVF28" s="104"/>
      <c r="PVG28" s="521"/>
      <c r="PVH28" s="522"/>
      <c r="PVI28" s="522"/>
      <c r="PVJ28" s="522"/>
      <c r="PVK28" s="523"/>
      <c r="PVL28" s="104"/>
      <c r="PVM28" s="521"/>
      <c r="PVN28" s="522"/>
      <c r="PVO28" s="522"/>
      <c r="PVP28" s="522"/>
      <c r="PVQ28" s="523"/>
      <c r="PVR28" s="104"/>
      <c r="PVS28" s="521"/>
      <c r="PVT28" s="522"/>
      <c r="PVU28" s="522"/>
      <c r="PVV28" s="522"/>
      <c r="PVW28" s="523"/>
      <c r="PVX28" s="104"/>
      <c r="PVY28" s="521"/>
      <c r="PVZ28" s="522"/>
      <c r="PWA28" s="522"/>
      <c r="PWB28" s="522"/>
      <c r="PWC28" s="523"/>
      <c r="PWD28" s="104"/>
      <c r="PWE28" s="521"/>
      <c r="PWF28" s="522"/>
      <c r="PWG28" s="522"/>
      <c r="PWH28" s="522"/>
      <c r="PWI28" s="523"/>
      <c r="PWJ28" s="104"/>
      <c r="PWK28" s="521"/>
      <c r="PWL28" s="522"/>
      <c r="PWM28" s="522"/>
      <c r="PWN28" s="522"/>
      <c r="PWO28" s="523"/>
      <c r="PWP28" s="104"/>
      <c r="PWQ28" s="521"/>
      <c r="PWR28" s="522"/>
      <c r="PWS28" s="522"/>
      <c r="PWT28" s="522"/>
      <c r="PWU28" s="523"/>
      <c r="PWV28" s="104"/>
      <c r="PWW28" s="521"/>
      <c r="PWX28" s="522"/>
      <c r="PWY28" s="522"/>
      <c r="PWZ28" s="522"/>
      <c r="PXA28" s="523"/>
      <c r="PXB28" s="104"/>
      <c r="PXC28" s="521"/>
      <c r="PXD28" s="522"/>
      <c r="PXE28" s="522"/>
      <c r="PXF28" s="522"/>
      <c r="PXG28" s="523"/>
      <c r="PXH28" s="104"/>
      <c r="PXI28" s="521"/>
      <c r="PXJ28" s="522"/>
      <c r="PXK28" s="522"/>
      <c r="PXL28" s="522"/>
      <c r="PXM28" s="523"/>
      <c r="PXN28" s="104"/>
      <c r="PXO28" s="521"/>
      <c r="PXP28" s="522"/>
      <c r="PXQ28" s="522"/>
      <c r="PXR28" s="522"/>
      <c r="PXS28" s="523"/>
      <c r="PXT28" s="104"/>
      <c r="PXU28" s="521"/>
      <c r="PXV28" s="522"/>
      <c r="PXW28" s="522"/>
      <c r="PXX28" s="522"/>
      <c r="PXY28" s="523"/>
      <c r="PXZ28" s="104"/>
      <c r="PYA28" s="521"/>
      <c r="PYB28" s="522"/>
      <c r="PYC28" s="522"/>
      <c r="PYD28" s="522"/>
      <c r="PYE28" s="523"/>
      <c r="PYF28" s="104"/>
      <c r="PYG28" s="521"/>
      <c r="PYH28" s="522"/>
      <c r="PYI28" s="522"/>
      <c r="PYJ28" s="522"/>
      <c r="PYK28" s="523"/>
      <c r="PYL28" s="104"/>
      <c r="PYM28" s="521"/>
      <c r="PYN28" s="522"/>
      <c r="PYO28" s="522"/>
      <c r="PYP28" s="522"/>
      <c r="PYQ28" s="523"/>
      <c r="PYR28" s="104"/>
      <c r="PYS28" s="521"/>
      <c r="PYT28" s="522"/>
      <c r="PYU28" s="522"/>
      <c r="PYV28" s="522"/>
      <c r="PYW28" s="523"/>
      <c r="PYX28" s="104"/>
      <c r="PYY28" s="521"/>
      <c r="PYZ28" s="522"/>
      <c r="PZA28" s="522"/>
      <c r="PZB28" s="522"/>
      <c r="PZC28" s="523"/>
      <c r="PZD28" s="104"/>
      <c r="PZE28" s="521"/>
      <c r="PZF28" s="522"/>
      <c r="PZG28" s="522"/>
      <c r="PZH28" s="522"/>
      <c r="PZI28" s="523"/>
      <c r="PZJ28" s="104"/>
      <c r="PZK28" s="521"/>
      <c r="PZL28" s="522"/>
      <c r="PZM28" s="522"/>
      <c r="PZN28" s="522"/>
      <c r="PZO28" s="523"/>
      <c r="PZP28" s="104"/>
      <c r="PZQ28" s="521"/>
      <c r="PZR28" s="522"/>
      <c r="PZS28" s="522"/>
      <c r="PZT28" s="522"/>
      <c r="PZU28" s="523"/>
      <c r="PZV28" s="104"/>
      <c r="PZW28" s="521"/>
      <c r="PZX28" s="522"/>
      <c r="PZY28" s="522"/>
      <c r="PZZ28" s="522"/>
      <c r="QAA28" s="523"/>
      <c r="QAB28" s="104"/>
      <c r="QAC28" s="521"/>
      <c r="QAD28" s="522"/>
      <c r="QAE28" s="522"/>
      <c r="QAF28" s="522"/>
      <c r="QAG28" s="523"/>
      <c r="QAH28" s="104"/>
      <c r="QAI28" s="521"/>
      <c r="QAJ28" s="522"/>
      <c r="QAK28" s="522"/>
      <c r="QAL28" s="522"/>
      <c r="QAM28" s="523"/>
      <c r="QAN28" s="104"/>
      <c r="QAO28" s="521"/>
      <c r="QAP28" s="522"/>
      <c r="QAQ28" s="522"/>
      <c r="QAR28" s="522"/>
      <c r="QAS28" s="523"/>
      <c r="QAT28" s="104"/>
      <c r="QAU28" s="521"/>
      <c r="QAV28" s="522"/>
      <c r="QAW28" s="522"/>
      <c r="QAX28" s="522"/>
      <c r="QAY28" s="523"/>
      <c r="QAZ28" s="104"/>
      <c r="QBA28" s="521"/>
      <c r="QBB28" s="522"/>
      <c r="QBC28" s="522"/>
      <c r="QBD28" s="522"/>
      <c r="QBE28" s="523"/>
      <c r="QBF28" s="104"/>
      <c r="QBG28" s="521"/>
      <c r="QBH28" s="522"/>
      <c r="QBI28" s="522"/>
      <c r="QBJ28" s="522"/>
      <c r="QBK28" s="523"/>
      <c r="QBL28" s="104"/>
      <c r="QBM28" s="521"/>
      <c r="QBN28" s="522"/>
      <c r="QBO28" s="522"/>
      <c r="QBP28" s="522"/>
      <c r="QBQ28" s="523"/>
      <c r="QBR28" s="104"/>
      <c r="QBS28" s="521"/>
      <c r="QBT28" s="522"/>
      <c r="QBU28" s="522"/>
      <c r="QBV28" s="522"/>
      <c r="QBW28" s="523"/>
      <c r="QBX28" s="104"/>
      <c r="QBY28" s="521"/>
      <c r="QBZ28" s="522"/>
      <c r="QCA28" s="522"/>
      <c r="QCB28" s="522"/>
      <c r="QCC28" s="523"/>
      <c r="QCD28" s="104"/>
      <c r="QCE28" s="521"/>
      <c r="QCF28" s="522"/>
      <c r="QCG28" s="522"/>
      <c r="QCH28" s="522"/>
      <c r="QCI28" s="523"/>
      <c r="QCJ28" s="104"/>
      <c r="QCK28" s="521"/>
      <c r="QCL28" s="522"/>
      <c r="QCM28" s="522"/>
      <c r="QCN28" s="522"/>
      <c r="QCO28" s="523"/>
      <c r="QCP28" s="104"/>
      <c r="QCQ28" s="521"/>
      <c r="QCR28" s="522"/>
      <c r="QCS28" s="522"/>
      <c r="QCT28" s="522"/>
      <c r="QCU28" s="523"/>
      <c r="QCV28" s="104"/>
      <c r="QCW28" s="521"/>
      <c r="QCX28" s="522"/>
      <c r="QCY28" s="522"/>
      <c r="QCZ28" s="522"/>
      <c r="QDA28" s="523"/>
      <c r="QDB28" s="104"/>
      <c r="QDC28" s="521"/>
      <c r="QDD28" s="522"/>
      <c r="QDE28" s="522"/>
      <c r="QDF28" s="522"/>
      <c r="QDG28" s="523"/>
      <c r="QDH28" s="104"/>
      <c r="QDI28" s="521"/>
      <c r="QDJ28" s="522"/>
      <c r="QDK28" s="522"/>
      <c r="QDL28" s="522"/>
      <c r="QDM28" s="523"/>
      <c r="QDN28" s="104"/>
      <c r="QDO28" s="521"/>
      <c r="QDP28" s="522"/>
      <c r="QDQ28" s="522"/>
      <c r="QDR28" s="522"/>
      <c r="QDS28" s="523"/>
      <c r="QDT28" s="104"/>
      <c r="QDU28" s="521"/>
      <c r="QDV28" s="522"/>
      <c r="QDW28" s="522"/>
      <c r="QDX28" s="522"/>
      <c r="QDY28" s="523"/>
      <c r="QDZ28" s="104"/>
      <c r="QEA28" s="521"/>
      <c r="QEB28" s="522"/>
      <c r="QEC28" s="522"/>
      <c r="QED28" s="522"/>
      <c r="QEE28" s="523"/>
      <c r="QEF28" s="104"/>
      <c r="QEG28" s="521"/>
      <c r="QEH28" s="522"/>
      <c r="QEI28" s="522"/>
      <c r="QEJ28" s="522"/>
      <c r="QEK28" s="523"/>
      <c r="QEL28" s="104"/>
      <c r="QEM28" s="521"/>
      <c r="QEN28" s="522"/>
      <c r="QEO28" s="522"/>
      <c r="QEP28" s="522"/>
      <c r="QEQ28" s="523"/>
      <c r="QER28" s="104"/>
      <c r="QES28" s="521"/>
      <c r="QET28" s="522"/>
      <c r="QEU28" s="522"/>
      <c r="QEV28" s="522"/>
      <c r="QEW28" s="523"/>
      <c r="QEX28" s="104"/>
      <c r="QEY28" s="521"/>
      <c r="QEZ28" s="522"/>
      <c r="QFA28" s="522"/>
      <c r="QFB28" s="522"/>
      <c r="QFC28" s="523"/>
      <c r="QFD28" s="104"/>
      <c r="QFE28" s="521"/>
      <c r="QFF28" s="522"/>
      <c r="QFG28" s="522"/>
      <c r="QFH28" s="522"/>
      <c r="QFI28" s="523"/>
      <c r="QFJ28" s="104"/>
      <c r="QFK28" s="521"/>
      <c r="QFL28" s="522"/>
      <c r="QFM28" s="522"/>
      <c r="QFN28" s="522"/>
      <c r="QFO28" s="523"/>
      <c r="QFP28" s="104"/>
      <c r="QFQ28" s="521"/>
      <c r="QFR28" s="522"/>
      <c r="QFS28" s="522"/>
      <c r="QFT28" s="522"/>
      <c r="QFU28" s="523"/>
      <c r="QFV28" s="104"/>
      <c r="QFW28" s="521"/>
      <c r="QFX28" s="522"/>
      <c r="QFY28" s="522"/>
      <c r="QFZ28" s="522"/>
      <c r="QGA28" s="523"/>
      <c r="QGB28" s="104"/>
      <c r="QGC28" s="521"/>
      <c r="QGD28" s="522"/>
      <c r="QGE28" s="522"/>
      <c r="QGF28" s="522"/>
      <c r="QGG28" s="523"/>
      <c r="QGH28" s="104"/>
      <c r="QGI28" s="521"/>
      <c r="QGJ28" s="522"/>
      <c r="QGK28" s="522"/>
      <c r="QGL28" s="522"/>
      <c r="QGM28" s="523"/>
      <c r="QGN28" s="104"/>
      <c r="QGO28" s="521"/>
      <c r="QGP28" s="522"/>
      <c r="QGQ28" s="522"/>
      <c r="QGR28" s="522"/>
      <c r="QGS28" s="523"/>
      <c r="QGT28" s="104"/>
      <c r="QGU28" s="521"/>
      <c r="QGV28" s="522"/>
      <c r="QGW28" s="522"/>
      <c r="QGX28" s="522"/>
      <c r="QGY28" s="523"/>
      <c r="QGZ28" s="104"/>
      <c r="QHA28" s="521"/>
      <c r="QHB28" s="522"/>
      <c r="QHC28" s="522"/>
      <c r="QHD28" s="522"/>
      <c r="QHE28" s="523"/>
      <c r="QHF28" s="104"/>
      <c r="QHG28" s="521"/>
      <c r="QHH28" s="522"/>
      <c r="QHI28" s="522"/>
      <c r="QHJ28" s="522"/>
      <c r="QHK28" s="523"/>
      <c r="QHL28" s="104"/>
      <c r="QHM28" s="521"/>
      <c r="QHN28" s="522"/>
      <c r="QHO28" s="522"/>
      <c r="QHP28" s="522"/>
      <c r="QHQ28" s="523"/>
      <c r="QHR28" s="104"/>
      <c r="QHS28" s="521"/>
      <c r="QHT28" s="522"/>
      <c r="QHU28" s="522"/>
      <c r="QHV28" s="522"/>
      <c r="QHW28" s="523"/>
      <c r="QHX28" s="104"/>
      <c r="QHY28" s="521"/>
      <c r="QHZ28" s="522"/>
      <c r="QIA28" s="522"/>
      <c r="QIB28" s="522"/>
      <c r="QIC28" s="523"/>
      <c r="QID28" s="104"/>
      <c r="QIE28" s="521"/>
      <c r="QIF28" s="522"/>
      <c r="QIG28" s="522"/>
      <c r="QIH28" s="522"/>
      <c r="QII28" s="523"/>
      <c r="QIJ28" s="104"/>
      <c r="QIK28" s="521"/>
      <c r="QIL28" s="522"/>
      <c r="QIM28" s="522"/>
      <c r="QIN28" s="522"/>
      <c r="QIO28" s="523"/>
      <c r="QIP28" s="104"/>
      <c r="QIQ28" s="521"/>
      <c r="QIR28" s="522"/>
      <c r="QIS28" s="522"/>
      <c r="QIT28" s="522"/>
      <c r="QIU28" s="523"/>
      <c r="QIV28" s="104"/>
      <c r="QIW28" s="521"/>
      <c r="QIX28" s="522"/>
      <c r="QIY28" s="522"/>
      <c r="QIZ28" s="522"/>
      <c r="QJA28" s="523"/>
      <c r="QJB28" s="104"/>
      <c r="QJC28" s="521"/>
      <c r="QJD28" s="522"/>
      <c r="QJE28" s="522"/>
      <c r="QJF28" s="522"/>
      <c r="QJG28" s="523"/>
      <c r="QJH28" s="104"/>
      <c r="QJI28" s="521"/>
      <c r="QJJ28" s="522"/>
      <c r="QJK28" s="522"/>
      <c r="QJL28" s="522"/>
      <c r="QJM28" s="523"/>
      <c r="QJN28" s="104"/>
      <c r="QJO28" s="521"/>
      <c r="QJP28" s="522"/>
      <c r="QJQ28" s="522"/>
      <c r="QJR28" s="522"/>
      <c r="QJS28" s="523"/>
      <c r="QJT28" s="104"/>
      <c r="QJU28" s="521"/>
      <c r="QJV28" s="522"/>
      <c r="QJW28" s="522"/>
      <c r="QJX28" s="522"/>
      <c r="QJY28" s="523"/>
      <c r="QJZ28" s="104"/>
      <c r="QKA28" s="521"/>
      <c r="QKB28" s="522"/>
      <c r="QKC28" s="522"/>
      <c r="QKD28" s="522"/>
      <c r="QKE28" s="523"/>
      <c r="QKF28" s="104"/>
      <c r="QKG28" s="521"/>
      <c r="QKH28" s="522"/>
      <c r="QKI28" s="522"/>
      <c r="QKJ28" s="522"/>
      <c r="QKK28" s="523"/>
      <c r="QKL28" s="104"/>
      <c r="QKM28" s="521"/>
      <c r="QKN28" s="522"/>
      <c r="QKO28" s="522"/>
      <c r="QKP28" s="522"/>
      <c r="QKQ28" s="523"/>
      <c r="QKR28" s="104"/>
      <c r="QKS28" s="521"/>
      <c r="QKT28" s="522"/>
      <c r="QKU28" s="522"/>
      <c r="QKV28" s="522"/>
      <c r="QKW28" s="523"/>
      <c r="QKX28" s="104"/>
      <c r="QKY28" s="521"/>
      <c r="QKZ28" s="522"/>
      <c r="QLA28" s="522"/>
      <c r="QLB28" s="522"/>
      <c r="QLC28" s="523"/>
      <c r="QLD28" s="104"/>
      <c r="QLE28" s="521"/>
      <c r="QLF28" s="522"/>
      <c r="QLG28" s="522"/>
      <c r="QLH28" s="522"/>
      <c r="QLI28" s="523"/>
      <c r="QLJ28" s="104"/>
      <c r="QLK28" s="521"/>
      <c r="QLL28" s="522"/>
      <c r="QLM28" s="522"/>
      <c r="QLN28" s="522"/>
      <c r="QLO28" s="523"/>
      <c r="QLP28" s="104"/>
      <c r="QLQ28" s="521"/>
      <c r="QLR28" s="522"/>
      <c r="QLS28" s="522"/>
      <c r="QLT28" s="522"/>
      <c r="QLU28" s="523"/>
      <c r="QLV28" s="104"/>
      <c r="QLW28" s="521"/>
      <c r="QLX28" s="522"/>
      <c r="QLY28" s="522"/>
      <c r="QLZ28" s="522"/>
      <c r="QMA28" s="523"/>
      <c r="QMB28" s="104"/>
      <c r="QMC28" s="521"/>
      <c r="QMD28" s="522"/>
      <c r="QME28" s="522"/>
      <c r="QMF28" s="522"/>
      <c r="QMG28" s="523"/>
      <c r="QMH28" s="104"/>
      <c r="QMI28" s="521"/>
      <c r="QMJ28" s="522"/>
      <c r="QMK28" s="522"/>
      <c r="QML28" s="522"/>
      <c r="QMM28" s="523"/>
      <c r="QMN28" s="104"/>
      <c r="QMO28" s="521"/>
      <c r="QMP28" s="522"/>
      <c r="QMQ28" s="522"/>
      <c r="QMR28" s="522"/>
      <c r="QMS28" s="523"/>
      <c r="QMT28" s="104"/>
      <c r="QMU28" s="521"/>
      <c r="QMV28" s="522"/>
      <c r="QMW28" s="522"/>
      <c r="QMX28" s="522"/>
      <c r="QMY28" s="523"/>
      <c r="QMZ28" s="104"/>
      <c r="QNA28" s="521"/>
      <c r="QNB28" s="522"/>
      <c r="QNC28" s="522"/>
      <c r="QND28" s="522"/>
      <c r="QNE28" s="523"/>
      <c r="QNF28" s="104"/>
      <c r="QNG28" s="521"/>
      <c r="QNH28" s="522"/>
      <c r="QNI28" s="522"/>
      <c r="QNJ28" s="522"/>
      <c r="QNK28" s="523"/>
      <c r="QNL28" s="104"/>
      <c r="QNM28" s="521"/>
      <c r="QNN28" s="522"/>
      <c r="QNO28" s="522"/>
      <c r="QNP28" s="522"/>
      <c r="QNQ28" s="523"/>
      <c r="QNR28" s="104"/>
      <c r="QNS28" s="521"/>
      <c r="QNT28" s="522"/>
      <c r="QNU28" s="522"/>
      <c r="QNV28" s="522"/>
      <c r="QNW28" s="523"/>
      <c r="QNX28" s="104"/>
      <c r="QNY28" s="521"/>
      <c r="QNZ28" s="522"/>
      <c r="QOA28" s="522"/>
      <c r="QOB28" s="522"/>
      <c r="QOC28" s="523"/>
      <c r="QOD28" s="104"/>
      <c r="QOE28" s="521"/>
      <c r="QOF28" s="522"/>
      <c r="QOG28" s="522"/>
      <c r="QOH28" s="522"/>
      <c r="QOI28" s="523"/>
      <c r="QOJ28" s="104"/>
      <c r="QOK28" s="521"/>
      <c r="QOL28" s="522"/>
      <c r="QOM28" s="522"/>
      <c r="QON28" s="522"/>
      <c r="QOO28" s="523"/>
      <c r="QOP28" s="104"/>
      <c r="QOQ28" s="521"/>
      <c r="QOR28" s="522"/>
      <c r="QOS28" s="522"/>
      <c r="QOT28" s="522"/>
      <c r="QOU28" s="523"/>
      <c r="QOV28" s="104"/>
      <c r="QOW28" s="521"/>
      <c r="QOX28" s="522"/>
      <c r="QOY28" s="522"/>
      <c r="QOZ28" s="522"/>
      <c r="QPA28" s="523"/>
      <c r="QPB28" s="104"/>
      <c r="QPC28" s="521"/>
      <c r="QPD28" s="522"/>
      <c r="QPE28" s="522"/>
      <c r="QPF28" s="522"/>
      <c r="QPG28" s="523"/>
      <c r="QPH28" s="104"/>
      <c r="QPI28" s="521"/>
      <c r="QPJ28" s="522"/>
      <c r="QPK28" s="522"/>
      <c r="QPL28" s="522"/>
      <c r="QPM28" s="523"/>
      <c r="QPN28" s="104"/>
      <c r="QPO28" s="521"/>
      <c r="QPP28" s="522"/>
      <c r="QPQ28" s="522"/>
      <c r="QPR28" s="522"/>
      <c r="QPS28" s="523"/>
      <c r="QPT28" s="104"/>
      <c r="QPU28" s="521"/>
      <c r="QPV28" s="522"/>
      <c r="QPW28" s="522"/>
      <c r="QPX28" s="522"/>
      <c r="QPY28" s="523"/>
      <c r="QPZ28" s="104"/>
      <c r="QQA28" s="521"/>
      <c r="QQB28" s="522"/>
      <c r="QQC28" s="522"/>
      <c r="QQD28" s="522"/>
      <c r="QQE28" s="523"/>
      <c r="QQF28" s="104"/>
      <c r="QQG28" s="521"/>
      <c r="QQH28" s="522"/>
      <c r="QQI28" s="522"/>
      <c r="QQJ28" s="522"/>
      <c r="QQK28" s="523"/>
      <c r="QQL28" s="104"/>
      <c r="QQM28" s="521"/>
      <c r="QQN28" s="522"/>
      <c r="QQO28" s="522"/>
      <c r="QQP28" s="522"/>
      <c r="QQQ28" s="523"/>
      <c r="QQR28" s="104"/>
      <c r="QQS28" s="521"/>
      <c r="QQT28" s="522"/>
      <c r="QQU28" s="522"/>
      <c r="QQV28" s="522"/>
      <c r="QQW28" s="523"/>
      <c r="QQX28" s="104"/>
      <c r="QQY28" s="521"/>
      <c r="QQZ28" s="522"/>
      <c r="QRA28" s="522"/>
      <c r="QRB28" s="522"/>
      <c r="QRC28" s="523"/>
      <c r="QRD28" s="104"/>
      <c r="QRE28" s="521"/>
      <c r="QRF28" s="522"/>
      <c r="QRG28" s="522"/>
      <c r="QRH28" s="522"/>
      <c r="QRI28" s="523"/>
      <c r="QRJ28" s="104"/>
      <c r="QRK28" s="521"/>
      <c r="QRL28" s="522"/>
      <c r="QRM28" s="522"/>
      <c r="QRN28" s="522"/>
      <c r="QRO28" s="523"/>
      <c r="QRP28" s="104"/>
      <c r="QRQ28" s="521"/>
      <c r="QRR28" s="522"/>
      <c r="QRS28" s="522"/>
      <c r="QRT28" s="522"/>
      <c r="QRU28" s="523"/>
      <c r="QRV28" s="104"/>
      <c r="QRW28" s="521"/>
      <c r="QRX28" s="522"/>
      <c r="QRY28" s="522"/>
      <c r="QRZ28" s="522"/>
      <c r="QSA28" s="523"/>
      <c r="QSB28" s="104"/>
      <c r="QSC28" s="521"/>
      <c r="QSD28" s="522"/>
      <c r="QSE28" s="522"/>
      <c r="QSF28" s="522"/>
      <c r="QSG28" s="523"/>
      <c r="QSH28" s="104"/>
      <c r="QSI28" s="521"/>
      <c r="QSJ28" s="522"/>
      <c r="QSK28" s="522"/>
      <c r="QSL28" s="522"/>
      <c r="QSM28" s="523"/>
      <c r="QSN28" s="104"/>
      <c r="QSO28" s="521"/>
      <c r="QSP28" s="522"/>
      <c r="QSQ28" s="522"/>
      <c r="QSR28" s="522"/>
      <c r="QSS28" s="523"/>
      <c r="QST28" s="104"/>
      <c r="QSU28" s="521"/>
      <c r="QSV28" s="522"/>
      <c r="QSW28" s="522"/>
      <c r="QSX28" s="522"/>
      <c r="QSY28" s="523"/>
      <c r="QSZ28" s="104"/>
      <c r="QTA28" s="521"/>
      <c r="QTB28" s="522"/>
      <c r="QTC28" s="522"/>
      <c r="QTD28" s="522"/>
      <c r="QTE28" s="523"/>
      <c r="QTF28" s="104"/>
      <c r="QTG28" s="521"/>
      <c r="QTH28" s="522"/>
      <c r="QTI28" s="522"/>
      <c r="QTJ28" s="522"/>
      <c r="QTK28" s="523"/>
      <c r="QTL28" s="104"/>
      <c r="QTM28" s="521"/>
      <c r="QTN28" s="522"/>
      <c r="QTO28" s="522"/>
      <c r="QTP28" s="522"/>
      <c r="QTQ28" s="523"/>
      <c r="QTR28" s="104"/>
      <c r="QTS28" s="521"/>
      <c r="QTT28" s="522"/>
      <c r="QTU28" s="522"/>
      <c r="QTV28" s="522"/>
      <c r="QTW28" s="523"/>
      <c r="QTX28" s="104"/>
      <c r="QTY28" s="521"/>
      <c r="QTZ28" s="522"/>
      <c r="QUA28" s="522"/>
      <c r="QUB28" s="522"/>
      <c r="QUC28" s="523"/>
      <c r="QUD28" s="104"/>
      <c r="QUE28" s="521"/>
      <c r="QUF28" s="522"/>
      <c r="QUG28" s="522"/>
      <c r="QUH28" s="522"/>
      <c r="QUI28" s="523"/>
      <c r="QUJ28" s="104"/>
      <c r="QUK28" s="521"/>
      <c r="QUL28" s="522"/>
      <c r="QUM28" s="522"/>
      <c r="QUN28" s="522"/>
      <c r="QUO28" s="523"/>
      <c r="QUP28" s="104"/>
      <c r="QUQ28" s="521"/>
      <c r="QUR28" s="522"/>
      <c r="QUS28" s="522"/>
      <c r="QUT28" s="522"/>
      <c r="QUU28" s="523"/>
      <c r="QUV28" s="104"/>
      <c r="QUW28" s="521"/>
      <c r="QUX28" s="522"/>
      <c r="QUY28" s="522"/>
      <c r="QUZ28" s="522"/>
      <c r="QVA28" s="523"/>
      <c r="QVB28" s="104"/>
      <c r="QVC28" s="521"/>
      <c r="QVD28" s="522"/>
      <c r="QVE28" s="522"/>
      <c r="QVF28" s="522"/>
      <c r="QVG28" s="523"/>
      <c r="QVH28" s="104"/>
      <c r="QVI28" s="521"/>
      <c r="QVJ28" s="522"/>
      <c r="QVK28" s="522"/>
      <c r="QVL28" s="522"/>
      <c r="QVM28" s="523"/>
      <c r="QVN28" s="104"/>
      <c r="QVO28" s="521"/>
      <c r="QVP28" s="522"/>
      <c r="QVQ28" s="522"/>
      <c r="QVR28" s="522"/>
      <c r="QVS28" s="523"/>
      <c r="QVT28" s="104"/>
      <c r="QVU28" s="521"/>
      <c r="QVV28" s="522"/>
      <c r="QVW28" s="522"/>
      <c r="QVX28" s="522"/>
      <c r="QVY28" s="523"/>
      <c r="QVZ28" s="104"/>
      <c r="QWA28" s="521"/>
      <c r="QWB28" s="522"/>
      <c r="QWC28" s="522"/>
      <c r="QWD28" s="522"/>
      <c r="QWE28" s="523"/>
      <c r="QWF28" s="104"/>
      <c r="QWG28" s="521"/>
      <c r="QWH28" s="522"/>
      <c r="QWI28" s="522"/>
      <c r="QWJ28" s="522"/>
      <c r="QWK28" s="523"/>
      <c r="QWL28" s="104"/>
      <c r="QWM28" s="521"/>
      <c r="QWN28" s="522"/>
      <c r="QWO28" s="522"/>
      <c r="QWP28" s="522"/>
      <c r="QWQ28" s="523"/>
      <c r="QWR28" s="104"/>
      <c r="QWS28" s="521"/>
      <c r="QWT28" s="522"/>
      <c r="QWU28" s="522"/>
      <c r="QWV28" s="522"/>
      <c r="QWW28" s="523"/>
      <c r="QWX28" s="104"/>
      <c r="QWY28" s="521"/>
      <c r="QWZ28" s="522"/>
      <c r="QXA28" s="522"/>
      <c r="QXB28" s="522"/>
      <c r="QXC28" s="523"/>
      <c r="QXD28" s="104"/>
      <c r="QXE28" s="521"/>
      <c r="QXF28" s="522"/>
      <c r="QXG28" s="522"/>
      <c r="QXH28" s="522"/>
      <c r="QXI28" s="523"/>
      <c r="QXJ28" s="104"/>
      <c r="QXK28" s="521"/>
      <c r="QXL28" s="522"/>
      <c r="QXM28" s="522"/>
      <c r="QXN28" s="522"/>
      <c r="QXO28" s="523"/>
      <c r="QXP28" s="104"/>
      <c r="QXQ28" s="521"/>
      <c r="QXR28" s="522"/>
      <c r="QXS28" s="522"/>
      <c r="QXT28" s="522"/>
      <c r="QXU28" s="523"/>
      <c r="QXV28" s="104"/>
      <c r="QXW28" s="521"/>
      <c r="QXX28" s="522"/>
      <c r="QXY28" s="522"/>
      <c r="QXZ28" s="522"/>
      <c r="QYA28" s="523"/>
      <c r="QYB28" s="104"/>
      <c r="QYC28" s="521"/>
      <c r="QYD28" s="522"/>
      <c r="QYE28" s="522"/>
      <c r="QYF28" s="522"/>
      <c r="QYG28" s="523"/>
      <c r="QYH28" s="104"/>
      <c r="QYI28" s="521"/>
      <c r="QYJ28" s="522"/>
      <c r="QYK28" s="522"/>
      <c r="QYL28" s="522"/>
      <c r="QYM28" s="523"/>
      <c r="QYN28" s="104"/>
      <c r="QYO28" s="521"/>
      <c r="QYP28" s="522"/>
      <c r="QYQ28" s="522"/>
      <c r="QYR28" s="522"/>
      <c r="QYS28" s="523"/>
      <c r="QYT28" s="104"/>
      <c r="QYU28" s="521"/>
      <c r="QYV28" s="522"/>
      <c r="QYW28" s="522"/>
      <c r="QYX28" s="522"/>
      <c r="QYY28" s="523"/>
      <c r="QYZ28" s="104"/>
      <c r="QZA28" s="521"/>
      <c r="QZB28" s="522"/>
      <c r="QZC28" s="522"/>
      <c r="QZD28" s="522"/>
      <c r="QZE28" s="523"/>
      <c r="QZF28" s="104"/>
      <c r="QZG28" s="521"/>
      <c r="QZH28" s="522"/>
      <c r="QZI28" s="522"/>
      <c r="QZJ28" s="522"/>
      <c r="QZK28" s="523"/>
      <c r="QZL28" s="104"/>
      <c r="QZM28" s="521"/>
      <c r="QZN28" s="522"/>
      <c r="QZO28" s="522"/>
      <c r="QZP28" s="522"/>
      <c r="QZQ28" s="523"/>
      <c r="QZR28" s="104"/>
      <c r="QZS28" s="521"/>
      <c r="QZT28" s="522"/>
      <c r="QZU28" s="522"/>
      <c r="QZV28" s="522"/>
      <c r="QZW28" s="523"/>
      <c r="QZX28" s="104"/>
      <c r="QZY28" s="521"/>
      <c r="QZZ28" s="522"/>
      <c r="RAA28" s="522"/>
      <c r="RAB28" s="522"/>
      <c r="RAC28" s="523"/>
      <c r="RAD28" s="104"/>
      <c r="RAE28" s="521"/>
      <c r="RAF28" s="522"/>
      <c r="RAG28" s="522"/>
      <c r="RAH28" s="522"/>
      <c r="RAI28" s="523"/>
      <c r="RAJ28" s="104"/>
      <c r="RAK28" s="521"/>
      <c r="RAL28" s="522"/>
      <c r="RAM28" s="522"/>
      <c r="RAN28" s="522"/>
      <c r="RAO28" s="523"/>
      <c r="RAP28" s="104"/>
      <c r="RAQ28" s="521"/>
      <c r="RAR28" s="522"/>
      <c r="RAS28" s="522"/>
      <c r="RAT28" s="522"/>
      <c r="RAU28" s="523"/>
      <c r="RAV28" s="104"/>
      <c r="RAW28" s="521"/>
      <c r="RAX28" s="522"/>
      <c r="RAY28" s="522"/>
      <c r="RAZ28" s="522"/>
      <c r="RBA28" s="523"/>
      <c r="RBB28" s="104"/>
      <c r="RBC28" s="521"/>
      <c r="RBD28" s="522"/>
      <c r="RBE28" s="522"/>
      <c r="RBF28" s="522"/>
      <c r="RBG28" s="523"/>
      <c r="RBH28" s="104"/>
      <c r="RBI28" s="521"/>
      <c r="RBJ28" s="522"/>
      <c r="RBK28" s="522"/>
      <c r="RBL28" s="522"/>
      <c r="RBM28" s="523"/>
      <c r="RBN28" s="104"/>
      <c r="RBO28" s="521"/>
      <c r="RBP28" s="522"/>
      <c r="RBQ28" s="522"/>
      <c r="RBR28" s="522"/>
      <c r="RBS28" s="523"/>
      <c r="RBT28" s="104"/>
      <c r="RBU28" s="521"/>
      <c r="RBV28" s="522"/>
      <c r="RBW28" s="522"/>
      <c r="RBX28" s="522"/>
      <c r="RBY28" s="523"/>
      <c r="RBZ28" s="104"/>
      <c r="RCA28" s="521"/>
      <c r="RCB28" s="522"/>
      <c r="RCC28" s="522"/>
      <c r="RCD28" s="522"/>
      <c r="RCE28" s="523"/>
      <c r="RCF28" s="104"/>
      <c r="RCG28" s="521"/>
      <c r="RCH28" s="522"/>
      <c r="RCI28" s="522"/>
      <c r="RCJ28" s="522"/>
      <c r="RCK28" s="523"/>
      <c r="RCL28" s="104"/>
      <c r="RCM28" s="521"/>
      <c r="RCN28" s="522"/>
      <c r="RCO28" s="522"/>
      <c r="RCP28" s="522"/>
      <c r="RCQ28" s="523"/>
      <c r="RCR28" s="104"/>
      <c r="RCS28" s="521"/>
      <c r="RCT28" s="522"/>
      <c r="RCU28" s="522"/>
      <c r="RCV28" s="522"/>
      <c r="RCW28" s="523"/>
      <c r="RCX28" s="104"/>
      <c r="RCY28" s="521"/>
      <c r="RCZ28" s="522"/>
      <c r="RDA28" s="522"/>
      <c r="RDB28" s="522"/>
      <c r="RDC28" s="523"/>
      <c r="RDD28" s="104"/>
      <c r="RDE28" s="521"/>
      <c r="RDF28" s="522"/>
      <c r="RDG28" s="522"/>
      <c r="RDH28" s="522"/>
      <c r="RDI28" s="523"/>
      <c r="RDJ28" s="104"/>
      <c r="RDK28" s="521"/>
      <c r="RDL28" s="522"/>
      <c r="RDM28" s="522"/>
      <c r="RDN28" s="522"/>
      <c r="RDO28" s="523"/>
      <c r="RDP28" s="104"/>
      <c r="RDQ28" s="521"/>
      <c r="RDR28" s="522"/>
      <c r="RDS28" s="522"/>
      <c r="RDT28" s="522"/>
      <c r="RDU28" s="523"/>
      <c r="RDV28" s="104"/>
      <c r="RDW28" s="521"/>
      <c r="RDX28" s="522"/>
      <c r="RDY28" s="522"/>
      <c r="RDZ28" s="522"/>
      <c r="REA28" s="523"/>
      <c r="REB28" s="104"/>
      <c r="REC28" s="521"/>
      <c r="RED28" s="522"/>
      <c r="REE28" s="522"/>
      <c r="REF28" s="522"/>
      <c r="REG28" s="523"/>
      <c r="REH28" s="104"/>
      <c r="REI28" s="521"/>
      <c r="REJ28" s="522"/>
      <c r="REK28" s="522"/>
      <c r="REL28" s="522"/>
      <c r="REM28" s="523"/>
      <c r="REN28" s="104"/>
      <c r="REO28" s="521"/>
      <c r="REP28" s="522"/>
      <c r="REQ28" s="522"/>
      <c r="RER28" s="522"/>
      <c r="RES28" s="523"/>
      <c r="RET28" s="104"/>
      <c r="REU28" s="521"/>
      <c r="REV28" s="522"/>
      <c r="REW28" s="522"/>
      <c r="REX28" s="522"/>
      <c r="REY28" s="523"/>
      <c r="REZ28" s="104"/>
      <c r="RFA28" s="521"/>
      <c r="RFB28" s="522"/>
      <c r="RFC28" s="522"/>
      <c r="RFD28" s="522"/>
      <c r="RFE28" s="523"/>
      <c r="RFF28" s="104"/>
      <c r="RFG28" s="521"/>
      <c r="RFH28" s="522"/>
      <c r="RFI28" s="522"/>
      <c r="RFJ28" s="522"/>
      <c r="RFK28" s="523"/>
      <c r="RFL28" s="104"/>
      <c r="RFM28" s="521"/>
      <c r="RFN28" s="522"/>
      <c r="RFO28" s="522"/>
      <c r="RFP28" s="522"/>
      <c r="RFQ28" s="523"/>
      <c r="RFR28" s="104"/>
      <c r="RFS28" s="521"/>
      <c r="RFT28" s="522"/>
      <c r="RFU28" s="522"/>
      <c r="RFV28" s="522"/>
      <c r="RFW28" s="523"/>
      <c r="RFX28" s="104"/>
      <c r="RFY28" s="521"/>
      <c r="RFZ28" s="522"/>
      <c r="RGA28" s="522"/>
      <c r="RGB28" s="522"/>
      <c r="RGC28" s="523"/>
      <c r="RGD28" s="104"/>
      <c r="RGE28" s="521"/>
      <c r="RGF28" s="522"/>
      <c r="RGG28" s="522"/>
      <c r="RGH28" s="522"/>
      <c r="RGI28" s="523"/>
      <c r="RGJ28" s="104"/>
      <c r="RGK28" s="521"/>
      <c r="RGL28" s="522"/>
      <c r="RGM28" s="522"/>
      <c r="RGN28" s="522"/>
      <c r="RGO28" s="523"/>
      <c r="RGP28" s="104"/>
      <c r="RGQ28" s="521"/>
      <c r="RGR28" s="522"/>
      <c r="RGS28" s="522"/>
      <c r="RGT28" s="522"/>
      <c r="RGU28" s="523"/>
      <c r="RGV28" s="104"/>
      <c r="RGW28" s="521"/>
      <c r="RGX28" s="522"/>
      <c r="RGY28" s="522"/>
      <c r="RGZ28" s="522"/>
      <c r="RHA28" s="523"/>
      <c r="RHB28" s="104"/>
      <c r="RHC28" s="521"/>
      <c r="RHD28" s="522"/>
      <c r="RHE28" s="522"/>
      <c r="RHF28" s="522"/>
      <c r="RHG28" s="523"/>
      <c r="RHH28" s="104"/>
      <c r="RHI28" s="521"/>
      <c r="RHJ28" s="522"/>
      <c r="RHK28" s="522"/>
      <c r="RHL28" s="522"/>
      <c r="RHM28" s="523"/>
      <c r="RHN28" s="104"/>
      <c r="RHO28" s="521"/>
      <c r="RHP28" s="522"/>
      <c r="RHQ28" s="522"/>
      <c r="RHR28" s="522"/>
      <c r="RHS28" s="523"/>
      <c r="RHT28" s="104"/>
      <c r="RHU28" s="521"/>
      <c r="RHV28" s="522"/>
      <c r="RHW28" s="522"/>
      <c r="RHX28" s="522"/>
      <c r="RHY28" s="523"/>
      <c r="RHZ28" s="104"/>
      <c r="RIA28" s="521"/>
      <c r="RIB28" s="522"/>
      <c r="RIC28" s="522"/>
      <c r="RID28" s="522"/>
      <c r="RIE28" s="523"/>
      <c r="RIF28" s="104"/>
      <c r="RIG28" s="521"/>
      <c r="RIH28" s="522"/>
      <c r="RII28" s="522"/>
      <c r="RIJ28" s="522"/>
      <c r="RIK28" s="523"/>
      <c r="RIL28" s="104"/>
      <c r="RIM28" s="521"/>
      <c r="RIN28" s="522"/>
      <c r="RIO28" s="522"/>
      <c r="RIP28" s="522"/>
      <c r="RIQ28" s="523"/>
      <c r="RIR28" s="104"/>
      <c r="RIS28" s="521"/>
      <c r="RIT28" s="522"/>
      <c r="RIU28" s="522"/>
      <c r="RIV28" s="522"/>
      <c r="RIW28" s="523"/>
      <c r="RIX28" s="104"/>
      <c r="RIY28" s="521"/>
      <c r="RIZ28" s="522"/>
      <c r="RJA28" s="522"/>
      <c r="RJB28" s="522"/>
      <c r="RJC28" s="523"/>
      <c r="RJD28" s="104"/>
      <c r="RJE28" s="521"/>
      <c r="RJF28" s="522"/>
      <c r="RJG28" s="522"/>
      <c r="RJH28" s="522"/>
      <c r="RJI28" s="523"/>
      <c r="RJJ28" s="104"/>
      <c r="RJK28" s="521"/>
      <c r="RJL28" s="522"/>
      <c r="RJM28" s="522"/>
      <c r="RJN28" s="522"/>
      <c r="RJO28" s="523"/>
      <c r="RJP28" s="104"/>
      <c r="RJQ28" s="521"/>
      <c r="RJR28" s="522"/>
      <c r="RJS28" s="522"/>
      <c r="RJT28" s="522"/>
      <c r="RJU28" s="523"/>
      <c r="RJV28" s="104"/>
      <c r="RJW28" s="521"/>
      <c r="RJX28" s="522"/>
      <c r="RJY28" s="522"/>
      <c r="RJZ28" s="522"/>
      <c r="RKA28" s="523"/>
      <c r="RKB28" s="104"/>
      <c r="RKC28" s="521"/>
      <c r="RKD28" s="522"/>
      <c r="RKE28" s="522"/>
      <c r="RKF28" s="522"/>
      <c r="RKG28" s="523"/>
      <c r="RKH28" s="104"/>
      <c r="RKI28" s="521"/>
      <c r="RKJ28" s="522"/>
      <c r="RKK28" s="522"/>
      <c r="RKL28" s="522"/>
      <c r="RKM28" s="523"/>
      <c r="RKN28" s="104"/>
      <c r="RKO28" s="521"/>
      <c r="RKP28" s="522"/>
      <c r="RKQ28" s="522"/>
      <c r="RKR28" s="522"/>
      <c r="RKS28" s="523"/>
      <c r="RKT28" s="104"/>
      <c r="RKU28" s="521"/>
      <c r="RKV28" s="522"/>
      <c r="RKW28" s="522"/>
      <c r="RKX28" s="522"/>
      <c r="RKY28" s="523"/>
      <c r="RKZ28" s="104"/>
      <c r="RLA28" s="521"/>
      <c r="RLB28" s="522"/>
      <c r="RLC28" s="522"/>
      <c r="RLD28" s="522"/>
      <c r="RLE28" s="523"/>
      <c r="RLF28" s="104"/>
      <c r="RLG28" s="521"/>
      <c r="RLH28" s="522"/>
      <c r="RLI28" s="522"/>
      <c r="RLJ28" s="522"/>
      <c r="RLK28" s="523"/>
      <c r="RLL28" s="104"/>
      <c r="RLM28" s="521"/>
      <c r="RLN28" s="522"/>
      <c r="RLO28" s="522"/>
      <c r="RLP28" s="522"/>
      <c r="RLQ28" s="523"/>
      <c r="RLR28" s="104"/>
      <c r="RLS28" s="521"/>
      <c r="RLT28" s="522"/>
      <c r="RLU28" s="522"/>
      <c r="RLV28" s="522"/>
      <c r="RLW28" s="523"/>
      <c r="RLX28" s="104"/>
      <c r="RLY28" s="521"/>
      <c r="RLZ28" s="522"/>
      <c r="RMA28" s="522"/>
      <c r="RMB28" s="522"/>
      <c r="RMC28" s="523"/>
      <c r="RMD28" s="104"/>
      <c r="RME28" s="521"/>
      <c r="RMF28" s="522"/>
      <c r="RMG28" s="522"/>
      <c r="RMH28" s="522"/>
      <c r="RMI28" s="523"/>
      <c r="RMJ28" s="104"/>
      <c r="RMK28" s="521"/>
      <c r="RML28" s="522"/>
      <c r="RMM28" s="522"/>
      <c r="RMN28" s="522"/>
      <c r="RMO28" s="523"/>
      <c r="RMP28" s="104"/>
      <c r="RMQ28" s="521"/>
      <c r="RMR28" s="522"/>
      <c r="RMS28" s="522"/>
      <c r="RMT28" s="522"/>
      <c r="RMU28" s="523"/>
      <c r="RMV28" s="104"/>
      <c r="RMW28" s="521"/>
      <c r="RMX28" s="522"/>
      <c r="RMY28" s="522"/>
      <c r="RMZ28" s="522"/>
      <c r="RNA28" s="523"/>
      <c r="RNB28" s="104"/>
      <c r="RNC28" s="521"/>
      <c r="RND28" s="522"/>
      <c r="RNE28" s="522"/>
      <c r="RNF28" s="522"/>
      <c r="RNG28" s="523"/>
      <c r="RNH28" s="104"/>
      <c r="RNI28" s="521"/>
      <c r="RNJ28" s="522"/>
      <c r="RNK28" s="522"/>
      <c r="RNL28" s="522"/>
      <c r="RNM28" s="523"/>
      <c r="RNN28" s="104"/>
      <c r="RNO28" s="521"/>
      <c r="RNP28" s="522"/>
      <c r="RNQ28" s="522"/>
      <c r="RNR28" s="522"/>
      <c r="RNS28" s="523"/>
      <c r="RNT28" s="104"/>
      <c r="RNU28" s="521"/>
      <c r="RNV28" s="522"/>
      <c r="RNW28" s="522"/>
      <c r="RNX28" s="522"/>
      <c r="RNY28" s="523"/>
      <c r="RNZ28" s="104"/>
      <c r="ROA28" s="521"/>
      <c r="ROB28" s="522"/>
      <c r="ROC28" s="522"/>
      <c r="ROD28" s="522"/>
      <c r="ROE28" s="523"/>
      <c r="ROF28" s="104"/>
      <c r="ROG28" s="521"/>
      <c r="ROH28" s="522"/>
      <c r="ROI28" s="522"/>
      <c r="ROJ28" s="522"/>
      <c r="ROK28" s="523"/>
      <c r="ROL28" s="104"/>
      <c r="ROM28" s="521"/>
      <c r="RON28" s="522"/>
      <c r="ROO28" s="522"/>
      <c r="ROP28" s="522"/>
      <c r="ROQ28" s="523"/>
      <c r="ROR28" s="104"/>
      <c r="ROS28" s="521"/>
      <c r="ROT28" s="522"/>
      <c r="ROU28" s="522"/>
      <c r="ROV28" s="522"/>
      <c r="ROW28" s="523"/>
      <c r="ROX28" s="104"/>
      <c r="ROY28" s="521"/>
      <c r="ROZ28" s="522"/>
      <c r="RPA28" s="522"/>
      <c r="RPB28" s="522"/>
      <c r="RPC28" s="523"/>
      <c r="RPD28" s="104"/>
      <c r="RPE28" s="521"/>
      <c r="RPF28" s="522"/>
      <c r="RPG28" s="522"/>
      <c r="RPH28" s="522"/>
      <c r="RPI28" s="523"/>
      <c r="RPJ28" s="104"/>
      <c r="RPK28" s="521"/>
      <c r="RPL28" s="522"/>
      <c r="RPM28" s="522"/>
      <c r="RPN28" s="522"/>
      <c r="RPO28" s="523"/>
      <c r="RPP28" s="104"/>
      <c r="RPQ28" s="521"/>
      <c r="RPR28" s="522"/>
      <c r="RPS28" s="522"/>
      <c r="RPT28" s="522"/>
      <c r="RPU28" s="523"/>
      <c r="RPV28" s="104"/>
      <c r="RPW28" s="521"/>
      <c r="RPX28" s="522"/>
      <c r="RPY28" s="522"/>
      <c r="RPZ28" s="522"/>
      <c r="RQA28" s="523"/>
      <c r="RQB28" s="104"/>
      <c r="RQC28" s="521"/>
      <c r="RQD28" s="522"/>
      <c r="RQE28" s="522"/>
      <c r="RQF28" s="522"/>
      <c r="RQG28" s="523"/>
      <c r="RQH28" s="104"/>
      <c r="RQI28" s="521"/>
      <c r="RQJ28" s="522"/>
      <c r="RQK28" s="522"/>
      <c r="RQL28" s="522"/>
      <c r="RQM28" s="523"/>
      <c r="RQN28" s="104"/>
      <c r="RQO28" s="521"/>
      <c r="RQP28" s="522"/>
      <c r="RQQ28" s="522"/>
      <c r="RQR28" s="522"/>
      <c r="RQS28" s="523"/>
      <c r="RQT28" s="104"/>
      <c r="RQU28" s="521"/>
      <c r="RQV28" s="522"/>
      <c r="RQW28" s="522"/>
      <c r="RQX28" s="522"/>
      <c r="RQY28" s="523"/>
      <c r="RQZ28" s="104"/>
      <c r="RRA28" s="521"/>
      <c r="RRB28" s="522"/>
      <c r="RRC28" s="522"/>
      <c r="RRD28" s="522"/>
      <c r="RRE28" s="523"/>
      <c r="RRF28" s="104"/>
      <c r="RRG28" s="521"/>
      <c r="RRH28" s="522"/>
      <c r="RRI28" s="522"/>
      <c r="RRJ28" s="522"/>
      <c r="RRK28" s="523"/>
      <c r="RRL28" s="104"/>
      <c r="RRM28" s="521"/>
      <c r="RRN28" s="522"/>
      <c r="RRO28" s="522"/>
      <c r="RRP28" s="522"/>
      <c r="RRQ28" s="523"/>
      <c r="RRR28" s="104"/>
      <c r="RRS28" s="521"/>
      <c r="RRT28" s="522"/>
      <c r="RRU28" s="522"/>
      <c r="RRV28" s="522"/>
      <c r="RRW28" s="523"/>
      <c r="RRX28" s="104"/>
      <c r="RRY28" s="521"/>
      <c r="RRZ28" s="522"/>
      <c r="RSA28" s="522"/>
      <c r="RSB28" s="522"/>
      <c r="RSC28" s="523"/>
      <c r="RSD28" s="104"/>
      <c r="RSE28" s="521"/>
      <c r="RSF28" s="522"/>
      <c r="RSG28" s="522"/>
      <c r="RSH28" s="522"/>
      <c r="RSI28" s="523"/>
      <c r="RSJ28" s="104"/>
      <c r="RSK28" s="521"/>
      <c r="RSL28" s="522"/>
      <c r="RSM28" s="522"/>
      <c r="RSN28" s="522"/>
      <c r="RSO28" s="523"/>
      <c r="RSP28" s="104"/>
      <c r="RSQ28" s="521"/>
      <c r="RSR28" s="522"/>
      <c r="RSS28" s="522"/>
      <c r="RST28" s="522"/>
      <c r="RSU28" s="523"/>
      <c r="RSV28" s="104"/>
      <c r="RSW28" s="521"/>
      <c r="RSX28" s="522"/>
      <c r="RSY28" s="522"/>
      <c r="RSZ28" s="522"/>
      <c r="RTA28" s="523"/>
      <c r="RTB28" s="104"/>
      <c r="RTC28" s="521"/>
      <c r="RTD28" s="522"/>
      <c r="RTE28" s="522"/>
      <c r="RTF28" s="522"/>
      <c r="RTG28" s="523"/>
      <c r="RTH28" s="104"/>
      <c r="RTI28" s="521"/>
      <c r="RTJ28" s="522"/>
      <c r="RTK28" s="522"/>
      <c r="RTL28" s="522"/>
      <c r="RTM28" s="523"/>
      <c r="RTN28" s="104"/>
      <c r="RTO28" s="521"/>
      <c r="RTP28" s="522"/>
      <c r="RTQ28" s="522"/>
      <c r="RTR28" s="522"/>
      <c r="RTS28" s="523"/>
      <c r="RTT28" s="104"/>
      <c r="RTU28" s="521"/>
      <c r="RTV28" s="522"/>
      <c r="RTW28" s="522"/>
      <c r="RTX28" s="522"/>
      <c r="RTY28" s="523"/>
      <c r="RTZ28" s="104"/>
      <c r="RUA28" s="521"/>
      <c r="RUB28" s="522"/>
      <c r="RUC28" s="522"/>
      <c r="RUD28" s="522"/>
      <c r="RUE28" s="523"/>
      <c r="RUF28" s="104"/>
      <c r="RUG28" s="521"/>
      <c r="RUH28" s="522"/>
      <c r="RUI28" s="522"/>
      <c r="RUJ28" s="522"/>
      <c r="RUK28" s="523"/>
      <c r="RUL28" s="104"/>
      <c r="RUM28" s="521"/>
      <c r="RUN28" s="522"/>
      <c r="RUO28" s="522"/>
      <c r="RUP28" s="522"/>
      <c r="RUQ28" s="523"/>
      <c r="RUR28" s="104"/>
      <c r="RUS28" s="521"/>
      <c r="RUT28" s="522"/>
      <c r="RUU28" s="522"/>
      <c r="RUV28" s="522"/>
      <c r="RUW28" s="523"/>
      <c r="RUX28" s="104"/>
      <c r="RUY28" s="521"/>
      <c r="RUZ28" s="522"/>
      <c r="RVA28" s="522"/>
      <c r="RVB28" s="522"/>
      <c r="RVC28" s="523"/>
      <c r="RVD28" s="104"/>
      <c r="RVE28" s="521"/>
      <c r="RVF28" s="522"/>
      <c r="RVG28" s="522"/>
      <c r="RVH28" s="522"/>
      <c r="RVI28" s="523"/>
      <c r="RVJ28" s="104"/>
      <c r="RVK28" s="521"/>
      <c r="RVL28" s="522"/>
      <c r="RVM28" s="522"/>
      <c r="RVN28" s="522"/>
      <c r="RVO28" s="523"/>
      <c r="RVP28" s="104"/>
      <c r="RVQ28" s="521"/>
      <c r="RVR28" s="522"/>
      <c r="RVS28" s="522"/>
      <c r="RVT28" s="522"/>
      <c r="RVU28" s="523"/>
      <c r="RVV28" s="104"/>
      <c r="RVW28" s="521"/>
      <c r="RVX28" s="522"/>
      <c r="RVY28" s="522"/>
      <c r="RVZ28" s="522"/>
      <c r="RWA28" s="523"/>
      <c r="RWB28" s="104"/>
      <c r="RWC28" s="521"/>
      <c r="RWD28" s="522"/>
      <c r="RWE28" s="522"/>
      <c r="RWF28" s="522"/>
      <c r="RWG28" s="523"/>
      <c r="RWH28" s="104"/>
      <c r="RWI28" s="521"/>
      <c r="RWJ28" s="522"/>
      <c r="RWK28" s="522"/>
      <c r="RWL28" s="522"/>
      <c r="RWM28" s="523"/>
      <c r="RWN28" s="104"/>
      <c r="RWO28" s="521"/>
      <c r="RWP28" s="522"/>
      <c r="RWQ28" s="522"/>
      <c r="RWR28" s="522"/>
      <c r="RWS28" s="523"/>
      <c r="RWT28" s="104"/>
      <c r="RWU28" s="521"/>
      <c r="RWV28" s="522"/>
      <c r="RWW28" s="522"/>
      <c r="RWX28" s="522"/>
      <c r="RWY28" s="523"/>
      <c r="RWZ28" s="104"/>
      <c r="RXA28" s="521"/>
      <c r="RXB28" s="522"/>
      <c r="RXC28" s="522"/>
      <c r="RXD28" s="522"/>
      <c r="RXE28" s="523"/>
      <c r="RXF28" s="104"/>
      <c r="RXG28" s="521"/>
      <c r="RXH28" s="522"/>
      <c r="RXI28" s="522"/>
      <c r="RXJ28" s="522"/>
      <c r="RXK28" s="523"/>
      <c r="RXL28" s="104"/>
      <c r="RXM28" s="521"/>
      <c r="RXN28" s="522"/>
      <c r="RXO28" s="522"/>
      <c r="RXP28" s="522"/>
      <c r="RXQ28" s="523"/>
      <c r="RXR28" s="104"/>
      <c r="RXS28" s="521"/>
      <c r="RXT28" s="522"/>
      <c r="RXU28" s="522"/>
      <c r="RXV28" s="522"/>
      <c r="RXW28" s="523"/>
      <c r="RXX28" s="104"/>
      <c r="RXY28" s="521"/>
      <c r="RXZ28" s="522"/>
      <c r="RYA28" s="522"/>
      <c r="RYB28" s="522"/>
      <c r="RYC28" s="523"/>
      <c r="RYD28" s="104"/>
      <c r="RYE28" s="521"/>
      <c r="RYF28" s="522"/>
      <c r="RYG28" s="522"/>
      <c r="RYH28" s="522"/>
      <c r="RYI28" s="523"/>
      <c r="RYJ28" s="104"/>
      <c r="RYK28" s="521"/>
      <c r="RYL28" s="522"/>
      <c r="RYM28" s="522"/>
      <c r="RYN28" s="522"/>
      <c r="RYO28" s="523"/>
      <c r="RYP28" s="104"/>
      <c r="RYQ28" s="521"/>
      <c r="RYR28" s="522"/>
      <c r="RYS28" s="522"/>
      <c r="RYT28" s="522"/>
      <c r="RYU28" s="523"/>
      <c r="RYV28" s="104"/>
      <c r="RYW28" s="521"/>
      <c r="RYX28" s="522"/>
      <c r="RYY28" s="522"/>
      <c r="RYZ28" s="522"/>
      <c r="RZA28" s="523"/>
      <c r="RZB28" s="104"/>
      <c r="RZC28" s="521"/>
      <c r="RZD28" s="522"/>
      <c r="RZE28" s="522"/>
      <c r="RZF28" s="522"/>
      <c r="RZG28" s="523"/>
      <c r="RZH28" s="104"/>
      <c r="RZI28" s="521"/>
      <c r="RZJ28" s="522"/>
      <c r="RZK28" s="522"/>
      <c r="RZL28" s="522"/>
      <c r="RZM28" s="523"/>
      <c r="RZN28" s="104"/>
      <c r="RZO28" s="521"/>
      <c r="RZP28" s="522"/>
      <c r="RZQ28" s="522"/>
      <c r="RZR28" s="522"/>
      <c r="RZS28" s="523"/>
      <c r="RZT28" s="104"/>
      <c r="RZU28" s="521"/>
      <c r="RZV28" s="522"/>
      <c r="RZW28" s="522"/>
      <c r="RZX28" s="522"/>
      <c r="RZY28" s="523"/>
      <c r="RZZ28" s="104"/>
      <c r="SAA28" s="521"/>
      <c r="SAB28" s="522"/>
      <c r="SAC28" s="522"/>
      <c r="SAD28" s="522"/>
      <c r="SAE28" s="523"/>
      <c r="SAF28" s="104"/>
      <c r="SAG28" s="521"/>
      <c r="SAH28" s="522"/>
      <c r="SAI28" s="522"/>
      <c r="SAJ28" s="522"/>
      <c r="SAK28" s="523"/>
      <c r="SAL28" s="104"/>
      <c r="SAM28" s="521"/>
      <c r="SAN28" s="522"/>
      <c r="SAO28" s="522"/>
      <c r="SAP28" s="522"/>
      <c r="SAQ28" s="523"/>
      <c r="SAR28" s="104"/>
      <c r="SAS28" s="521"/>
      <c r="SAT28" s="522"/>
      <c r="SAU28" s="522"/>
      <c r="SAV28" s="522"/>
      <c r="SAW28" s="523"/>
      <c r="SAX28" s="104"/>
      <c r="SAY28" s="521"/>
      <c r="SAZ28" s="522"/>
      <c r="SBA28" s="522"/>
      <c r="SBB28" s="522"/>
      <c r="SBC28" s="523"/>
      <c r="SBD28" s="104"/>
      <c r="SBE28" s="521"/>
      <c r="SBF28" s="522"/>
      <c r="SBG28" s="522"/>
      <c r="SBH28" s="522"/>
      <c r="SBI28" s="523"/>
      <c r="SBJ28" s="104"/>
      <c r="SBK28" s="521"/>
      <c r="SBL28" s="522"/>
      <c r="SBM28" s="522"/>
      <c r="SBN28" s="522"/>
      <c r="SBO28" s="523"/>
      <c r="SBP28" s="104"/>
      <c r="SBQ28" s="521"/>
      <c r="SBR28" s="522"/>
      <c r="SBS28" s="522"/>
      <c r="SBT28" s="522"/>
      <c r="SBU28" s="523"/>
      <c r="SBV28" s="104"/>
      <c r="SBW28" s="521"/>
      <c r="SBX28" s="522"/>
      <c r="SBY28" s="522"/>
      <c r="SBZ28" s="522"/>
      <c r="SCA28" s="523"/>
      <c r="SCB28" s="104"/>
      <c r="SCC28" s="521"/>
      <c r="SCD28" s="522"/>
      <c r="SCE28" s="522"/>
      <c r="SCF28" s="522"/>
      <c r="SCG28" s="523"/>
      <c r="SCH28" s="104"/>
      <c r="SCI28" s="521"/>
      <c r="SCJ28" s="522"/>
      <c r="SCK28" s="522"/>
      <c r="SCL28" s="522"/>
      <c r="SCM28" s="523"/>
      <c r="SCN28" s="104"/>
      <c r="SCO28" s="521"/>
      <c r="SCP28" s="522"/>
      <c r="SCQ28" s="522"/>
      <c r="SCR28" s="522"/>
      <c r="SCS28" s="523"/>
      <c r="SCT28" s="104"/>
      <c r="SCU28" s="521"/>
      <c r="SCV28" s="522"/>
      <c r="SCW28" s="522"/>
      <c r="SCX28" s="522"/>
      <c r="SCY28" s="523"/>
      <c r="SCZ28" s="104"/>
      <c r="SDA28" s="521"/>
      <c r="SDB28" s="522"/>
      <c r="SDC28" s="522"/>
      <c r="SDD28" s="522"/>
      <c r="SDE28" s="523"/>
      <c r="SDF28" s="104"/>
      <c r="SDG28" s="521"/>
      <c r="SDH28" s="522"/>
      <c r="SDI28" s="522"/>
      <c r="SDJ28" s="522"/>
      <c r="SDK28" s="523"/>
      <c r="SDL28" s="104"/>
      <c r="SDM28" s="521"/>
      <c r="SDN28" s="522"/>
      <c r="SDO28" s="522"/>
      <c r="SDP28" s="522"/>
      <c r="SDQ28" s="523"/>
      <c r="SDR28" s="104"/>
      <c r="SDS28" s="521"/>
      <c r="SDT28" s="522"/>
      <c r="SDU28" s="522"/>
      <c r="SDV28" s="522"/>
      <c r="SDW28" s="523"/>
      <c r="SDX28" s="104"/>
      <c r="SDY28" s="521"/>
      <c r="SDZ28" s="522"/>
      <c r="SEA28" s="522"/>
      <c r="SEB28" s="522"/>
      <c r="SEC28" s="523"/>
      <c r="SED28" s="104"/>
      <c r="SEE28" s="521"/>
      <c r="SEF28" s="522"/>
      <c r="SEG28" s="522"/>
      <c r="SEH28" s="522"/>
      <c r="SEI28" s="523"/>
      <c r="SEJ28" s="104"/>
      <c r="SEK28" s="521"/>
      <c r="SEL28" s="522"/>
      <c r="SEM28" s="522"/>
      <c r="SEN28" s="522"/>
      <c r="SEO28" s="523"/>
      <c r="SEP28" s="104"/>
      <c r="SEQ28" s="521"/>
      <c r="SER28" s="522"/>
      <c r="SES28" s="522"/>
      <c r="SET28" s="522"/>
      <c r="SEU28" s="523"/>
      <c r="SEV28" s="104"/>
      <c r="SEW28" s="521"/>
      <c r="SEX28" s="522"/>
      <c r="SEY28" s="522"/>
      <c r="SEZ28" s="522"/>
      <c r="SFA28" s="523"/>
      <c r="SFB28" s="104"/>
      <c r="SFC28" s="521"/>
      <c r="SFD28" s="522"/>
      <c r="SFE28" s="522"/>
      <c r="SFF28" s="522"/>
      <c r="SFG28" s="523"/>
      <c r="SFH28" s="104"/>
      <c r="SFI28" s="521"/>
      <c r="SFJ28" s="522"/>
      <c r="SFK28" s="522"/>
      <c r="SFL28" s="522"/>
      <c r="SFM28" s="523"/>
      <c r="SFN28" s="104"/>
      <c r="SFO28" s="521"/>
      <c r="SFP28" s="522"/>
      <c r="SFQ28" s="522"/>
      <c r="SFR28" s="522"/>
      <c r="SFS28" s="523"/>
      <c r="SFT28" s="104"/>
      <c r="SFU28" s="521"/>
      <c r="SFV28" s="522"/>
      <c r="SFW28" s="522"/>
      <c r="SFX28" s="522"/>
      <c r="SFY28" s="523"/>
      <c r="SFZ28" s="104"/>
      <c r="SGA28" s="521"/>
      <c r="SGB28" s="522"/>
      <c r="SGC28" s="522"/>
      <c r="SGD28" s="522"/>
      <c r="SGE28" s="523"/>
      <c r="SGF28" s="104"/>
      <c r="SGG28" s="521"/>
      <c r="SGH28" s="522"/>
      <c r="SGI28" s="522"/>
      <c r="SGJ28" s="522"/>
      <c r="SGK28" s="523"/>
      <c r="SGL28" s="104"/>
      <c r="SGM28" s="521"/>
      <c r="SGN28" s="522"/>
      <c r="SGO28" s="522"/>
      <c r="SGP28" s="522"/>
      <c r="SGQ28" s="523"/>
      <c r="SGR28" s="104"/>
      <c r="SGS28" s="521"/>
      <c r="SGT28" s="522"/>
      <c r="SGU28" s="522"/>
      <c r="SGV28" s="522"/>
      <c r="SGW28" s="523"/>
      <c r="SGX28" s="104"/>
      <c r="SGY28" s="521"/>
      <c r="SGZ28" s="522"/>
      <c r="SHA28" s="522"/>
      <c r="SHB28" s="522"/>
      <c r="SHC28" s="523"/>
      <c r="SHD28" s="104"/>
      <c r="SHE28" s="521"/>
      <c r="SHF28" s="522"/>
      <c r="SHG28" s="522"/>
      <c r="SHH28" s="522"/>
      <c r="SHI28" s="523"/>
      <c r="SHJ28" s="104"/>
      <c r="SHK28" s="521"/>
      <c r="SHL28" s="522"/>
      <c r="SHM28" s="522"/>
      <c r="SHN28" s="522"/>
      <c r="SHO28" s="523"/>
      <c r="SHP28" s="104"/>
      <c r="SHQ28" s="521"/>
      <c r="SHR28" s="522"/>
      <c r="SHS28" s="522"/>
      <c r="SHT28" s="522"/>
      <c r="SHU28" s="523"/>
      <c r="SHV28" s="104"/>
      <c r="SHW28" s="521"/>
      <c r="SHX28" s="522"/>
      <c r="SHY28" s="522"/>
      <c r="SHZ28" s="522"/>
      <c r="SIA28" s="523"/>
      <c r="SIB28" s="104"/>
      <c r="SIC28" s="521"/>
      <c r="SID28" s="522"/>
      <c r="SIE28" s="522"/>
      <c r="SIF28" s="522"/>
      <c r="SIG28" s="523"/>
      <c r="SIH28" s="104"/>
      <c r="SII28" s="521"/>
      <c r="SIJ28" s="522"/>
      <c r="SIK28" s="522"/>
      <c r="SIL28" s="522"/>
      <c r="SIM28" s="523"/>
      <c r="SIN28" s="104"/>
      <c r="SIO28" s="521"/>
      <c r="SIP28" s="522"/>
      <c r="SIQ28" s="522"/>
      <c r="SIR28" s="522"/>
      <c r="SIS28" s="523"/>
      <c r="SIT28" s="104"/>
      <c r="SIU28" s="521"/>
      <c r="SIV28" s="522"/>
      <c r="SIW28" s="522"/>
      <c r="SIX28" s="522"/>
      <c r="SIY28" s="523"/>
      <c r="SIZ28" s="104"/>
      <c r="SJA28" s="521"/>
      <c r="SJB28" s="522"/>
      <c r="SJC28" s="522"/>
      <c r="SJD28" s="522"/>
      <c r="SJE28" s="523"/>
      <c r="SJF28" s="104"/>
      <c r="SJG28" s="521"/>
      <c r="SJH28" s="522"/>
      <c r="SJI28" s="522"/>
      <c r="SJJ28" s="522"/>
      <c r="SJK28" s="523"/>
      <c r="SJL28" s="104"/>
      <c r="SJM28" s="521"/>
      <c r="SJN28" s="522"/>
      <c r="SJO28" s="522"/>
      <c r="SJP28" s="522"/>
      <c r="SJQ28" s="523"/>
      <c r="SJR28" s="104"/>
      <c r="SJS28" s="521"/>
      <c r="SJT28" s="522"/>
      <c r="SJU28" s="522"/>
      <c r="SJV28" s="522"/>
      <c r="SJW28" s="523"/>
      <c r="SJX28" s="104"/>
      <c r="SJY28" s="521"/>
      <c r="SJZ28" s="522"/>
      <c r="SKA28" s="522"/>
      <c r="SKB28" s="522"/>
      <c r="SKC28" s="523"/>
      <c r="SKD28" s="104"/>
      <c r="SKE28" s="521"/>
      <c r="SKF28" s="522"/>
      <c r="SKG28" s="522"/>
      <c r="SKH28" s="522"/>
      <c r="SKI28" s="523"/>
      <c r="SKJ28" s="104"/>
      <c r="SKK28" s="521"/>
      <c r="SKL28" s="522"/>
      <c r="SKM28" s="522"/>
      <c r="SKN28" s="522"/>
      <c r="SKO28" s="523"/>
      <c r="SKP28" s="104"/>
      <c r="SKQ28" s="521"/>
      <c r="SKR28" s="522"/>
      <c r="SKS28" s="522"/>
      <c r="SKT28" s="522"/>
      <c r="SKU28" s="523"/>
      <c r="SKV28" s="104"/>
      <c r="SKW28" s="521"/>
      <c r="SKX28" s="522"/>
      <c r="SKY28" s="522"/>
      <c r="SKZ28" s="522"/>
      <c r="SLA28" s="523"/>
      <c r="SLB28" s="104"/>
      <c r="SLC28" s="521"/>
      <c r="SLD28" s="522"/>
      <c r="SLE28" s="522"/>
      <c r="SLF28" s="522"/>
      <c r="SLG28" s="523"/>
      <c r="SLH28" s="104"/>
      <c r="SLI28" s="521"/>
      <c r="SLJ28" s="522"/>
      <c r="SLK28" s="522"/>
      <c r="SLL28" s="522"/>
      <c r="SLM28" s="523"/>
      <c r="SLN28" s="104"/>
      <c r="SLO28" s="521"/>
      <c r="SLP28" s="522"/>
      <c r="SLQ28" s="522"/>
      <c r="SLR28" s="522"/>
      <c r="SLS28" s="523"/>
      <c r="SLT28" s="104"/>
      <c r="SLU28" s="521"/>
      <c r="SLV28" s="522"/>
      <c r="SLW28" s="522"/>
      <c r="SLX28" s="522"/>
      <c r="SLY28" s="523"/>
      <c r="SLZ28" s="104"/>
      <c r="SMA28" s="521"/>
      <c r="SMB28" s="522"/>
      <c r="SMC28" s="522"/>
      <c r="SMD28" s="522"/>
      <c r="SME28" s="523"/>
      <c r="SMF28" s="104"/>
      <c r="SMG28" s="521"/>
      <c r="SMH28" s="522"/>
      <c r="SMI28" s="522"/>
      <c r="SMJ28" s="522"/>
      <c r="SMK28" s="523"/>
      <c r="SML28" s="104"/>
      <c r="SMM28" s="521"/>
      <c r="SMN28" s="522"/>
      <c r="SMO28" s="522"/>
      <c r="SMP28" s="522"/>
      <c r="SMQ28" s="523"/>
      <c r="SMR28" s="104"/>
      <c r="SMS28" s="521"/>
      <c r="SMT28" s="522"/>
      <c r="SMU28" s="522"/>
      <c r="SMV28" s="522"/>
      <c r="SMW28" s="523"/>
      <c r="SMX28" s="104"/>
      <c r="SMY28" s="521"/>
      <c r="SMZ28" s="522"/>
      <c r="SNA28" s="522"/>
      <c r="SNB28" s="522"/>
      <c r="SNC28" s="523"/>
      <c r="SND28" s="104"/>
      <c r="SNE28" s="521"/>
      <c r="SNF28" s="522"/>
      <c r="SNG28" s="522"/>
      <c r="SNH28" s="522"/>
      <c r="SNI28" s="523"/>
      <c r="SNJ28" s="104"/>
      <c r="SNK28" s="521"/>
      <c r="SNL28" s="522"/>
      <c r="SNM28" s="522"/>
      <c r="SNN28" s="522"/>
      <c r="SNO28" s="523"/>
      <c r="SNP28" s="104"/>
      <c r="SNQ28" s="521"/>
      <c r="SNR28" s="522"/>
      <c r="SNS28" s="522"/>
      <c r="SNT28" s="522"/>
      <c r="SNU28" s="523"/>
      <c r="SNV28" s="104"/>
      <c r="SNW28" s="521"/>
      <c r="SNX28" s="522"/>
      <c r="SNY28" s="522"/>
      <c r="SNZ28" s="522"/>
      <c r="SOA28" s="523"/>
      <c r="SOB28" s="104"/>
      <c r="SOC28" s="521"/>
      <c r="SOD28" s="522"/>
      <c r="SOE28" s="522"/>
      <c r="SOF28" s="522"/>
      <c r="SOG28" s="523"/>
      <c r="SOH28" s="104"/>
      <c r="SOI28" s="521"/>
      <c r="SOJ28" s="522"/>
      <c r="SOK28" s="522"/>
      <c r="SOL28" s="522"/>
      <c r="SOM28" s="523"/>
      <c r="SON28" s="104"/>
      <c r="SOO28" s="521"/>
      <c r="SOP28" s="522"/>
      <c r="SOQ28" s="522"/>
      <c r="SOR28" s="522"/>
      <c r="SOS28" s="523"/>
      <c r="SOT28" s="104"/>
      <c r="SOU28" s="521"/>
      <c r="SOV28" s="522"/>
      <c r="SOW28" s="522"/>
      <c r="SOX28" s="522"/>
      <c r="SOY28" s="523"/>
      <c r="SOZ28" s="104"/>
      <c r="SPA28" s="521"/>
      <c r="SPB28" s="522"/>
      <c r="SPC28" s="522"/>
      <c r="SPD28" s="522"/>
      <c r="SPE28" s="523"/>
      <c r="SPF28" s="104"/>
      <c r="SPG28" s="521"/>
      <c r="SPH28" s="522"/>
      <c r="SPI28" s="522"/>
      <c r="SPJ28" s="522"/>
      <c r="SPK28" s="523"/>
      <c r="SPL28" s="104"/>
      <c r="SPM28" s="521"/>
      <c r="SPN28" s="522"/>
      <c r="SPO28" s="522"/>
      <c r="SPP28" s="522"/>
      <c r="SPQ28" s="523"/>
      <c r="SPR28" s="104"/>
      <c r="SPS28" s="521"/>
      <c r="SPT28" s="522"/>
      <c r="SPU28" s="522"/>
      <c r="SPV28" s="522"/>
      <c r="SPW28" s="523"/>
      <c r="SPX28" s="104"/>
      <c r="SPY28" s="521"/>
      <c r="SPZ28" s="522"/>
      <c r="SQA28" s="522"/>
      <c r="SQB28" s="522"/>
      <c r="SQC28" s="523"/>
      <c r="SQD28" s="104"/>
      <c r="SQE28" s="521"/>
      <c r="SQF28" s="522"/>
      <c r="SQG28" s="522"/>
      <c r="SQH28" s="522"/>
      <c r="SQI28" s="523"/>
      <c r="SQJ28" s="104"/>
      <c r="SQK28" s="521"/>
      <c r="SQL28" s="522"/>
      <c r="SQM28" s="522"/>
      <c r="SQN28" s="522"/>
      <c r="SQO28" s="523"/>
      <c r="SQP28" s="104"/>
      <c r="SQQ28" s="521"/>
      <c r="SQR28" s="522"/>
      <c r="SQS28" s="522"/>
      <c r="SQT28" s="522"/>
      <c r="SQU28" s="523"/>
      <c r="SQV28" s="104"/>
      <c r="SQW28" s="521"/>
      <c r="SQX28" s="522"/>
      <c r="SQY28" s="522"/>
      <c r="SQZ28" s="522"/>
      <c r="SRA28" s="523"/>
      <c r="SRB28" s="104"/>
      <c r="SRC28" s="521"/>
      <c r="SRD28" s="522"/>
      <c r="SRE28" s="522"/>
      <c r="SRF28" s="522"/>
      <c r="SRG28" s="523"/>
      <c r="SRH28" s="104"/>
      <c r="SRI28" s="521"/>
      <c r="SRJ28" s="522"/>
      <c r="SRK28" s="522"/>
      <c r="SRL28" s="522"/>
      <c r="SRM28" s="523"/>
      <c r="SRN28" s="104"/>
      <c r="SRO28" s="521"/>
      <c r="SRP28" s="522"/>
      <c r="SRQ28" s="522"/>
      <c r="SRR28" s="522"/>
      <c r="SRS28" s="523"/>
      <c r="SRT28" s="104"/>
      <c r="SRU28" s="521"/>
      <c r="SRV28" s="522"/>
      <c r="SRW28" s="522"/>
      <c r="SRX28" s="522"/>
      <c r="SRY28" s="523"/>
      <c r="SRZ28" s="104"/>
      <c r="SSA28" s="521"/>
      <c r="SSB28" s="522"/>
      <c r="SSC28" s="522"/>
      <c r="SSD28" s="522"/>
      <c r="SSE28" s="523"/>
      <c r="SSF28" s="104"/>
      <c r="SSG28" s="521"/>
      <c r="SSH28" s="522"/>
      <c r="SSI28" s="522"/>
      <c r="SSJ28" s="522"/>
      <c r="SSK28" s="523"/>
      <c r="SSL28" s="104"/>
      <c r="SSM28" s="521"/>
      <c r="SSN28" s="522"/>
      <c r="SSO28" s="522"/>
      <c r="SSP28" s="522"/>
      <c r="SSQ28" s="523"/>
      <c r="SSR28" s="104"/>
      <c r="SSS28" s="521"/>
      <c r="SST28" s="522"/>
      <c r="SSU28" s="522"/>
      <c r="SSV28" s="522"/>
      <c r="SSW28" s="523"/>
      <c r="SSX28" s="104"/>
      <c r="SSY28" s="521"/>
      <c r="SSZ28" s="522"/>
      <c r="STA28" s="522"/>
      <c r="STB28" s="522"/>
      <c r="STC28" s="523"/>
      <c r="STD28" s="104"/>
      <c r="STE28" s="521"/>
      <c r="STF28" s="522"/>
      <c r="STG28" s="522"/>
      <c r="STH28" s="522"/>
      <c r="STI28" s="523"/>
      <c r="STJ28" s="104"/>
      <c r="STK28" s="521"/>
      <c r="STL28" s="522"/>
      <c r="STM28" s="522"/>
      <c r="STN28" s="522"/>
      <c r="STO28" s="523"/>
      <c r="STP28" s="104"/>
      <c r="STQ28" s="521"/>
      <c r="STR28" s="522"/>
      <c r="STS28" s="522"/>
      <c r="STT28" s="522"/>
      <c r="STU28" s="523"/>
      <c r="STV28" s="104"/>
      <c r="STW28" s="521"/>
      <c r="STX28" s="522"/>
      <c r="STY28" s="522"/>
      <c r="STZ28" s="522"/>
      <c r="SUA28" s="523"/>
      <c r="SUB28" s="104"/>
      <c r="SUC28" s="521"/>
      <c r="SUD28" s="522"/>
      <c r="SUE28" s="522"/>
      <c r="SUF28" s="522"/>
      <c r="SUG28" s="523"/>
      <c r="SUH28" s="104"/>
      <c r="SUI28" s="521"/>
      <c r="SUJ28" s="522"/>
      <c r="SUK28" s="522"/>
      <c r="SUL28" s="522"/>
      <c r="SUM28" s="523"/>
      <c r="SUN28" s="104"/>
      <c r="SUO28" s="521"/>
      <c r="SUP28" s="522"/>
      <c r="SUQ28" s="522"/>
      <c r="SUR28" s="522"/>
      <c r="SUS28" s="523"/>
      <c r="SUT28" s="104"/>
      <c r="SUU28" s="521"/>
      <c r="SUV28" s="522"/>
      <c r="SUW28" s="522"/>
      <c r="SUX28" s="522"/>
      <c r="SUY28" s="523"/>
      <c r="SUZ28" s="104"/>
      <c r="SVA28" s="521"/>
      <c r="SVB28" s="522"/>
      <c r="SVC28" s="522"/>
      <c r="SVD28" s="522"/>
      <c r="SVE28" s="523"/>
      <c r="SVF28" s="104"/>
      <c r="SVG28" s="521"/>
      <c r="SVH28" s="522"/>
      <c r="SVI28" s="522"/>
      <c r="SVJ28" s="522"/>
      <c r="SVK28" s="523"/>
      <c r="SVL28" s="104"/>
      <c r="SVM28" s="521"/>
      <c r="SVN28" s="522"/>
      <c r="SVO28" s="522"/>
      <c r="SVP28" s="522"/>
      <c r="SVQ28" s="523"/>
      <c r="SVR28" s="104"/>
      <c r="SVS28" s="521"/>
      <c r="SVT28" s="522"/>
      <c r="SVU28" s="522"/>
      <c r="SVV28" s="522"/>
      <c r="SVW28" s="523"/>
      <c r="SVX28" s="104"/>
      <c r="SVY28" s="521"/>
      <c r="SVZ28" s="522"/>
      <c r="SWA28" s="522"/>
      <c r="SWB28" s="522"/>
      <c r="SWC28" s="523"/>
      <c r="SWD28" s="104"/>
      <c r="SWE28" s="521"/>
      <c r="SWF28" s="522"/>
      <c r="SWG28" s="522"/>
      <c r="SWH28" s="522"/>
      <c r="SWI28" s="523"/>
      <c r="SWJ28" s="104"/>
      <c r="SWK28" s="521"/>
      <c r="SWL28" s="522"/>
      <c r="SWM28" s="522"/>
      <c r="SWN28" s="522"/>
      <c r="SWO28" s="523"/>
      <c r="SWP28" s="104"/>
      <c r="SWQ28" s="521"/>
      <c r="SWR28" s="522"/>
      <c r="SWS28" s="522"/>
      <c r="SWT28" s="522"/>
      <c r="SWU28" s="523"/>
      <c r="SWV28" s="104"/>
      <c r="SWW28" s="521"/>
      <c r="SWX28" s="522"/>
      <c r="SWY28" s="522"/>
      <c r="SWZ28" s="522"/>
      <c r="SXA28" s="523"/>
      <c r="SXB28" s="104"/>
      <c r="SXC28" s="521"/>
      <c r="SXD28" s="522"/>
      <c r="SXE28" s="522"/>
      <c r="SXF28" s="522"/>
      <c r="SXG28" s="523"/>
      <c r="SXH28" s="104"/>
      <c r="SXI28" s="521"/>
      <c r="SXJ28" s="522"/>
      <c r="SXK28" s="522"/>
      <c r="SXL28" s="522"/>
      <c r="SXM28" s="523"/>
      <c r="SXN28" s="104"/>
      <c r="SXO28" s="521"/>
      <c r="SXP28" s="522"/>
      <c r="SXQ28" s="522"/>
      <c r="SXR28" s="522"/>
      <c r="SXS28" s="523"/>
      <c r="SXT28" s="104"/>
      <c r="SXU28" s="521"/>
      <c r="SXV28" s="522"/>
      <c r="SXW28" s="522"/>
      <c r="SXX28" s="522"/>
      <c r="SXY28" s="523"/>
      <c r="SXZ28" s="104"/>
      <c r="SYA28" s="521"/>
      <c r="SYB28" s="522"/>
      <c r="SYC28" s="522"/>
      <c r="SYD28" s="522"/>
      <c r="SYE28" s="523"/>
      <c r="SYF28" s="104"/>
      <c r="SYG28" s="521"/>
      <c r="SYH28" s="522"/>
      <c r="SYI28" s="522"/>
      <c r="SYJ28" s="522"/>
      <c r="SYK28" s="523"/>
      <c r="SYL28" s="104"/>
      <c r="SYM28" s="521"/>
      <c r="SYN28" s="522"/>
      <c r="SYO28" s="522"/>
      <c r="SYP28" s="522"/>
      <c r="SYQ28" s="523"/>
      <c r="SYR28" s="104"/>
      <c r="SYS28" s="521"/>
      <c r="SYT28" s="522"/>
      <c r="SYU28" s="522"/>
      <c r="SYV28" s="522"/>
      <c r="SYW28" s="523"/>
      <c r="SYX28" s="104"/>
      <c r="SYY28" s="521"/>
      <c r="SYZ28" s="522"/>
      <c r="SZA28" s="522"/>
      <c r="SZB28" s="522"/>
      <c r="SZC28" s="523"/>
      <c r="SZD28" s="104"/>
      <c r="SZE28" s="521"/>
      <c r="SZF28" s="522"/>
      <c r="SZG28" s="522"/>
      <c r="SZH28" s="522"/>
      <c r="SZI28" s="523"/>
      <c r="SZJ28" s="104"/>
      <c r="SZK28" s="521"/>
      <c r="SZL28" s="522"/>
      <c r="SZM28" s="522"/>
      <c r="SZN28" s="522"/>
      <c r="SZO28" s="523"/>
      <c r="SZP28" s="104"/>
      <c r="SZQ28" s="521"/>
      <c r="SZR28" s="522"/>
      <c r="SZS28" s="522"/>
      <c r="SZT28" s="522"/>
      <c r="SZU28" s="523"/>
      <c r="SZV28" s="104"/>
      <c r="SZW28" s="521"/>
      <c r="SZX28" s="522"/>
      <c r="SZY28" s="522"/>
      <c r="SZZ28" s="522"/>
      <c r="TAA28" s="523"/>
      <c r="TAB28" s="104"/>
      <c r="TAC28" s="521"/>
      <c r="TAD28" s="522"/>
      <c r="TAE28" s="522"/>
      <c r="TAF28" s="522"/>
      <c r="TAG28" s="523"/>
      <c r="TAH28" s="104"/>
      <c r="TAI28" s="521"/>
      <c r="TAJ28" s="522"/>
      <c r="TAK28" s="522"/>
      <c r="TAL28" s="522"/>
      <c r="TAM28" s="523"/>
      <c r="TAN28" s="104"/>
      <c r="TAO28" s="521"/>
      <c r="TAP28" s="522"/>
      <c r="TAQ28" s="522"/>
      <c r="TAR28" s="522"/>
      <c r="TAS28" s="523"/>
      <c r="TAT28" s="104"/>
      <c r="TAU28" s="521"/>
      <c r="TAV28" s="522"/>
      <c r="TAW28" s="522"/>
      <c r="TAX28" s="522"/>
      <c r="TAY28" s="523"/>
      <c r="TAZ28" s="104"/>
      <c r="TBA28" s="521"/>
      <c r="TBB28" s="522"/>
      <c r="TBC28" s="522"/>
      <c r="TBD28" s="522"/>
      <c r="TBE28" s="523"/>
      <c r="TBF28" s="104"/>
      <c r="TBG28" s="521"/>
      <c r="TBH28" s="522"/>
      <c r="TBI28" s="522"/>
      <c r="TBJ28" s="522"/>
      <c r="TBK28" s="523"/>
      <c r="TBL28" s="104"/>
      <c r="TBM28" s="521"/>
      <c r="TBN28" s="522"/>
      <c r="TBO28" s="522"/>
      <c r="TBP28" s="522"/>
      <c r="TBQ28" s="523"/>
      <c r="TBR28" s="104"/>
      <c r="TBS28" s="521"/>
      <c r="TBT28" s="522"/>
      <c r="TBU28" s="522"/>
      <c r="TBV28" s="522"/>
      <c r="TBW28" s="523"/>
      <c r="TBX28" s="104"/>
      <c r="TBY28" s="521"/>
      <c r="TBZ28" s="522"/>
      <c r="TCA28" s="522"/>
      <c r="TCB28" s="522"/>
      <c r="TCC28" s="523"/>
      <c r="TCD28" s="104"/>
      <c r="TCE28" s="521"/>
      <c r="TCF28" s="522"/>
      <c r="TCG28" s="522"/>
      <c r="TCH28" s="522"/>
      <c r="TCI28" s="523"/>
      <c r="TCJ28" s="104"/>
      <c r="TCK28" s="521"/>
      <c r="TCL28" s="522"/>
      <c r="TCM28" s="522"/>
      <c r="TCN28" s="522"/>
      <c r="TCO28" s="523"/>
      <c r="TCP28" s="104"/>
      <c r="TCQ28" s="521"/>
      <c r="TCR28" s="522"/>
      <c r="TCS28" s="522"/>
      <c r="TCT28" s="522"/>
      <c r="TCU28" s="523"/>
      <c r="TCV28" s="104"/>
      <c r="TCW28" s="521"/>
      <c r="TCX28" s="522"/>
      <c r="TCY28" s="522"/>
      <c r="TCZ28" s="522"/>
      <c r="TDA28" s="523"/>
      <c r="TDB28" s="104"/>
      <c r="TDC28" s="521"/>
      <c r="TDD28" s="522"/>
      <c r="TDE28" s="522"/>
      <c r="TDF28" s="522"/>
      <c r="TDG28" s="523"/>
      <c r="TDH28" s="104"/>
      <c r="TDI28" s="521"/>
      <c r="TDJ28" s="522"/>
      <c r="TDK28" s="522"/>
      <c r="TDL28" s="522"/>
      <c r="TDM28" s="523"/>
      <c r="TDN28" s="104"/>
      <c r="TDO28" s="521"/>
      <c r="TDP28" s="522"/>
      <c r="TDQ28" s="522"/>
      <c r="TDR28" s="522"/>
      <c r="TDS28" s="523"/>
      <c r="TDT28" s="104"/>
      <c r="TDU28" s="521"/>
      <c r="TDV28" s="522"/>
      <c r="TDW28" s="522"/>
      <c r="TDX28" s="522"/>
      <c r="TDY28" s="523"/>
      <c r="TDZ28" s="104"/>
      <c r="TEA28" s="521"/>
      <c r="TEB28" s="522"/>
      <c r="TEC28" s="522"/>
      <c r="TED28" s="522"/>
      <c r="TEE28" s="523"/>
      <c r="TEF28" s="104"/>
      <c r="TEG28" s="521"/>
      <c r="TEH28" s="522"/>
      <c r="TEI28" s="522"/>
      <c r="TEJ28" s="522"/>
      <c r="TEK28" s="523"/>
      <c r="TEL28" s="104"/>
      <c r="TEM28" s="521"/>
      <c r="TEN28" s="522"/>
      <c r="TEO28" s="522"/>
      <c r="TEP28" s="522"/>
      <c r="TEQ28" s="523"/>
      <c r="TER28" s="104"/>
      <c r="TES28" s="521"/>
      <c r="TET28" s="522"/>
      <c r="TEU28" s="522"/>
      <c r="TEV28" s="522"/>
      <c r="TEW28" s="523"/>
      <c r="TEX28" s="104"/>
      <c r="TEY28" s="521"/>
      <c r="TEZ28" s="522"/>
      <c r="TFA28" s="522"/>
      <c r="TFB28" s="522"/>
      <c r="TFC28" s="523"/>
      <c r="TFD28" s="104"/>
      <c r="TFE28" s="521"/>
      <c r="TFF28" s="522"/>
      <c r="TFG28" s="522"/>
      <c r="TFH28" s="522"/>
      <c r="TFI28" s="523"/>
      <c r="TFJ28" s="104"/>
      <c r="TFK28" s="521"/>
      <c r="TFL28" s="522"/>
      <c r="TFM28" s="522"/>
      <c r="TFN28" s="522"/>
      <c r="TFO28" s="523"/>
      <c r="TFP28" s="104"/>
      <c r="TFQ28" s="521"/>
      <c r="TFR28" s="522"/>
      <c r="TFS28" s="522"/>
      <c r="TFT28" s="522"/>
      <c r="TFU28" s="523"/>
      <c r="TFV28" s="104"/>
      <c r="TFW28" s="521"/>
      <c r="TFX28" s="522"/>
      <c r="TFY28" s="522"/>
      <c r="TFZ28" s="522"/>
      <c r="TGA28" s="523"/>
      <c r="TGB28" s="104"/>
      <c r="TGC28" s="521"/>
      <c r="TGD28" s="522"/>
      <c r="TGE28" s="522"/>
      <c r="TGF28" s="522"/>
      <c r="TGG28" s="523"/>
      <c r="TGH28" s="104"/>
      <c r="TGI28" s="521"/>
      <c r="TGJ28" s="522"/>
      <c r="TGK28" s="522"/>
      <c r="TGL28" s="522"/>
      <c r="TGM28" s="523"/>
      <c r="TGN28" s="104"/>
      <c r="TGO28" s="521"/>
      <c r="TGP28" s="522"/>
      <c r="TGQ28" s="522"/>
      <c r="TGR28" s="522"/>
      <c r="TGS28" s="523"/>
      <c r="TGT28" s="104"/>
      <c r="TGU28" s="521"/>
      <c r="TGV28" s="522"/>
      <c r="TGW28" s="522"/>
      <c r="TGX28" s="522"/>
      <c r="TGY28" s="523"/>
      <c r="TGZ28" s="104"/>
      <c r="THA28" s="521"/>
      <c r="THB28" s="522"/>
      <c r="THC28" s="522"/>
      <c r="THD28" s="522"/>
      <c r="THE28" s="523"/>
      <c r="THF28" s="104"/>
      <c r="THG28" s="521"/>
      <c r="THH28" s="522"/>
      <c r="THI28" s="522"/>
      <c r="THJ28" s="522"/>
      <c r="THK28" s="523"/>
      <c r="THL28" s="104"/>
      <c r="THM28" s="521"/>
      <c r="THN28" s="522"/>
      <c r="THO28" s="522"/>
      <c r="THP28" s="522"/>
      <c r="THQ28" s="523"/>
      <c r="THR28" s="104"/>
      <c r="THS28" s="521"/>
      <c r="THT28" s="522"/>
      <c r="THU28" s="522"/>
      <c r="THV28" s="522"/>
      <c r="THW28" s="523"/>
      <c r="THX28" s="104"/>
      <c r="THY28" s="521"/>
      <c r="THZ28" s="522"/>
      <c r="TIA28" s="522"/>
      <c r="TIB28" s="522"/>
      <c r="TIC28" s="523"/>
      <c r="TID28" s="104"/>
      <c r="TIE28" s="521"/>
      <c r="TIF28" s="522"/>
      <c r="TIG28" s="522"/>
      <c r="TIH28" s="522"/>
      <c r="TII28" s="523"/>
      <c r="TIJ28" s="104"/>
      <c r="TIK28" s="521"/>
      <c r="TIL28" s="522"/>
      <c r="TIM28" s="522"/>
      <c r="TIN28" s="522"/>
      <c r="TIO28" s="523"/>
      <c r="TIP28" s="104"/>
      <c r="TIQ28" s="521"/>
      <c r="TIR28" s="522"/>
      <c r="TIS28" s="522"/>
      <c r="TIT28" s="522"/>
      <c r="TIU28" s="523"/>
      <c r="TIV28" s="104"/>
      <c r="TIW28" s="521"/>
      <c r="TIX28" s="522"/>
      <c r="TIY28" s="522"/>
      <c r="TIZ28" s="522"/>
      <c r="TJA28" s="523"/>
      <c r="TJB28" s="104"/>
      <c r="TJC28" s="521"/>
      <c r="TJD28" s="522"/>
      <c r="TJE28" s="522"/>
      <c r="TJF28" s="522"/>
      <c r="TJG28" s="523"/>
      <c r="TJH28" s="104"/>
      <c r="TJI28" s="521"/>
      <c r="TJJ28" s="522"/>
      <c r="TJK28" s="522"/>
      <c r="TJL28" s="522"/>
      <c r="TJM28" s="523"/>
      <c r="TJN28" s="104"/>
      <c r="TJO28" s="521"/>
      <c r="TJP28" s="522"/>
      <c r="TJQ28" s="522"/>
      <c r="TJR28" s="522"/>
      <c r="TJS28" s="523"/>
      <c r="TJT28" s="104"/>
      <c r="TJU28" s="521"/>
      <c r="TJV28" s="522"/>
      <c r="TJW28" s="522"/>
      <c r="TJX28" s="522"/>
      <c r="TJY28" s="523"/>
      <c r="TJZ28" s="104"/>
      <c r="TKA28" s="521"/>
      <c r="TKB28" s="522"/>
      <c r="TKC28" s="522"/>
      <c r="TKD28" s="522"/>
      <c r="TKE28" s="523"/>
      <c r="TKF28" s="104"/>
      <c r="TKG28" s="521"/>
      <c r="TKH28" s="522"/>
      <c r="TKI28" s="522"/>
      <c r="TKJ28" s="522"/>
      <c r="TKK28" s="523"/>
      <c r="TKL28" s="104"/>
      <c r="TKM28" s="521"/>
      <c r="TKN28" s="522"/>
      <c r="TKO28" s="522"/>
      <c r="TKP28" s="522"/>
      <c r="TKQ28" s="523"/>
      <c r="TKR28" s="104"/>
      <c r="TKS28" s="521"/>
      <c r="TKT28" s="522"/>
      <c r="TKU28" s="522"/>
      <c r="TKV28" s="522"/>
      <c r="TKW28" s="523"/>
      <c r="TKX28" s="104"/>
      <c r="TKY28" s="521"/>
      <c r="TKZ28" s="522"/>
      <c r="TLA28" s="522"/>
      <c r="TLB28" s="522"/>
      <c r="TLC28" s="523"/>
      <c r="TLD28" s="104"/>
      <c r="TLE28" s="521"/>
      <c r="TLF28" s="522"/>
      <c r="TLG28" s="522"/>
      <c r="TLH28" s="522"/>
      <c r="TLI28" s="523"/>
      <c r="TLJ28" s="104"/>
      <c r="TLK28" s="521"/>
      <c r="TLL28" s="522"/>
      <c r="TLM28" s="522"/>
      <c r="TLN28" s="522"/>
      <c r="TLO28" s="523"/>
      <c r="TLP28" s="104"/>
      <c r="TLQ28" s="521"/>
      <c r="TLR28" s="522"/>
      <c r="TLS28" s="522"/>
      <c r="TLT28" s="522"/>
      <c r="TLU28" s="523"/>
      <c r="TLV28" s="104"/>
      <c r="TLW28" s="521"/>
      <c r="TLX28" s="522"/>
      <c r="TLY28" s="522"/>
      <c r="TLZ28" s="522"/>
      <c r="TMA28" s="523"/>
      <c r="TMB28" s="104"/>
      <c r="TMC28" s="521"/>
      <c r="TMD28" s="522"/>
      <c r="TME28" s="522"/>
      <c r="TMF28" s="522"/>
      <c r="TMG28" s="523"/>
      <c r="TMH28" s="104"/>
      <c r="TMI28" s="521"/>
      <c r="TMJ28" s="522"/>
      <c r="TMK28" s="522"/>
      <c r="TML28" s="522"/>
      <c r="TMM28" s="523"/>
      <c r="TMN28" s="104"/>
      <c r="TMO28" s="521"/>
      <c r="TMP28" s="522"/>
      <c r="TMQ28" s="522"/>
      <c r="TMR28" s="522"/>
      <c r="TMS28" s="523"/>
      <c r="TMT28" s="104"/>
      <c r="TMU28" s="521"/>
      <c r="TMV28" s="522"/>
      <c r="TMW28" s="522"/>
      <c r="TMX28" s="522"/>
      <c r="TMY28" s="523"/>
      <c r="TMZ28" s="104"/>
      <c r="TNA28" s="521"/>
      <c r="TNB28" s="522"/>
      <c r="TNC28" s="522"/>
      <c r="TND28" s="522"/>
      <c r="TNE28" s="523"/>
      <c r="TNF28" s="104"/>
      <c r="TNG28" s="521"/>
      <c r="TNH28" s="522"/>
      <c r="TNI28" s="522"/>
      <c r="TNJ28" s="522"/>
      <c r="TNK28" s="523"/>
      <c r="TNL28" s="104"/>
      <c r="TNM28" s="521"/>
      <c r="TNN28" s="522"/>
      <c r="TNO28" s="522"/>
      <c r="TNP28" s="522"/>
      <c r="TNQ28" s="523"/>
      <c r="TNR28" s="104"/>
      <c r="TNS28" s="521"/>
      <c r="TNT28" s="522"/>
      <c r="TNU28" s="522"/>
      <c r="TNV28" s="522"/>
      <c r="TNW28" s="523"/>
      <c r="TNX28" s="104"/>
      <c r="TNY28" s="521"/>
      <c r="TNZ28" s="522"/>
      <c r="TOA28" s="522"/>
      <c r="TOB28" s="522"/>
      <c r="TOC28" s="523"/>
      <c r="TOD28" s="104"/>
      <c r="TOE28" s="521"/>
      <c r="TOF28" s="522"/>
      <c r="TOG28" s="522"/>
      <c r="TOH28" s="522"/>
      <c r="TOI28" s="523"/>
      <c r="TOJ28" s="104"/>
      <c r="TOK28" s="521"/>
      <c r="TOL28" s="522"/>
      <c r="TOM28" s="522"/>
      <c r="TON28" s="522"/>
      <c r="TOO28" s="523"/>
      <c r="TOP28" s="104"/>
      <c r="TOQ28" s="521"/>
      <c r="TOR28" s="522"/>
      <c r="TOS28" s="522"/>
      <c r="TOT28" s="522"/>
      <c r="TOU28" s="523"/>
      <c r="TOV28" s="104"/>
      <c r="TOW28" s="521"/>
      <c r="TOX28" s="522"/>
      <c r="TOY28" s="522"/>
      <c r="TOZ28" s="522"/>
      <c r="TPA28" s="523"/>
      <c r="TPB28" s="104"/>
      <c r="TPC28" s="521"/>
      <c r="TPD28" s="522"/>
      <c r="TPE28" s="522"/>
      <c r="TPF28" s="522"/>
      <c r="TPG28" s="523"/>
      <c r="TPH28" s="104"/>
      <c r="TPI28" s="521"/>
      <c r="TPJ28" s="522"/>
      <c r="TPK28" s="522"/>
      <c r="TPL28" s="522"/>
      <c r="TPM28" s="523"/>
      <c r="TPN28" s="104"/>
      <c r="TPO28" s="521"/>
      <c r="TPP28" s="522"/>
      <c r="TPQ28" s="522"/>
      <c r="TPR28" s="522"/>
      <c r="TPS28" s="523"/>
      <c r="TPT28" s="104"/>
      <c r="TPU28" s="521"/>
      <c r="TPV28" s="522"/>
      <c r="TPW28" s="522"/>
      <c r="TPX28" s="522"/>
      <c r="TPY28" s="523"/>
      <c r="TPZ28" s="104"/>
      <c r="TQA28" s="521"/>
      <c r="TQB28" s="522"/>
      <c r="TQC28" s="522"/>
      <c r="TQD28" s="522"/>
      <c r="TQE28" s="523"/>
      <c r="TQF28" s="104"/>
      <c r="TQG28" s="521"/>
      <c r="TQH28" s="522"/>
      <c r="TQI28" s="522"/>
      <c r="TQJ28" s="522"/>
      <c r="TQK28" s="523"/>
      <c r="TQL28" s="104"/>
      <c r="TQM28" s="521"/>
      <c r="TQN28" s="522"/>
      <c r="TQO28" s="522"/>
      <c r="TQP28" s="522"/>
      <c r="TQQ28" s="523"/>
      <c r="TQR28" s="104"/>
      <c r="TQS28" s="521"/>
      <c r="TQT28" s="522"/>
      <c r="TQU28" s="522"/>
      <c r="TQV28" s="522"/>
      <c r="TQW28" s="523"/>
      <c r="TQX28" s="104"/>
      <c r="TQY28" s="521"/>
      <c r="TQZ28" s="522"/>
      <c r="TRA28" s="522"/>
      <c r="TRB28" s="522"/>
      <c r="TRC28" s="523"/>
      <c r="TRD28" s="104"/>
      <c r="TRE28" s="521"/>
      <c r="TRF28" s="522"/>
      <c r="TRG28" s="522"/>
      <c r="TRH28" s="522"/>
      <c r="TRI28" s="523"/>
      <c r="TRJ28" s="104"/>
      <c r="TRK28" s="521"/>
      <c r="TRL28" s="522"/>
      <c r="TRM28" s="522"/>
      <c r="TRN28" s="522"/>
      <c r="TRO28" s="523"/>
      <c r="TRP28" s="104"/>
      <c r="TRQ28" s="521"/>
      <c r="TRR28" s="522"/>
      <c r="TRS28" s="522"/>
      <c r="TRT28" s="522"/>
      <c r="TRU28" s="523"/>
      <c r="TRV28" s="104"/>
      <c r="TRW28" s="521"/>
      <c r="TRX28" s="522"/>
      <c r="TRY28" s="522"/>
      <c r="TRZ28" s="522"/>
      <c r="TSA28" s="523"/>
      <c r="TSB28" s="104"/>
      <c r="TSC28" s="521"/>
      <c r="TSD28" s="522"/>
      <c r="TSE28" s="522"/>
      <c r="TSF28" s="522"/>
      <c r="TSG28" s="523"/>
      <c r="TSH28" s="104"/>
      <c r="TSI28" s="521"/>
      <c r="TSJ28" s="522"/>
      <c r="TSK28" s="522"/>
      <c r="TSL28" s="522"/>
      <c r="TSM28" s="523"/>
      <c r="TSN28" s="104"/>
      <c r="TSO28" s="521"/>
      <c r="TSP28" s="522"/>
      <c r="TSQ28" s="522"/>
      <c r="TSR28" s="522"/>
      <c r="TSS28" s="523"/>
      <c r="TST28" s="104"/>
      <c r="TSU28" s="521"/>
      <c r="TSV28" s="522"/>
      <c r="TSW28" s="522"/>
      <c r="TSX28" s="522"/>
      <c r="TSY28" s="523"/>
      <c r="TSZ28" s="104"/>
      <c r="TTA28" s="521"/>
      <c r="TTB28" s="522"/>
      <c r="TTC28" s="522"/>
      <c r="TTD28" s="522"/>
      <c r="TTE28" s="523"/>
      <c r="TTF28" s="104"/>
      <c r="TTG28" s="521"/>
      <c r="TTH28" s="522"/>
      <c r="TTI28" s="522"/>
      <c r="TTJ28" s="522"/>
      <c r="TTK28" s="523"/>
      <c r="TTL28" s="104"/>
      <c r="TTM28" s="521"/>
      <c r="TTN28" s="522"/>
      <c r="TTO28" s="522"/>
      <c r="TTP28" s="522"/>
      <c r="TTQ28" s="523"/>
      <c r="TTR28" s="104"/>
      <c r="TTS28" s="521"/>
      <c r="TTT28" s="522"/>
      <c r="TTU28" s="522"/>
      <c r="TTV28" s="522"/>
      <c r="TTW28" s="523"/>
      <c r="TTX28" s="104"/>
      <c r="TTY28" s="521"/>
      <c r="TTZ28" s="522"/>
      <c r="TUA28" s="522"/>
      <c r="TUB28" s="522"/>
      <c r="TUC28" s="523"/>
      <c r="TUD28" s="104"/>
      <c r="TUE28" s="521"/>
      <c r="TUF28" s="522"/>
      <c r="TUG28" s="522"/>
      <c r="TUH28" s="522"/>
      <c r="TUI28" s="523"/>
      <c r="TUJ28" s="104"/>
      <c r="TUK28" s="521"/>
      <c r="TUL28" s="522"/>
      <c r="TUM28" s="522"/>
      <c r="TUN28" s="522"/>
      <c r="TUO28" s="523"/>
      <c r="TUP28" s="104"/>
      <c r="TUQ28" s="521"/>
      <c r="TUR28" s="522"/>
      <c r="TUS28" s="522"/>
      <c r="TUT28" s="522"/>
      <c r="TUU28" s="523"/>
      <c r="TUV28" s="104"/>
      <c r="TUW28" s="521"/>
      <c r="TUX28" s="522"/>
      <c r="TUY28" s="522"/>
      <c r="TUZ28" s="522"/>
      <c r="TVA28" s="523"/>
      <c r="TVB28" s="104"/>
      <c r="TVC28" s="521"/>
      <c r="TVD28" s="522"/>
      <c r="TVE28" s="522"/>
      <c r="TVF28" s="522"/>
      <c r="TVG28" s="523"/>
      <c r="TVH28" s="104"/>
      <c r="TVI28" s="521"/>
      <c r="TVJ28" s="522"/>
      <c r="TVK28" s="522"/>
      <c r="TVL28" s="522"/>
      <c r="TVM28" s="523"/>
      <c r="TVN28" s="104"/>
      <c r="TVO28" s="521"/>
      <c r="TVP28" s="522"/>
      <c r="TVQ28" s="522"/>
      <c r="TVR28" s="522"/>
      <c r="TVS28" s="523"/>
      <c r="TVT28" s="104"/>
      <c r="TVU28" s="521"/>
      <c r="TVV28" s="522"/>
      <c r="TVW28" s="522"/>
      <c r="TVX28" s="522"/>
      <c r="TVY28" s="523"/>
      <c r="TVZ28" s="104"/>
      <c r="TWA28" s="521"/>
      <c r="TWB28" s="522"/>
      <c r="TWC28" s="522"/>
      <c r="TWD28" s="522"/>
      <c r="TWE28" s="523"/>
      <c r="TWF28" s="104"/>
      <c r="TWG28" s="521"/>
      <c r="TWH28" s="522"/>
      <c r="TWI28" s="522"/>
      <c r="TWJ28" s="522"/>
      <c r="TWK28" s="523"/>
      <c r="TWL28" s="104"/>
      <c r="TWM28" s="521"/>
      <c r="TWN28" s="522"/>
      <c r="TWO28" s="522"/>
      <c r="TWP28" s="522"/>
      <c r="TWQ28" s="523"/>
      <c r="TWR28" s="104"/>
      <c r="TWS28" s="521"/>
      <c r="TWT28" s="522"/>
      <c r="TWU28" s="522"/>
      <c r="TWV28" s="522"/>
      <c r="TWW28" s="523"/>
      <c r="TWX28" s="104"/>
      <c r="TWY28" s="521"/>
      <c r="TWZ28" s="522"/>
      <c r="TXA28" s="522"/>
      <c r="TXB28" s="522"/>
      <c r="TXC28" s="523"/>
      <c r="TXD28" s="104"/>
      <c r="TXE28" s="521"/>
      <c r="TXF28" s="522"/>
      <c r="TXG28" s="522"/>
      <c r="TXH28" s="522"/>
      <c r="TXI28" s="523"/>
      <c r="TXJ28" s="104"/>
      <c r="TXK28" s="521"/>
      <c r="TXL28" s="522"/>
      <c r="TXM28" s="522"/>
      <c r="TXN28" s="522"/>
      <c r="TXO28" s="523"/>
      <c r="TXP28" s="104"/>
      <c r="TXQ28" s="521"/>
      <c r="TXR28" s="522"/>
      <c r="TXS28" s="522"/>
      <c r="TXT28" s="522"/>
      <c r="TXU28" s="523"/>
      <c r="TXV28" s="104"/>
      <c r="TXW28" s="521"/>
      <c r="TXX28" s="522"/>
      <c r="TXY28" s="522"/>
      <c r="TXZ28" s="522"/>
      <c r="TYA28" s="523"/>
      <c r="TYB28" s="104"/>
      <c r="TYC28" s="521"/>
      <c r="TYD28" s="522"/>
      <c r="TYE28" s="522"/>
      <c r="TYF28" s="522"/>
      <c r="TYG28" s="523"/>
      <c r="TYH28" s="104"/>
      <c r="TYI28" s="521"/>
      <c r="TYJ28" s="522"/>
      <c r="TYK28" s="522"/>
      <c r="TYL28" s="522"/>
      <c r="TYM28" s="523"/>
      <c r="TYN28" s="104"/>
      <c r="TYO28" s="521"/>
      <c r="TYP28" s="522"/>
      <c r="TYQ28" s="522"/>
      <c r="TYR28" s="522"/>
      <c r="TYS28" s="523"/>
      <c r="TYT28" s="104"/>
      <c r="TYU28" s="521"/>
      <c r="TYV28" s="522"/>
      <c r="TYW28" s="522"/>
      <c r="TYX28" s="522"/>
      <c r="TYY28" s="523"/>
      <c r="TYZ28" s="104"/>
      <c r="TZA28" s="521"/>
      <c r="TZB28" s="522"/>
      <c r="TZC28" s="522"/>
      <c r="TZD28" s="522"/>
      <c r="TZE28" s="523"/>
      <c r="TZF28" s="104"/>
      <c r="TZG28" s="521"/>
      <c r="TZH28" s="522"/>
      <c r="TZI28" s="522"/>
      <c r="TZJ28" s="522"/>
      <c r="TZK28" s="523"/>
      <c r="TZL28" s="104"/>
      <c r="TZM28" s="521"/>
      <c r="TZN28" s="522"/>
      <c r="TZO28" s="522"/>
      <c r="TZP28" s="522"/>
      <c r="TZQ28" s="523"/>
      <c r="TZR28" s="104"/>
      <c r="TZS28" s="521"/>
      <c r="TZT28" s="522"/>
      <c r="TZU28" s="522"/>
      <c r="TZV28" s="522"/>
      <c r="TZW28" s="523"/>
      <c r="TZX28" s="104"/>
      <c r="TZY28" s="521"/>
      <c r="TZZ28" s="522"/>
      <c r="UAA28" s="522"/>
      <c r="UAB28" s="522"/>
      <c r="UAC28" s="523"/>
      <c r="UAD28" s="104"/>
      <c r="UAE28" s="521"/>
      <c r="UAF28" s="522"/>
      <c r="UAG28" s="522"/>
      <c r="UAH28" s="522"/>
      <c r="UAI28" s="523"/>
      <c r="UAJ28" s="104"/>
      <c r="UAK28" s="521"/>
      <c r="UAL28" s="522"/>
      <c r="UAM28" s="522"/>
      <c r="UAN28" s="522"/>
      <c r="UAO28" s="523"/>
      <c r="UAP28" s="104"/>
      <c r="UAQ28" s="521"/>
      <c r="UAR28" s="522"/>
      <c r="UAS28" s="522"/>
      <c r="UAT28" s="522"/>
      <c r="UAU28" s="523"/>
      <c r="UAV28" s="104"/>
      <c r="UAW28" s="521"/>
      <c r="UAX28" s="522"/>
      <c r="UAY28" s="522"/>
      <c r="UAZ28" s="522"/>
      <c r="UBA28" s="523"/>
      <c r="UBB28" s="104"/>
      <c r="UBC28" s="521"/>
      <c r="UBD28" s="522"/>
      <c r="UBE28" s="522"/>
      <c r="UBF28" s="522"/>
      <c r="UBG28" s="523"/>
      <c r="UBH28" s="104"/>
      <c r="UBI28" s="521"/>
      <c r="UBJ28" s="522"/>
      <c r="UBK28" s="522"/>
      <c r="UBL28" s="522"/>
      <c r="UBM28" s="523"/>
      <c r="UBN28" s="104"/>
      <c r="UBO28" s="521"/>
      <c r="UBP28" s="522"/>
      <c r="UBQ28" s="522"/>
      <c r="UBR28" s="522"/>
      <c r="UBS28" s="523"/>
      <c r="UBT28" s="104"/>
      <c r="UBU28" s="521"/>
      <c r="UBV28" s="522"/>
      <c r="UBW28" s="522"/>
      <c r="UBX28" s="522"/>
      <c r="UBY28" s="523"/>
      <c r="UBZ28" s="104"/>
      <c r="UCA28" s="521"/>
      <c r="UCB28" s="522"/>
      <c r="UCC28" s="522"/>
      <c r="UCD28" s="522"/>
      <c r="UCE28" s="523"/>
      <c r="UCF28" s="104"/>
      <c r="UCG28" s="521"/>
      <c r="UCH28" s="522"/>
      <c r="UCI28" s="522"/>
      <c r="UCJ28" s="522"/>
      <c r="UCK28" s="523"/>
      <c r="UCL28" s="104"/>
      <c r="UCM28" s="521"/>
      <c r="UCN28" s="522"/>
      <c r="UCO28" s="522"/>
      <c r="UCP28" s="522"/>
      <c r="UCQ28" s="523"/>
      <c r="UCR28" s="104"/>
      <c r="UCS28" s="521"/>
      <c r="UCT28" s="522"/>
      <c r="UCU28" s="522"/>
      <c r="UCV28" s="522"/>
      <c r="UCW28" s="523"/>
      <c r="UCX28" s="104"/>
      <c r="UCY28" s="521"/>
      <c r="UCZ28" s="522"/>
      <c r="UDA28" s="522"/>
      <c r="UDB28" s="522"/>
      <c r="UDC28" s="523"/>
      <c r="UDD28" s="104"/>
      <c r="UDE28" s="521"/>
      <c r="UDF28" s="522"/>
      <c r="UDG28" s="522"/>
      <c r="UDH28" s="522"/>
      <c r="UDI28" s="523"/>
      <c r="UDJ28" s="104"/>
      <c r="UDK28" s="521"/>
      <c r="UDL28" s="522"/>
      <c r="UDM28" s="522"/>
      <c r="UDN28" s="522"/>
      <c r="UDO28" s="523"/>
      <c r="UDP28" s="104"/>
      <c r="UDQ28" s="521"/>
      <c r="UDR28" s="522"/>
      <c r="UDS28" s="522"/>
      <c r="UDT28" s="522"/>
      <c r="UDU28" s="523"/>
      <c r="UDV28" s="104"/>
      <c r="UDW28" s="521"/>
      <c r="UDX28" s="522"/>
      <c r="UDY28" s="522"/>
      <c r="UDZ28" s="522"/>
      <c r="UEA28" s="523"/>
      <c r="UEB28" s="104"/>
      <c r="UEC28" s="521"/>
      <c r="UED28" s="522"/>
      <c r="UEE28" s="522"/>
      <c r="UEF28" s="522"/>
      <c r="UEG28" s="523"/>
      <c r="UEH28" s="104"/>
      <c r="UEI28" s="521"/>
      <c r="UEJ28" s="522"/>
      <c r="UEK28" s="522"/>
      <c r="UEL28" s="522"/>
      <c r="UEM28" s="523"/>
      <c r="UEN28" s="104"/>
      <c r="UEO28" s="521"/>
      <c r="UEP28" s="522"/>
      <c r="UEQ28" s="522"/>
      <c r="UER28" s="522"/>
      <c r="UES28" s="523"/>
      <c r="UET28" s="104"/>
      <c r="UEU28" s="521"/>
      <c r="UEV28" s="522"/>
      <c r="UEW28" s="522"/>
      <c r="UEX28" s="522"/>
      <c r="UEY28" s="523"/>
      <c r="UEZ28" s="104"/>
      <c r="UFA28" s="521"/>
      <c r="UFB28" s="522"/>
      <c r="UFC28" s="522"/>
      <c r="UFD28" s="522"/>
      <c r="UFE28" s="523"/>
      <c r="UFF28" s="104"/>
      <c r="UFG28" s="521"/>
      <c r="UFH28" s="522"/>
      <c r="UFI28" s="522"/>
      <c r="UFJ28" s="522"/>
      <c r="UFK28" s="523"/>
      <c r="UFL28" s="104"/>
      <c r="UFM28" s="521"/>
      <c r="UFN28" s="522"/>
      <c r="UFO28" s="522"/>
      <c r="UFP28" s="522"/>
      <c r="UFQ28" s="523"/>
      <c r="UFR28" s="104"/>
      <c r="UFS28" s="521"/>
      <c r="UFT28" s="522"/>
      <c r="UFU28" s="522"/>
      <c r="UFV28" s="522"/>
      <c r="UFW28" s="523"/>
      <c r="UFX28" s="104"/>
      <c r="UFY28" s="521"/>
      <c r="UFZ28" s="522"/>
      <c r="UGA28" s="522"/>
      <c r="UGB28" s="522"/>
      <c r="UGC28" s="523"/>
      <c r="UGD28" s="104"/>
      <c r="UGE28" s="521"/>
      <c r="UGF28" s="522"/>
      <c r="UGG28" s="522"/>
      <c r="UGH28" s="522"/>
      <c r="UGI28" s="523"/>
      <c r="UGJ28" s="104"/>
      <c r="UGK28" s="521"/>
      <c r="UGL28" s="522"/>
      <c r="UGM28" s="522"/>
      <c r="UGN28" s="522"/>
      <c r="UGO28" s="523"/>
      <c r="UGP28" s="104"/>
      <c r="UGQ28" s="521"/>
      <c r="UGR28" s="522"/>
      <c r="UGS28" s="522"/>
      <c r="UGT28" s="522"/>
      <c r="UGU28" s="523"/>
      <c r="UGV28" s="104"/>
      <c r="UGW28" s="521"/>
      <c r="UGX28" s="522"/>
      <c r="UGY28" s="522"/>
      <c r="UGZ28" s="522"/>
      <c r="UHA28" s="523"/>
      <c r="UHB28" s="104"/>
      <c r="UHC28" s="521"/>
      <c r="UHD28" s="522"/>
      <c r="UHE28" s="522"/>
      <c r="UHF28" s="522"/>
      <c r="UHG28" s="523"/>
      <c r="UHH28" s="104"/>
      <c r="UHI28" s="521"/>
      <c r="UHJ28" s="522"/>
      <c r="UHK28" s="522"/>
      <c r="UHL28" s="522"/>
      <c r="UHM28" s="523"/>
      <c r="UHN28" s="104"/>
      <c r="UHO28" s="521"/>
      <c r="UHP28" s="522"/>
      <c r="UHQ28" s="522"/>
      <c r="UHR28" s="522"/>
      <c r="UHS28" s="523"/>
      <c r="UHT28" s="104"/>
      <c r="UHU28" s="521"/>
      <c r="UHV28" s="522"/>
      <c r="UHW28" s="522"/>
      <c r="UHX28" s="522"/>
      <c r="UHY28" s="523"/>
      <c r="UHZ28" s="104"/>
      <c r="UIA28" s="521"/>
      <c r="UIB28" s="522"/>
      <c r="UIC28" s="522"/>
      <c r="UID28" s="522"/>
      <c r="UIE28" s="523"/>
      <c r="UIF28" s="104"/>
      <c r="UIG28" s="521"/>
      <c r="UIH28" s="522"/>
      <c r="UII28" s="522"/>
      <c r="UIJ28" s="522"/>
      <c r="UIK28" s="523"/>
      <c r="UIL28" s="104"/>
      <c r="UIM28" s="521"/>
      <c r="UIN28" s="522"/>
      <c r="UIO28" s="522"/>
      <c r="UIP28" s="522"/>
      <c r="UIQ28" s="523"/>
      <c r="UIR28" s="104"/>
      <c r="UIS28" s="521"/>
      <c r="UIT28" s="522"/>
      <c r="UIU28" s="522"/>
      <c r="UIV28" s="522"/>
      <c r="UIW28" s="523"/>
      <c r="UIX28" s="104"/>
      <c r="UIY28" s="521"/>
      <c r="UIZ28" s="522"/>
      <c r="UJA28" s="522"/>
      <c r="UJB28" s="522"/>
      <c r="UJC28" s="523"/>
      <c r="UJD28" s="104"/>
      <c r="UJE28" s="521"/>
      <c r="UJF28" s="522"/>
      <c r="UJG28" s="522"/>
      <c r="UJH28" s="522"/>
      <c r="UJI28" s="523"/>
      <c r="UJJ28" s="104"/>
      <c r="UJK28" s="521"/>
      <c r="UJL28" s="522"/>
      <c r="UJM28" s="522"/>
      <c r="UJN28" s="522"/>
      <c r="UJO28" s="523"/>
      <c r="UJP28" s="104"/>
      <c r="UJQ28" s="521"/>
      <c r="UJR28" s="522"/>
      <c r="UJS28" s="522"/>
      <c r="UJT28" s="522"/>
      <c r="UJU28" s="523"/>
      <c r="UJV28" s="104"/>
      <c r="UJW28" s="521"/>
      <c r="UJX28" s="522"/>
      <c r="UJY28" s="522"/>
      <c r="UJZ28" s="522"/>
      <c r="UKA28" s="523"/>
      <c r="UKB28" s="104"/>
      <c r="UKC28" s="521"/>
      <c r="UKD28" s="522"/>
      <c r="UKE28" s="522"/>
      <c r="UKF28" s="522"/>
      <c r="UKG28" s="523"/>
      <c r="UKH28" s="104"/>
      <c r="UKI28" s="521"/>
      <c r="UKJ28" s="522"/>
      <c r="UKK28" s="522"/>
      <c r="UKL28" s="522"/>
      <c r="UKM28" s="523"/>
      <c r="UKN28" s="104"/>
      <c r="UKO28" s="521"/>
      <c r="UKP28" s="522"/>
      <c r="UKQ28" s="522"/>
      <c r="UKR28" s="522"/>
      <c r="UKS28" s="523"/>
      <c r="UKT28" s="104"/>
      <c r="UKU28" s="521"/>
      <c r="UKV28" s="522"/>
      <c r="UKW28" s="522"/>
      <c r="UKX28" s="522"/>
      <c r="UKY28" s="523"/>
      <c r="UKZ28" s="104"/>
      <c r="ULA28" s="521"/>
      <c r="ULB28" s="522"/>
      <c r="ULC28" s="522"/>
      <c r="ULD28" s="522"/>
      <c r="ULE28" s="523"/>
      <c r="ULF28" s="104"/>
      <c r="ULG28" s="521"/>
      <c r="ULH28" s="522"/>
      <c r="ULI28" s="522"/>
      <c r="ULJ28" s="522"/>
      <c r="ULK28" s="523"/>
      <c r="ULL28" s="104"/>
      <c r="ULM28" s="521"/>
      <c r="ULN28" s="522"/>
      <c r="ULO28" s="522"/>
      <c r="ULP28" s="522"/>
      <c r="ULQ28" s="523"/>
      <c r="ULR28" s="104"/>
      <c r="ULS28" s="521"/>
      <c r="ULT28" s="522"/>
      <c r="ULU28" s="522"/>
      <c r="ULV28" s="522"/>
      <c r="ULW28" s="523"/>
      <c r="ULX28" s="104"/>
      <c r="ULY28" s="521"/>
      <c r="ULZ28" s="522"/>
      <c r="UMA28" s="522"/>
      <c r="UMB28" s="522"/>
      <c r="UMC28" s="523"/>
      <c r="UMD28" s="104"/>
      <c r="UME28" s="521"/>
      <c r="UMF28" s="522"/>
      <c r="UMG28" s="522"/>
      <c r="UMH28" s="522"/>
      <c r="UMI28" s="523"/>
      <c r="UMJ28" s="104"/>
      <c r="UMK28" s="521"/>
      <c r="UML28" s="522"/>
      <c r="UMM28" s="522"/>
      <c r="UMN28" s="522"/>
      <c r="UMO28" s="523"/>
      <c r="UMP28" s="104"/>
      <c r="UMQ28" s="521"/>
      <c r="UMR28" s="522"/>
      <c r="UMS28" s="522"/>
      <c r="UMT28" s="522"/>
      <c r="UMU28" s="523"/>
      <c r="UMV28" s="104"/>
      <c r="UMW28" s="521"/>
      <c r="UMX28" s="522"/>
      <c r="UMY28" s="522"/>
      <c r="UMZ28" s="522"/>
      <c r="UNA28" s="523"/>
      <c r="UNB28" s="104"/>
      <c r="UNC28" s="521"/>
      <c r="UND28" s="522"/>
      <c r="UNE28" s="522"/>
      <c r="UNF28" s="522"/>
      <c r="UNG28" s="523"/>
      <c r="UNH28" s="104"/>
      <c r="UNI28" s="521"/>
      <c r="UNJ28" s="522"/>
      <c r="UNK28" s="522"/>
      <c r="UNL28" s="522"/>
      <c r="UNM28" s="523"/>
      <c r="UNN28" s="104"/>
      <c r="UNO28" s="521"/>
      <c r="UNP28" s="522"/>
      <c r="UNQ28" s="522"/>
      <c r="UNR28" s="522"/>
      <c r="UNS28" s="523"/>
      <c r="UNT28" s="104"/>
      <c r="UNU28" s="521"/>
      <c r="UNV28" s="522"/>
      <c r="UNW28" s="522"/>
      <c r="UNX28" s="522"/>
      <c r="UNY28" s="523"/>
      <c r="UNZ28" s="104"/>
      <c r="UOA28" s="521"/>
      <c r="UOB28" s="522"/>
      <c r="UOC28" s="522"/>
      <c r="UOD28" s="522"/>
      <c r="UOE28" s="523"/>
      <c r="UOF28" s="104"/>
      <c r="UOG28" s="521"/>
      <c r="UOH28" s="522"/>
      <c r="UOI28" s="522"/>
      <c r="UOJ28" s="522"/>
      <c r="UOK28" s="523"/>
      <c r="UOL28" s="104"/>
      <c r="UOM28" s="521"/>
      <c r="UON28" s="522"/>
      <c r="UOO28" s="522"/>
      <c r="UOP28" s="522"/>
      <c r="UOQ28" s="523"/>
      <c r="UOR28" s="104"/>
      <c r="UOS28" s="521"/>
      <c r="UOT28" s="522"/>
      <c r="UOU28" s="522"/>
      <c r="UOV28" s="522"/>
      <c r="UOW28" s="523"/>
      <c r="UOX28" s="104"/>
      <c r="UOY28" s="521"/>
      <c r="UOZ28" s="522"/>
      <c r="UPA28" s="522"/>
      <c r="UPB28" s="522"/>
      <c r="UPC28" s="523"/>
      <c r="UPD28" s="104"/>
      <c r="UPE28" s="521"/>
      <c r="UPF28" s="522"/>
      <c r="UPG28" s="522"/>
      <c r="UPH28" s="522"/>
      <c r="UPI28" s="523"/>
      <c r="UPJ28" s="104"/>
      <c r="UPK28" s="521"/>
      <c r="UPL28" s="522"/>
      <c r="UPM28" s="522"/>
      <c r="UPN28" s="522"/>
      <c r="UPO28" s="523"/>
      <c r="UPP28" s="104"/>
      <c r="UPQ28" s="521"/>
      <c r="UPR28" s="522"/>
      <c r="UPS28" s="522"/>
      <c r="UPT28" s="522"/>
      <c r="UPU28" s="523"/>
      <c r="UPV28" s="104"/>
      <c r="UPW28" s="521"/>
      <c r="UPX28" s="522"/>
      <c r="UPY28" s="522"/>
      <c r="UPZ28" s="522"/>
      <c r="UQA28" s="523"/>
      <c r="UQB28" s="104"/>
      <c r="UQC28" s="521"/>
      <c r="UQD28" s="522"/>
      <c r="UQE28" s="522"/>
      <c r="UQF28" s="522"/>
      <c r="UQG28" s="523"/>
      <c r="UQH28" s="104"/>
      <c r="UQI28" s="521"/>
      <c r="UQJ28" s="522"/>
      <c r="UQK28" s="522"/>
      <c r="UQL28" s="522"/>
      <c r="UQM28" s="523"/>
      <c r="UQN28" s="104"/>
      <c r="UQO28" s="521"/>
      <c r="UQP28" s="522"/>
      <c r="UQQ28" s="522"/>
      <c r="UQR28" s="522"/>
      <c r="UQS28" s="523"/>
      <c r="UQT28" s="104"/>
      <c r="UQU28" s="521"/>
      <c r="UQV28" s="522"/>
      <c r="UQW28" s="522"/>
      <c r="UQX28" s="522"/>
      <c r="UQY28" s="523"/>
      <c r="UQZ28" s="104"/>
      <c r="URA28" s="521"/>
      <c r="URB28" s="522"/>
      <c r="URC28" s="522"/>
      <c r="URD28" s="522"/>
      <c r="URE28" s="523"/>
      <c r="URF28" s="104"/>
      <c r="URG28" s="521"/>
      <c r="URH28" s="522"/>
      <c r="URI28" s="522"/>
      <c r="URJ28" s="522"/>
      <c r="URK28" s="523"/>
      <c r="URL28" s="104"/>
      <c r="URM28" s="521"/>
      <c r="URN28" s="522"/>
      <c r="URO28" s="522"/>
      <c r="URP28" s="522"/>
      <c r="URQ28" s="523"/>
      <c r="URR28" s="104"/>
      <c r="URS28" s="521"/>
      <c r="URT28" s="522"/>
      <c r="URU28" s="522"/>
      <c r="URV28" s="522"/>
      <c r="URW28" s="523"/>
      <c r="URX28" s="104"/>
      <c r="URY28" s="521"/>
      <c r="URZ28" s="522"/>
      <c r="USA28" s="522"/>
      <c r="USB28" s="522"/>
      <c r="USC28" s="523"/>
      <c r="USD28" s="104"/>
      <c r="USE28" s="521"/>
      <c r="USF28" s="522"/>
      <c r="USG28" s="522"/>
      <c r="USH28" s="522"/>
      <c r="USI28" s="523"/>
      <c r="USJ28" s="104"/>
      <c r="USK28" s="521"/>
      <c r="USL28" s="522"/>
      <c r="USM28" s="522"/>
      <c r="USN28" s="522"/>
      <c r="USO28" s="523"/>
      <c r="USP28" s="104"/>
      <c r="USQ28" s="521"/>
      <c r="USR28" s="522"/>
      <c r="USS28" s="522"/>
      <c r="UST28" s="522"/>
      <c r="USU28" s="523"/>
      <c r="USV28" s="104"/>
      <c r="USW28" s="521"/>
      <c r="USX28" s="522"/>
      <c r="USY28" s="522"/>
      <c r="USZ28" s="522"/>
      <c r="UTA28" s="523"/>
      <c r="UTB28" s="104"/>
      <c r="UTC28" s="521"/>
      <c r="UTD28" s="522"/>
      <c r="UTE28" s="522"/>
      <c r="UTF28" s="522"/>
      <c r="UTG28" s="523"/>
      <c r="UTH28" s="104"/>
      <c r="UTI28" s="521"/>
      <c r="UTJ28" s="522"/>
      <c r="UTK28" s="522"/>
      <c r="UTL28" s="522"/>
      <c r="UTM28" s="523"/>
      <c r="UTN28" s="104"/>
      <c r="UTO28" s="521"/>
      <c r="UTP28" s="522"/>
      <c r="UTQ28" s="522"/>
      <c r="UTR28" s="522"/>
      <c r="UTS28" s="523"/>
      <c r="UTT28" s="104"/>
      <c r="UTU28" s="521"/>
      <c r="UTV28" s="522"/>
      <c r="UTW28" s="522"/>
      <c r="UTX28" s="522"/>
      <c r="UTY28" s="523"/>
      <c r="UTZ28" s="104"/>
      <c r="UUA28" s="521"/>
      <c r="UUB28" s="522"/>
      <c r="UUC28" s="522"/>
      <c r="UUD28" s="522"/>
      <c r="UUE28" s="523"/>
      <c r="UUF28" s="104"/>
      <c r="UUG28" s="521"/>
      <c r="UUH28" s="522"/>
      <c r="UUI28" s="522"/>
      <c r="UUJ28" s="522"/>
      <c r="UUK28" s="523"/>
      <c r="UUL28" s="104"/>
      <c r="UUM28" s="521"/>
      <c r="UUN28" s="522"/>
      <c r="UUO28" s="522"/>
      <c r="UUP28" s="522"/>
      <c r="UUQ28" s="523"/>
      <c r="UUR28" s="104"/>
      <c r="UUS28" s="521"/>
      <c r="UUT28" s="522"/>
      <c r="UUU28" s="522"/>
      <c r="UUV28" s="522"/>
      <c r="UUW28" s="523"/>
      <c r="UUX28" s="104"/>
      <c r="UUY28" s="521"/>
      <c r="UUZ28" s="522"/>
      <c r="UVA28" s="522"/>
      <c r="UVB28" s="522"/>
      <c r="UVC28" s="523"/>
      <c r="UVD28" s="104"/>
      <c r="UVE28" s="521"/>
      <c r="UVF28" s="522"/>
      <c r="UVG28" s="522"/>
      <c r="UVH28" s="522"/>
      <c r="UVI28" s="523"/>
      <c r="UVJ28" s="104"/>
      <c r="UVK28" s="521"/>
      <c r="UVL28" s="522"/>
      <c r="UVM28" s="522"/>
      <c r="UVN28" s="522"/>
      <c r="UVO28" s="523"/>
      <c r="UVP28" s="104"/>
      <c r="UVQ28" s="521"/>
      <c r="UVR28" s="522"/>
      <c r="UVS28" s="522"/>
      <c r="UVT28" s="522"/>
      <c r="UVU28" s="523"/>
      <c r="UVV28" s="104"/>
      <c r="UVW28" s="521"/>
      <c r="UVX28" s="522"/>
      <c r="UVY28" s="522"/>
      <c r="UVZ28" s="522"/>
      <c r="UWA28" s="523"/>
      <c r="UWB28" s="104"/>
      <c r="UWC28" s="521"/>
      <c r="UWD28" s="522"/>
      <c r="UWE28" s="522"/>
      <c r="UWF28" s="522"/>
      <c r="UWG28" s="523"/>
      <c r="UWH28" s="104"/>
      <c r="UWI28" s="521"/>
      <c r="UWJ28" s="522"/>
      <c r="UWK28" s="522"/>
      <c r="UWL28" s="522"/>
      <c r="UWM28" s="523"/>
      <c r="UWN28" s="104"/>
      <c r="UWO28" s="521"/>
      <c r="UWP28" s="522"/>
      <c r="UWQ28" s="522"/>
      <c r="UWR28" s="522"/>
      <c r="UWS28" s="523"/>
      <c r="UWT28" s="104"/>
      <c r="UWU28" s="521"/>
      <c r="UWV28" s="522"/>
      <c r="UWW28" s="522"/>
      <c r="UWX28" s="522"/>
      <c r="UWY28" s="523"/>
      <c r="UWZ28" s="104"/>
      <c r="UXA28" s="521"/>
      <c r="UXB28" s="522"/>
      <c r="UXC28" s="522"/>
      <c r="UXD28" s="522"/>
      <c r="UXE28" s="523"/>
      <c r="UXF28" s="104"/>
      <c r="UXG28" s="521"/>
      <c r="UXH28" s="522"/>
      <c r="UXI28" s="522"/>
      <c r="UXJ28" s="522"/>
      <c r="UXK28" s="523"/>
      <c r="UXL28" s="104"/>
      <c r="UXM28" s="521"/>
      <c r="UXN28" s="522"/>
      <c r="UXO28" s="522"/>
      <c r="UXP28" s="522"/>
      <c r="UXQ28" s="523"/>
      <c r="UXR28" s="104"/>
      <c r="UXS28" s="521"/>
      <c r="UXT28" s="522"/>
      <c r="UXU28" s="522"/>
      <c r="UXV28" s="522"/>
      <c r="UXW28" s="523"/>
      <c r="UXX28" s="104"/>
      <c r="UXY28" s="521"/>
      <c r="UXZ28" s="522"/>
      <c r="UYA28" s="522"/>
      <c r="UYB28" s="522"/>
      <c r="UYC28" s="523"/>
      <c r="UYD28" s="104"/>
      <c r="UYE28" s="521"/>
      <c r="UYF28" s="522"/>
      <c r="UYG28" s="522"/>
      <c r="UYH28" s="522"/>
      <c r="UYI28" s="523"/>
      <c r="UYJ28" s="104"/>
      <c r="UYK28" s="521"/>
      <c r="UYL28" s="522"/>
      <c r="UYM28" s="522"/>
      <c r="UYN28" s="522"/>
      <c r="UYO28" s="523"/>
      <c r="UYP28" s="104"/>
      <c r="UYQ28" s="521"/>
      <c r="UYR28" s="522"/>
      <c r="UYS28" s="522"/>
      <c r="UYT28" s="522"/>
      <c r="UYU28" s="523"/>
      <c r="UYV28" s="104"/>
      <c r="UYW28" s="521"/>
      <c r="UYX28" s="522"/>
      <c r="UYY28" s="522"/>
      <c r="UYZ28" s="522"/>
      <c r="UZA28" s="523"/>
      <c r="UZB28" s="104"/>
      <c r="UZC28" s="521"/>
      <c r="UZD28" s="522"/>
      <c r="UZE28" s="522"/>
      <c r="UZF28" s="522"/>
      <c r="UZG28" s="523"/>
      <c r="UZH28" s="104"/>
      <c r="UZI28" s="521"/>
      <c r="UZJ28" s="522"/>
      <c r="UZK28" s="522"/>
      <c r="UZL28" s="522"/>
      <c r="UZM28" s="523"/>
      <c r="UZN28" s="104"/>
      <c r="UZO28" s="521"/>
      <c r="UZP28" s="522"/>
      <c r="UZQ28" s="522"/>
      <c r="UZR28" s="522"/>
      <c r="UZS28" s="523"/>
      <c r="UZT28" s="104"/>
      <c r="UZU28" s="521"/>
      <c r="UZV28" s="522"/>
      <c r="UZW28" s="522"/>
      <c r="UZX28" s="522"/>
      <c r="UZY28" s="523"/>
      <c r="UZZ28" s="104"/>
      <c r="VAA28" s="521"/>
      <c r="VAB28" s="522"/>
      <c r="VAC28" s="522"/>
      <c r="VAD28" s="522"/>
      <c r="VAE28" s="523"/>
      <c r="VAF28" s="104"/>
      <c r="VAG28" s="521"/>
      <c r="VAH28" s="522"/>
      <c r="VAI28" s="522"/>
      <c r="VAJ28" s="522"/>
      <c r="VAK28" s="523"/>
      <c r="VAL28" s="104"/>
      <c r="VAM28" s="521"/>
      <c r="VAN28" s="522"/>
      <c r="VAO28" s="522"/>
      <c r="VAP28" s="522"/>
      <c r="VAQ28" s="523"/>
      <c r="VAR28" s="104"/>
      <c r="VAS28" s="521"/>
      <c r="VAT28" s="522"/>
      <c r="VAU28" s="522"/>
      <c r="VAV28" s="522"/>
      <c r="VAW28" s="523"/>
      <c r="VAX28" s="104"/>
      <c r="VAY28" s="521"/>
      <c r="VAZ28" s="522"/>
      <c r="VBA28" s="522"/>
      <c r="VBB28" s="522"/>
      <c r="VBC28" s="523"/>
      <c r="VBD28" s="104"/>
      <c r="VBE28" s="521"/>
      <c r="VBF28" s="522"/>
      <c r="VBG28" s="522"/>
      <c r="VBH28" s="522"/>
      <c r="VBI28" s="523"/>
      <c r="VBJ28" s="104"/>
      <c r="VBK28" s="521"/>
      <c r="VBL28" s="522"/>
      <c r="VBM28" s="522"/>
      <c r="VBN28" s="522"/>
      <c r="VBO28" s="523"/>
      <c r="VBP28" s="104"/>
      <c r="VBQ28" s="521"/>
      <c r="VBR28" s="522"/>
      <c r="VBS28" s="522"/>
      <c r="VBT28" s="522"/>
      <c r="VBU28" s="523"/>
      <c r="VBV28" s="104"/>
      <c r="VBW28" s="521"/>
      <c r="VBX28" s="522"/>
      <c r="VBY28" s="522"/>
      <c r="VBZ28" s="522"/>
      <c r="VCA28" s="523"/>
      <c r="VCB28" s="104"/>
      <c r="VCC28" s="521"/>
      <c r="VCD28" s="522"/>
      <c r="VCE28" s="522"/>
      <c r="VCF28" s="522"/>
      <c r="VCG28" s="523"/>
      <c r="VCH28" s="104"/>
      <c r="VCI28" s="521"/>
      <c r="VCJ28" s="522"/>
      <c r="VCK28" s="522"/>
      <c r="VCL28" s="522"/>
      <c r="VCM28" s="523"/>
      <c r="VCN28" s="104"/>
      <c r="VCO28" s="521"/>
      <c r="VCP28" s="522"/>
      <c r="VCQ28" s="522"/>
      <c r="VCR28" s="522"/>
      <c r="VCS28" s="523"/>
      <c r="VCT28" s="104"/>
      <c r="VCU28" s="521"/>
      <c r="VCV28" s="522"/>
      <c r="VCW28" s="522"/>
      <c r="VCX28" s="522"/>
      <c r="VCY28" s="523"/>
      <c r="VCZ28" s="104"/>
      <c r="VDA28" s="521"/>
      <c r="VDB28" s="522"/>
      <c r="VDC28" s="522"/>
      <c r="VDD28" s="522"/>
      <c r="VDE28" s="523"/>
      <c r="VDF28" s="104"/>
      <c r="VDG28" s="521"/>
      <c r="VDH28" s="522"/>
      <c r="VDI28" s="522"/>
      <c r="VDJ28" s="522"/>
      <c r="VDK28" s="523"/>
      <c r="VDL28" s="104"/>
      <c r="VDM28" s="521"/>
      <c r="VDN28" s="522"/>
      <c r="VDO28" s="522"/>
      <c r="VDP28" s="522"/>
      <c r="VDQ28" s="523"/>
      <c r="VDR28" s="104"/>
      <c r="VDS28" s="521"/>
      <c r="VDT28" s="522"/>
      <c r="VDU28" s="522"/>
      <c r="VDV28" s="522"/>
      <c r="VDW28" s="523"/>
      <c r="VDX28" s="104"/>
      <c r="VDY28" s="521"/>
      <c r="VDZ28" s="522"/>
      <c r="VEA28" s="522"/>
      <c r="VEB28" s="522"/>
      <c r="VEC28" s="523"/>
      <c r="VED28" s="104"/>
      <c r="VEE28" s="521"/>
      <c r="VEF28" s="522"/>
      <c r="VEG28" s="522"/>
      <c r="VEH28" s="522"/>
      <c r="VEI28" s="523"/>
      <c r="VEJ28" s="104"/>
      <c r="VEK28" s="521"/>
      <c r="VEL28" s="522"/>
      <c r="VEM28" s="522"/>
      <c r="VEN28" s="522"/>
      <c r="VEO28" s="523"/>
      <c r="VEP28" s="104"/>
      <c r="VEQ28" s="521"/>
      <c r="VER28" s="522"/>
      <c r="VES28" s="522"/>
      <c r="VET28" s="522"/>
      <c r="VEU28" s="523"/>
      <c r="VEV28" s="104"/>
      <c r="VEW28" s="521"/>
      <c r="VEX28" s="522"/>
      <c r="VEY28" s="522"/>
      <c r="VEZ28" s="522"/>
      <c r="VFA28" s="523"/>
      <c r="VFB28" s="104"/>
      <c r="VFC28" s="521"/>
      <c r="VFD28" s="522"/>
      <c r="VFE28" s="522"/>
      <c r="VFF28" s="522"/>
      <c r="VFG28" s="523"/>
      <c r="VFH28" s="104"/>
      <c r="VFI28" s="521"/>
      <c r="VFJ28" s="522"/>
      <c r="VFK28" s="522"/>
      <c r="VFL28" s="522"/>
      <c r="VFM28" s="523"/>
      <c r="VFN28" s="104"/>
      <c r="VFO28" s="521"/>
      <c r="VFP28" s="522"/>
      <c r="VFQ28" s="522"/>
      <c r="VFR28" s="522"/>
      <c r="VFS28" s="523"/>
      <c r="VFT28" s="104"/>
      <c r="VFU28" s="521"/>
      <c r="VFV28" s="522"/>
      <c r="VFW28" s="522"/>
      <c r="VFX28" s="522"/>
      <c r="VFY28" s="523"/>
      <c r="VFZ28" s="104"/>
      <c r="VGA28" s="521"/>
      <c r="VGB28" s="522"/>
      <c r="VGC28" s="522"/>
      <c r="VGD28" s="522"/>
      <c r="VGE28" s="523"/>
      <c r="VGF28" s="104"/>
      <c r="VGG28" s="521"/>
      <c r="VGH28" s="522"/>
      <c r="VGI28" s="522"/>
      <c r="VGJ28" s="522"/>
      <c r="VGK28" s="523"/>
      <c r="VGL28" s="104"/>
      <c r="VGM28" s="521"/>
      <c r="VGN28" s="522"/>
      <c r="VGO28" s="522"/>
      <c r="VGP28" s="522"/>
      <c r="VGQ28" s="523"/>
      <c r="VGR28" s="104"/>
      <c r="VGS28" s="521"/>
      <c r="VGT28" s="522"/>
      <c r="VGU28" s="522"/>
      <c r="VGV28" s="522"/>
      <c r="VGW28" s="523"/>
      <c r="VGX28" s="104"/>
      <c r="VGY28" s="521"/>
      <c r="VGZ28" s="522"/>
      <c r="VHA28" s="522"/>
      <c r="VHB28" s="522"/>
      <c r="VHC28" s="523"/>
      <c r="VHD28" s="104"/>
      <c r="VHE28" s="521"/>
      <c r="VHF28" s="522"/>
      <c r="VHG28" s="522"/>
      <c r="VHH28" s="522"/>
      <c r="VHI28" s="523"/>
      <c r="VHJ28" s="104"/>
      <c r="VHK28" s="521"/>
      <c r="VHL28" s="522"/>
      <c r="VHM28" s="522"/>
      <c r="VHN28" s="522"/>
      <c r="VHO28" s="523"/>
      <c r="VHP28" s="104"/>
      <c r="VHQ28" s="521"/>
      <c r="VHR28" s="522"/>
      <c r="VHS28" s="522"/>
      <c r="VHT28" s="522"/>
      <c r="VHU28" s="523"/>
      <c r="VHV28" s="104"/>
      <c r="VHW28" s="521"/>
      <c r="VHX28" s="522"/>
      <c r="VHY28" s="522"/>
      <c r="VHZ28" s="522"/>
      <c r="VIA28" s="523"/>
      <c r="VIB28" s="104"/>
      <c r="VIC28" s="521"/>
      <c r="VID28" s="522"/>
      <c r="VIE28" s="522"/>
      <c r="VIF28" s="522"/>
      <c r="VIG28" s="523"/>
      <c r="VIH28" s="104"/>
      <c r="VII28" s="521"/>
      <c r="VIJ28" s="522"/>
      <c r="VIK28" s="522"/>
      <c r="VIL28" s="522"/>
      <c r="VIM28" s="523"/>
      <c r="VIN28" s="104"/>
      <c r="VIO28" s="521"/>
      <c r="VIP28" s="522"/>
      <c r="VIQ28" s="522"/>
      <c r="VIR28" s="522"/>
      <c r="VIS28" s="523"/>
      <c r="VIT28" s="104"/>
      <c r="VIU28" s="521"/>
      <c r="VIV28" s="522"/>
      <c r="VIW28" s="522"/>
      <c r="VIX28" s="522"/>
      <c r="VIY28" s="523"/>
      <c r="VIZ28" s="104"/>
      <c r="VJA28" s="521"/>
      <c r="VJB28" s="522"/>
      <c r="VJC28" s="522"/>
      <c r="VJD28" s="522"/>
      <c r="VJE28" s="523"/>
      <c r="VJF28" s="104"/>
      <c r="VJG28" s="521"/>
      <c r="VJH28" s="522"/>
      <c r="VJI28" s="522"/>
      <c r="VJJ28" s="522"/>
      <c r="VJK28" s="523"/>
      <c r="VJL28" s="104"/>
      <c r="VJM28" s="521"/>
      <c r="VJN28" s="522"/>
      <c r="VJO28" s="522"/>
      <c r="VJP28" s="522"/>
      <c r="VJQ28" s="523"/>
      <c r="VJR28" s="104"/>
      <c r="VJS28" s="521"/>
      <c r="VJT28" s="522"/>
      <c r="VJU28" s="522"/>
      <c r="VJV28" s="522"/>
      <c r="VJW28" s="523"/>
      <c r="VJX28" s="104"/>
      <c r="VJY28" s="521"/>
      <c r="VJZ28" s="522"/>
      <c r="VKA28" s="522"/>
      <c r="VKB28" s="522"/>
      <c r="VKC28" s="523"/>
      <c r="VKD28" s="104"/>
      <c r="VKE28" s="521"/>
      <c r="VKF28" s="522"/>
      <c r="VKG28" s="522"/>
      <c r="VKH28" s="522"/>
      <c r="VKI28" s="523"/>
      <c r="VKJ28" s="104"/>
      <c r="VKK28" s="521"/>
      <c r="VKL28" s="522"/>
      <c r="VKM28" s="522"/>
      <c r="VKN28" s="522"/>
      <c r="VKO28" s="523"/>
      <c r="VKP28" s="104"/>
      <c r="VKQ28" s="521"/>
      <c r="VKR28" s="522"/>
      <c r="VKS28" s="522"/>
      <c r="VKT28" s="522"/>
      <c r="VKU28" s="523"/>
      <c r="VKV28" s="104"/>
      <c r="VKW28" s="521"/>
      <c r="VKX28" s="522"/>
      <c r="VKY28" s="522"/>
      <c r="VKZ28" s="522"/>
      <c r="VLA28" s="523"/>
      <c r="VLB28" s="104"/>
      <c r="VLC28" s="521"/>
      <c r="VLD28" s="522"/>
      <c r="VLE28" s="522"/>
      <c r="VLF28" s="522"/>
      <c r="VLG28" s="523"/>
      <c r="VLH28" s="104"/>
      <c r="VLI28" s="521"/>
      <c r="VLJ28" s="522"/>
      <c r="VLK28" s="522"/>
      <c r="VLL28" s="522"/>
      <c r="VLM28" s="523"/>
      <c r="VLN28" s="104"/>
      <c r="VLO28" s="521"/>
      <c r="VLP28" s="522"/>
      <c r="VLQ28" s="522"/>
      <c r="VLR28" s="522"/>
      <c r="VLS28" s="523"/>
      <c r="VLT28" s="104"/>
      <c r="VLU28" s="521"/>
      <c r="VLV28" s="522"/>
      <c r="VLW28" s="522"/>
      <c r="VLX28" s="522"/>
      <c r="VLY28" s="523"/>
      <c r="VLZ28" s="104"/>
      <c r="VMA28" s="521"/>
      <c r="VMB28" s="522"/>
      <c r="VMC28" s="522"/>
      <c r="VMD28" s="522"/>
      <c r="VME28" s="523"/>
      <c r="VMF28" s="104"/>
      <c r="VMG28" s="521"/>
      <c r="VMH28" s="522"/>
      <c r="VMI28" s="522"/>
      <c r="VMJ28" s="522"/>
      <c r="VMK28" s="523"/>
      <c r="VML28" s="104"/>
      <c r="VMM28" s="521"/>
      <c r="VMN28" s="522"/>
      <c r="VMO28" s="522"/>
      <c r="VMP28" s="522"/>
      <c r="VMQ28" s="523"/>
      <c r="VMR28" s="104"/>
      <c r="VMS28" s="521"/>
      <c r="VMT28" s="522"/>
      <c r="VMU28" s="522"/>
      <c r="VMV28" s="522"/>
      <c r="VMW28" s="523"/>
      <c r="VMX28" s="104"/>
      <c r="VMY28" s="521"/>
      <c r="VMZ28" s="522"/>
      <c r="VNA28" s="522"/>
      <c r="VNB28" s="522"/>
      <c r="VNC28" s="523"/>
      <c r="VND28" s="104"/>
      <c r="VNE28" s="521"/>
      <c r="VNF28" s="522"/>
      <c r="VNG28" s="522"/>
      <c r="VNH28" s="522"/>
      <c r="VNI28" s="523"/>
      <c r="VNJ28" s="104"/>
      <c r="VNK28" s="521"/>
      <c r="VNL28" s="522"/>
      <c r="VNM28" s="522"/>
      <c r="VNN28" s="522"/>
      <c r="VNO28" s="523"/>
      <c r="VNP28" s="104"/>
      <c r="VNQ28" s="521"/>
      <c r="VNR28" s="522"/>
      <c r="VNS28" s="522"/>
      <c r="VNT28" s="522"/>
      <c r="VNU28" s="523"/>
      <c r="VNV28" s="104"/>
      <c r="VNW28" s="521"/>
      <c r="VNX28" s="522"/>
      <c r="VNY28" s="522"/>
      <c r="VNZ28" s="522"/>
      <c r="VOA28" s="523"/>
      <c r="VOB28" s="104"/>
      <c r="VOC28" s="521"/>
      <c r="VOD28" s="522"/>
      <c r="VOE28" s="522"/>
      <c r="VOF28" s="522"/>
      <c r="VOG28" s="523"/>
      <c r="VOH28" s="104"/>
      <c r="VOI28" s="521"/>
      <c r="VOJ28" s="522"/>
      <c r="VOK28" s="522"/>
      <c r="VOL28" s="522"/>
      <c r="VOM28" s="523"/>
      <c r="VON28" s="104"/>
      <c r="VOO28" s="521"/>
      <c r="VOP28" s="522"/>
      <c r="VOQ28" s="522"/>
      <c r="VOR28" s="522"/>
      <c r="VOS28" s="523"/>
      <c r="VOT28" s="104"/>
      <c r="VOU28" s="521"/>
      <c r="VOV28" s="522"/>
      <c r="VOW28" s="522"/>
      <c r="VOX28" s="522"/>
      <c r="VOY28" s="523"/>
      <c r="VOZ28" s="104"/>
      <c r="VPA28" s="521"/>
      <c r="VPB28" s="522"/>
      <c r="VPC28" s="522"/>
      <c r="VPD28" s="522"/>
      <c r="VPE28" s="523"/>
      <c r="VPF28" s="104"/>
      <c r="VPG28" s="521"/>
      <c r="VPH28" s="522"/>
      <c r="VPI28" s="522"/>
      <c r="VPJ28" s="522"/>
      <c r="VPK28" s="523"/>
      <c r="VPL28" s="104"/>
      <c r="VPM28" s="521"/>
      <c r="VPN28" s="522"/>
      <c r="VPO28" s="522"/>
      <c r="VPP28" s="522"/>
      <c r="VPQ28" s="523"/>
      <c r="VPR28" s="104"/>
      <c r="VPS28" s="521"/>
      <c r="VPT28" s="522"/>
      <c r="VPU28" s="522"/>
      <c r="VPV28" s="522"/>
      <c r="VPW28" s="523"/>
      <c r="VPX28" s="104"/>
      <c r="VPY28" s="521"/>
      <c r="VPZ28" s="522"/>
      <c r="VQA28" s="522"/>
      <c r="VQB28" s="522"/>
      <c r="VQC28" s="523"/>
      <c r="VQD28" s="104"/>
      <c r="VQE28" s="521"/>
      <c r="VQF28" s="522"/>
      <c r="VQG28" s="522"/>
      <c r="VQH28" s="522"/>
      <c r="VQI28" s="523"/>
      <c r="VQJ28" s="104"/>
      <c r="VQK28" s="521"/>
      <c r="VQL28" s="522"/>
      <c r="VQM28" s="522"/>
      <c r="VQN28" s="522"/>
      <c r="VQO28" s="523"/>
      <c r="VQP28" s="104"/>
      <c r="VQQ28" s="521"/>
      <c r="VQR28" s="522"/>
      <c r="VQS28" s="522"/>
      <c r="VQT28" s="522"/>
      <c r="VQU28" s="523"/>
      <c r="VQV28" s="104"/>
      <c r="VQW28" s="521"/>
      <c r="VQX28" s="522"/>
      <c r="VQY28" s="522"/>
      <c r="VQZ28" s="522"/>
      <c r="VRA28" s="523"/>
      <c r="VRB28" s="104"/>
      <c r="VRC28" s="521"/>
      <c r="VRD28" s="522"/>
      <c r="VRE28" s="522"/>
      <c r="VRF28" s="522"/>
      <c r="VRG28" s="523"/>
      <c r="VRH28" s="104"/>
      <c r="VRI28" s="521"/>
      <c r="VRJ28" s="522"/>
      <c r="VRK28" s="522"/>
      <c r="VRL28" s="522"/>
      <c r="VRM28" s="523"/>
      <c r="VRN28" s="104"/>
      <c r="VRO28" s="521"/>
      <c r="VRP28" s="522"/>
      <c r="VRQ28" s="522"/>
      <c r="VRR28" s="522"/>
      <c r="VRS28" s="523"/>
      <c r="VRT28" s="104"/>
      <c r="VRU28" s="521"/>
      <c r="VRV28" s="522"/>
      <c r="VRW28" s="522"/>
      <c r="VRX28" s="522"/>
      <c r="VRY28" s="523"/>
      <c r="VRZ28" s="104"/>
      <c r="VSA28" s="521"/>
      <c r="VSB28" s="522"/>
      <c r="VSC28" s="522"/>
      <c r="VSD28" s="522"/>
      <c r="VSE28" s="523"/>
      <c r="VSF28" s="104"/>
      <c r="VSG28" s="521"/>
      <c r="VSH28" s="522"/>
      <c r="VSI28" s="522"/>
      <c r="VSJ28" s="522"/>
      <c r="VSK28" s="523"/>
      <c r="VSL28" s="104"/>
      <c r="VSM28" s="521"/>
      <c r="VSN28" s="522"/>
      <c r="VSO28" s="522"/>
      <c r="VSP28" s="522"/>
      <c r="VSQ28" s="523"/>
      <c r="VSR28" s="104"/>
      <c r="VSS28" s="521"/>
      <c r="VST28" s="522"/>
      <c r="VSU28" s="522"/>
      <c r="VSV28" s="522"/>
      <c r="VSW28" s="523"/>
      <c r="VSX28" s="104"/>
      <c r="VSY28" s="521"/>
      <c r="VSZ28" s="522"/>
      <c r="VTA28" s="522"/>
      <c r="VTB28" s="522"/>
      <c r="VTC28" s="523"/>
      <c r="VTD28" s="104"/>
      <c r="VTE28" s="521"/>
      <c r="VTF28" s="522"/>
      <c r="VTG28" s="522"/>
      <c r="VTH28" s="522"/>
      <c r="VTI28" s="523"/>
      <c r="VTJ28" s="104"/>
      <c r="VTK28" s="521"/>
      <c r="VTL28" s="522"/>
      <c r="VTM28" s="522"/>
      <c r="VTN28" s="522"/>
      <c r="VTO28" s="523"/>
      <c r="VTP28" s="104"/>
      <c r="VTQ28" s="521"/>
      <c r="VTR28" s="522"/>
      <c r="VTS28" s="522"/>
      <c r="VTT28" s="522"/>
      <c r="VTU28" s="523"/>
      <c r="VTV28" s="104"/>
      <c r="VTW28" s="521"/>
      <c r="VTX28" s="522"/>
      <c r="VTY28" s="522"/>
      <c r="VTZ28" s="522"/>
      <c r="VUA28" s="523"/>
      <c r="VUB28" s="104"/>
      <c r="VUC28" s="521"/>
      <c r="VUD28" s="522"/>
      <c r="VUE28" s="522"/>
      <c r="VUF28" s="522"/>
      <c r="VUG28" s="523"/>
      <c r="VUH28" s="104"/>
      <c r="VUI28" s="521"/>
      <c r="VUJ28" s="522"/>
      <c r="VUK28" s="522"/>
      <c r="VUL28" s="522"/>
      <c r="VUM28" s="523"/>
      <c r="VUN28" s="104"/>
      <c r="VUO28" s="521"/>
      <c r="VUP28" s="522"/>
      <c r="VUQ28" s="522"/>
      <c r="VUR28" s="522"/>
      <c r="VUS28" s="523"/>
      <c r="VUT28" s="104"/>
      <c r="VUU28" s="521"/>
      <c r="VUV28" s="522"/>
      <c r="VUW28" s="522"/>
      <c r="VUX28" s="522"/>
      <c r="VUY28" s="523"/>
      <c r="VUZ28" s="104"/>
      <c r="VVA28" s="521"/>
      <c r="VVB28" s="522"/>
      <c r="VVC28" s="522"/>
      <c r="VVD28" s="522"/>
      <c r="VVE28" s="523"/>
      <c r="VVF28" s="104"/>
      <c r="VVG28" s="521"/>
      <c r="VVH28" s="522"/>
      <c r="VVI28" s="522"/>
      <c r="VVJ28" s="522"/>
      <c r="VVK28" s="523"/>
      <c r="VVL28" s="104"/>
      <c r="VVM28" s="521"/>
      <c r="VVN28" s="522"/>
      <c r="VVO28" s="522"/>
      <c r="VVP28" s="522"/>
      <c r="VVQ28" s="523"/>
      <c r="VVR28" s="104"/>
      <c r="VVS28" s="521"/>
      <c r="VVT28" s="522"/>
      <c r="VVU28" s="522"/>
      <c r="VVV28" s="522"/>
      <c r="VVW28" s="523"/>
      <c r="VVX28" s="104"/>
      <c r="VVY28" s="521"/>
      <c r="VVZ28" s="522"/>
      <c r="VWA28" s="522"/>
      <c r="VWB28" s="522"/>
      <c r="VWC28" s="523"/>
      <c r="VWD28" s="104"/>
      <c r="VWE28" s="521"/>
      <c r="VWF28" s="522"/>
      <c r="VWG28" s="522"/>
      <c r="VWH28" s="522"/>
      <c r="VWI28" s="523"/>
      <c r="VWJ28" s="104"/>
      <c r="VWK28" s="521"/>
      <c r="VWL28" s="522"/>
      <c r="VWM28" s="522"/>
      <c r="VWN28" s="522"/>
      <c r="VWO28" s="523"/>
      <c r="VWP28" s="104"/>
      <c r="VWQ28" s="521"/>
      <c r="VWR28" s="522"/>
      <c r="VWS28" s="522"/>
      <c r="VWT28" s="522"/>
      <c r="VWU28" s="523"/>
      <c r="VWV28" s="104"/>
      <c r="VWW28" s="521"/>
      <c r="VWX28" s="522"/>
      <c r="VWY28" s="522"/>
      <c r="VWZ28" s="522"/>
      <c r="VXA28" s="523"/>
      <c r="VXB28" s="104"/>
      <c r="VXC28" s="521"/>
      <c r="VXD28" s="522"/>
      <c r="VXE28" s="522"/>
      <c r="VXF28" s="522"/>
      <c r="VXG28" s="523"/>
      <c r="VXH28" s="104"/>
      <c r="VXI28" s="521"/>
      <c r="VXJ28" s="522"/>
      <c r="VXK28" s="522"/>
      <c r="VXL28" s="522"/>
      <c r="VXM28" s="523"/>
      <c r="VXN28" s="104"/>
      <c r="VXO28" s="521"/>
      <c r="VXP28" s="522"/>
      <c r="VXQ28" s="522"/>
      <c r="VXR28" s="522"/>
      <c r="VXS28" s="523"/>
      <c r="VXT28" s="104"/>
      <c r="VXU28" s="521"/>
      <c r="VXV28" s="522"/>
      <c r="VXW28" s="522"/>
      <c r="VXX28" s="522"/>
      <c r="VXY28" s="523"/>
      <c r="VXZ28" s="104"/>
      <c r="VYA28" s="521"/>
      <c r="VYB28" s="522"/>
      <c r="VYC28" s="522"/>
      <c r="VYD28" s="522"/>
      <c r="VYE28" s="523"/>
      <c r="VYF28" s="104"/>
      <c r="VYG28" s="521"/>
      <c r="VYH28" s="522"/>
      <c r="VYI28" s="522"/>
      <c r="VYJ28" s="522"/>
      <c r="VYK28" s="523"/>
      <c r="VYL28" s="104"/>
      <c r="VYM28" s="521"/>
      <c r="VYN28" s="522"/>
      <c r="VYO28" s="522"/>
      <c r="VYP28" s="522"/>
      <c r="VYQ28" s="523"/>
      <c r="VYR28" s="104"/>
      <c r="VYS28" s="521"/>
      <c r="VYT28" s="522"/>
      <c r="VYU28" s="522"/>
      <c r="VYV28" s="522"/>
      <c r="VYW28" s="523"/>
      <c r="VYX28" s="104"/>
      <c r="VYY28" s="521"/>
      <c r="VYZ28" s="522"/>
      <c r="VZA28" s="522"/>
      <c r="VZB28" s="522"/>
      <c r="VZC28" s="523"/>
      <c r="VZD28" s="104"/>
      <c r="VZE28" s="521"/>
      <c r="VZF28" s="522"/>
      <c r="VZG28" s="522"/>
      <c r="VZH28" s="522"/>
      <c r="VZI28" s="523"/>
      <c r="VZJ28" s="104"/>
      <c r="VZK28" s="521"/>
      <c r="VZL28" s="522"/>
      <c r="VZM28" s="522"/>
      <c r="VZN28" s="522"/>
      <c r="VZO28" s="523"/>
      <c r="VZP28" s="104"/>
      <c r="VZQ28" s="521"/>
      <c r="VZR28" s="522"/>
      <c r="VZS28" s="522"/>
      <c r="VZT28" s="522"/>
      <c r="VZU28" s="523"/>
      <c r="VZV28" s="104"/>
      <c r="VZW28" s="521"/>
      <c r="VZX28" s="522"/>
      <c r="VZY28" s="522"/>
      <c r="VZZ28" s="522"/>
      <c r="WAA28" s="523"/>
      <c r="WAB28" s="104"/>
      <c r="WAC28" s="521"/>
      <c r="WAD28" s="522"/>
      <c r="WAE28" s="522"/>
      <c r="WAF28" s="522"/>
      <c r="WAG28" s="523"/>
      <c r="WAH28" s="104"/>
      <c r="WAI28" s="521"/>
      <c r="WAJ28" s="522"/>
      <c r="WAK28" s="522"/>
      <c r="WAL28" s="522"/>
      <c r="WAM28" s="523"/>
      <c r="WAN28" s="104"/>
      <c r="WAO28" s="521"/>
      <c r="WAP28" s="522"/>
      <c r="WAQ28" s="522"/>
      <c r="WAR28" s="522"/>
      <c r="WAS28" s="523"/>
      <c r="WAT28" s="104"/>
      <c r="WAU28" s="521"/>
      <c r="WAV28" s="522"/>
      <c r="WAW28" s="522"/>
      <c r="WAX28" s="522"/>
      <c r="WAY28" s="523"/>
      <c r="WAZ28" s="104"/>
      <c r="WBA28" s="521"/>
      <c r="WBB28" s="522"/>
      <c r="WBC28" s="522"/>
      <c r="WBD28" s="522"/>
      <c r="WBE28" s="523"/>
      <c r="WBF28" s="104"/>
      <c r="WBG28" s="521"/>
      <c r="WBH28" s="522"/>
      <c r="WBI28" s="522"/>
      <c r="WBJ28" s="522"/>
      <c r="WBK28" s="523"/>
      <c r="WBL28" s="104"/>
      <c r="WBM28" s="521"/>
      <c r="WBN28" s="522"/>
      <c r="WBO28" s="522"/>
      <c r="WBP28" s="522"/>
      <c r="WBQ28" s="523"/>
      <c r="WBR28" s="104"/>
      <c r="WBS28" s="521"/>
      <c r="WBT28" s="522"/>
      <c r="WBU28" s="522"/>
      <c r="WBV28" s="522"/>
      <c r="WBW28" s="523"/>
      <c r="WBX28" s="104"/>
      <c r="WBY28" s="521"/>
      <c r="WBZ28" s="522"/>
      <c r="WCA28" s="522"/>
      <c r="WCB28" s="522"/>
      <c r="WCC28" s="523"/>
      <c r="WCD28" s="104"/>
      <c r="WCE28" s="521"/>
      <c r="WCF28" s="522"/>
      <c r="WCG28" s="522"/>
      <c r="WCH28" s="522"/>
      <c r="WCI28" s="523"/>
      <c r="WCJ28" s="104"/>
      <c r="WCK28" s="521"/>
      <c r="WCL28" s="522"/>
      <c r="WCM28" s="522"/>
      <c r="WCN28" s="522"/>
      <c r="WCO28" s="523"/>
      <c r="WCP28" s="104"/>
      <c r="WCQ28" s="521"/>
      <c r="WCR28" s="522"/>
      <c r="WCS28" s="522"/>
      <c r="WCT28" s="522"/>
      <c r="WCU28" s="523"/>
      <c r="WCV28" s="104"/>
      <c r="WCW28" s="521"/>
      <c r="WCX28" s="522"/>
      <c r="WCY28" s="522"/>
      <c r="WCZ28" s="522"/>
      <c r="WDA28" s="523"/>
      <c r="WDB28" s="104"/>
      <c r="WDC28" s="521"/>
      <c r="WDD28" s="522"/>
      <c r="WDE28" s="522"/>
      <c r="WDF28" s="522"/>
      <c r="WDG28" s="523"/>
      <c r="WDH28" s="104"/>
      <c r="WDI28" s="521"/>
      <c r="WDJ28" s="522"/>
      <c r="WDK28" s="522"/>
      <c r="WDL28" s="522"/>
      <c r="WDM28" s="523"/>
      <c r="WDN28" s="104"/>
      <c r="WDO28" s="521"/>
      <c r="WDP28" s="522"/>
      <c r="WDQ28" s="522"/>
      <c r="WDR28" s="522"/>
      <c r="WDS28" s="523"/>
      <c r="WDT28" s="104"/>
      <c r="WDU28" s="521"/>
      <c r="WDV28" s="522"/>
      <c r="WDW28" s="522"/>
      <c r="WDX28" s="522"/>
      <c r="WDY28" s="523"/>
      <c r="WDZ28" s="104"/>
      <c r="WEA28" s="521"/>
      <c r="WEB28" s="522"/>
      <c r="WEC28" s="522"/>
      <c r="WED28" s="522"/>
      <c r="WEE28" s="523"/>
      <c r="WEF28" s="104"/>
      <c r="WEG28" s="521"/>
      <c r="WEH28" s="522"/>
      <c r="WEI28" s="522"/>
      <c r="WEJ28" s="522"/>
      <c r="WEK28" s="523"/>
      <c r="WEL28" s="104"/>
      <c r="WEM28" s="521"/>
      <c r="WEN28" s="522"/>
      <c r="WEO28" s="522"/>
      <c r="WEP28" s="522"/>
      <c r="WEQ28" s="523"/>
      <c r="WER28" s="104"/>
      <c r="WES28" s="521"/>
      <c r="WET28" s="522"/>
      <c r="WEU28" s="522"/>
      <c r="WEV28" s="522"/>
      <c r="WEW28" s="523"/>
      <c r="WEX28" s="104"/>
      <c r="WEY28" s="521"/>
      <c r="WEZ28" s="522"/>
      <c r="WFA28" s="522"/>
      <c r="WFB28" s="522"/>
      <c r="WFC28" s="523"/>
      <c r="WFD28" s="104"/>
      <c r="WFE28" s="521"/>
      <c r="WFF28" s="522"/>
      <c r="WFG28" s="522"/>
      <c r="WFH28" s="522"/>
      <c r="WFI28" s="523"/>
      <c r="WFJ28" s="104"/>
      <c r="WFK28" s="521"/>
      <c r="WFL28" s="522"/>
      <c r="WFM28" s="522"/>
      <c r="WFN28" s="522"/>
      <c r="WFO28" s="523"/>
      <c r="WFP28" s="104"/>
      <c r="WFQ28" s="521"/>
      <c r="WFR28" s="522"/>
      <c r="WFS28" s="522"/>
      <c r="WFT28" s="522"/>
      <c r="WFU28" s="523"/>
      <c r="WFV28" s="104"/>
      <c r="WFW28" s="521"/>
      <c r="WFX28" s="522"/>
      <c r="WFY28" s="522"/>
      <c r="WFZ28" s="522"/>
      <c r="WGA28" s="523"/>
      <c r="WGB28" s="104"/>
      <c r="WGC28" s="521"/>
      <c r="WGD28" s="522"/>
      <c r="WGE28" s="522"/>
      <c r="WGF28" s="522"/>
      <c r="WGG28" s="523"/>
      <c r="WGH28" s="104"/>
      <c r="WGI28" s="521"/>
      <c r="WGJ28" s="522"/>
      <c r="WGK28" s="522"/>
      <c r="WGL28" s="522"/>
      <c r="WGM28" s="523"/>
      <c r="WGN28" s="104"/>
      <c r="WGO28" s="521"/>
      <c r="WGP28" s="522"/>
      <c r="WGQ28" s="522"/>
      <c r="WGR28" s="522"/>
      <c r="WGS28" s="523"/>
      <c r="WGT28" s="104"/>
      <c r="WGU28" s="521"/>
      <c r="WGV28" s="522"/>
      <c r="WGW28" s="522"/>
      <c r="WGX28" s="522"/>
      <c r="WGY28" s="523"/>
      <c r="WGZ28" s="104"/>
      <c r="WHA28" s="521"/>
      <c r="WHB28" s="522"/>
      <c r="WHC28" s="522"/>
      <c r="WHD28" s="522"/>
      <c r="WHE28" s="523"/>
      <c r="WHF28" s="104"/>
      <c r="WHG28" s="521"/>
      <c r="WHH28" s="522"/>
      <c r="WHI28" s="522"/>
      <c r="WHJ28" s="522"/>
      <c r="WHK28" s="523"/>
      <c r="WHL28" s="104"/>
      <c r="WHM28" s="521"/>
      <c r="WHN28" s="522"/>
      <c r="WHO28" s="522"/>
      <c r="WHP28" s="522"/>
      <c r="WHQ28" s="523"/>
      <c r="WHR28" s="104"/>
      <c r="WHS28" s="521"/>
      <c r="WHT28" s="522"/>
      <c r="WHU28" s="522"/>
      <c r="WHV28" s="522"/>
      <c r="WHW28" s="523"/>
      <c r="WHX28" s="104"/>
      <c r="WHY28" s="521"/>
      <c r="WHZ28" s="522"/>
      <c r="WIA28" s="522"/>
      <c r="WIB28" s="522"/>
      <c r="WIC28" s="523"/>
      <c r="WID28" s="104"/>
      <c r="WIE28" s="521"/>
      <c r="WIF28" s="522"/>
      <c r="WIG28" s="522"/>
      <c r="WIH28" s="522"/>
      <c r="WII28" s="523"/>
      <c r="WIJ28" s="104"/>
      <c r="WIK28" s="521"/>
      <c r="WIL28" s="522"/>
      <c r="WIM28" s="522"/>
      <c r="WIN28" s="522"/>
      <c r="WIO28" s="523"/>
      <c r="WIP28" s="104"/>
      <c r="WIQ28" s="521"/>
      <c r="WIR28" s="522"/>
      <c r="WIS28" s="522"/>
      <c r="WIT28" s="522"/>
      <c r="WIU28" s="523"/>
      <c r="WIV28" s="104"/>
      <c r="WIW28" s="521"/>
      <c r="WIX28" s="522"/>
      <c r="WIY28" s="522"/>
      <c r="WIZ28" s="522"/>
      <c r="WJA28" s="523"/>
      <c r="WJB28" s="104"/>
      <c r="WJC28" s="521"/>
      <c r="WJD28" s="522"/>
      <c r="WJE28" s="522"/>
      <c r="WJF28" s="522"/>
      <c r="WJG28" s="523"/>
      <c r="WJH28" s="104"/>
      <c r="WJI28" s="521"/>
      <c r="WJJ28" s="522"/>
      <c r="WJK28" s="522"/>
      <c r="WJL28" s="522"/>
      <c r="WJM28" s="523"/>
      <c r="WJN28" s="104"/>
      <c r="WJO28" s="521"/>
      <c r="WJP28" s="522"/>
      <c r="WJQ28" s="522"/>
      <c r="WJR28" s="522"/>
      <c r="WJS28" s="523"/>
      <c r="WJT28" s="104"/>
      <c r="WJU28" s="521"/>
      <c r="WJV28" s="522"/>
      <c r="WJW28" s="522"/>
      <c r="WJX28" s="522"/>
      <c r="WJY28" s="523"/>
      <c r="WJZ28" s="104"/>
      <c r="WKA28" s="521"/>
      <c r="WKB28" s="522"/>
      <c r="WKC28" s="522"/>
      <c r="WKD28" s="522"/>
      <c r="WKE28" s="523"/>
      <c r="WKF28" s="104"/>
      <c r="WKG28" s="521"/>
      <c r="WKH28" s="522"/>
      <c r="WKI28" s="522"/>
      <c r="WKJ28" s="522"/>
      <c r="WKK28" s="523"/>
      <c r="WKL28" s="104"/>
      <c r="WKM28" s="521"/>
      <c r="WKN28" s="522"/>
      <c r="WKO28" s="522"/>
      <c r="WKP28" s="522"/>
      <c r="WKQ28" s="523"/>
      <c r="WKR28" s="104"/>
      <c r="WKS28" s="521"/>
      <c r="WKT28" s="522"/>
      <c r="WKU28" s="522"/>
      <c r="WKV28" s="522"/>
      <c r="WKW28" s="523"/>
      <c r="WKX28" s="104"/>
      <c r="WKY28" s="521"/>
      <c r="WKZ28" s="522"/>
      <c r="WLA28" s="522"/>
      <c r="WLB28" s="522"/>
      <c r="WLC28" s="523"/>
      <c r="WLD28" s="104"/>
      <c r="WLE28" s="521"/>
      <c r="WLF28" s="522"/>
      <c r="WLG28" s="522"/>
      <c r="WLH28" s="522"/>
      <c r="WLI28" s="523"/>
      <c r="WLJ28" s="104"/>
      <c r="WLK28" s="521"/>
      <c r="WLL28" s="522"/>
      <c r="WLM28" s="522"/>
      <c r="WLN28" s="522"/>
      <c r="WLO28" s="523"/>
      <c r="WLP28" s="104"/>
      <c r="WLQ28" s="521"/>
      <c r="WLR28" s="522"/>
      <c r="WLS28" s="522"/>
      <c r="WLT28" s="522"/>
      <c r="WLU28" s="523"/>
      <c r="WLV28" s="104"/>
      <c r="WLW28" s="521"/>
      <c r="WLX28" s="522"/>
      <c r="WLY28" s="522"/>
      <c r="WLZ28" s="522"/>
      <c r="WMA28" s="523"/>
      <c r="WMB28" s="104"/>
      <c r="WMC28" s="521"/>
      <c r="WMD28" s="522"/>
      <c r="WME28" s="522"/>
      <c r="WMF28" s="522"/>
      <c r="WMG28" s="523"/>
      <c r="WMH28" s="104"/>
      <c r="WMI28" s="521"/>
      <c r="WMJ28" s="522"/>
      <c r="WMK28" s="522"/>
      <c r="WML28" s="522"/>
      <c r="WMM28" s="523"/>
      <c r="WMN28" s="104"/>
      <c r="WMO28" s="521"/>
      <c r="WMP28" s="522"/>
      <c r="WMQ28" s="522"/>
      <c r="WMR28" s="522"/>
      <c r="WMS28" s="523"/>
      <c r="WMT28" s="104"/>
      <c r="WMU28" s="521"/>
      <c r="WMV28" s="522"/>
      <c r="WMW28" s="522"/>
      <c r="WMX28" s="522"/>
      <c r="WMY28" s="523"/>
      <c r="WMZ28" s="104"/>
      <c r="WNA28" s="521"/>
      <c r="WNB28" s="522"/>
      <c r="WNC28" s="522"/>
      <c r="WND28" s="522"/>
      <c r="WNE28" s="523"/>
      <c r="WNF28" s="104"/>
      <c r="WNG28" s="521"/>
      <c r="WNH28" s="522"/>
      <c r="WNI28" s="522"/>
      <c r="WNJ28" s="522"/>
      <c r="WNK28" s="523"/>
      <c r="WNL28" s="104"/>
      <c r="WNM28" s="521"/>
      <c r="WNN28" s="522"/>
      <c r="WNO28" s="522"/>
      <c r="WNP28" s="522"/>
      <c r="WNQ28" s="523"/>
      <c r="WNR28" s="104"/>
      <c r="WNS28" s="521"/>
      <c r="WNT28" s="522"/>
      <c r="WNU28" s="522"/>
      <c r="WNV28" s="522"/>
      <c r="WNW28" s="523"/>
      <c r="WNX28" s="104"/>
      <c r="WNY28" s="521"/>
      <c r="WNZ28" s="522"/>
      <c r="WOA28" s="522"/>
      <c r="WOB28" s="522"/>
      <c r="WOC28" s="523"/>
      <c r="WOD28" s="104"/>
      <c r="WOE28" s="521"/>
      <c r="WOF28" s="522"/>
      <c r="WOG28" s="522"/>
      <c r="WOH28" s="522"/>
      <c r="WOI28" s="523"/>
      <c r="WOJ28" s="104"/>
      <c r="WOK28" s="521"/>
      <c r="WOL28" s="522"/>
      <c r="WOM28" s="522"/>
      <c r="WON28" s="522"/>
      <c r="WOO28" s="523"/>
      <c r="WOP28" s="104"/>
      <c r="WOQ28" s="521"/>
      <c r="WOR28" s="522"/>
      <c r="WOS28" s="522"/>
      <c r="WOT28" s="522"/>
      <c r="WOU28" s="523"/>
      <c r="WOV28" s="104"/>
      <c r="WOW28" s="521"/>
      <c r="WOX28" s="522"/>
      <c r="WOY28" s="522"/>
      <c r="WOZ28" s="522"/>
      <c r="WPA28" s="523"/>
      <c r="WPB28" s="104"/>
      <c r="WPC28" s="521"/>
      <c r="WPD28" s="522"/>
      <c r="WPE28" s="522"/>
      <c r="WPF28" s="522"/>
      <c r="WPG28" s="523"/>
      <c r="WPH28" s="104"/>
      <c r="WPI28" s="521"/>
      <c r="WPJ28" s="522"/>
      <c r="WPK28" s="522"/>
      <c r="WPL28" s="522"/>
      <c r="WPM28" s="523"/>
      <c r="WPN28" s="104"/>
      <c r="WPO28" s="521"/>
      <c r="WPP28" s="522"/>
      <c r="WPQ28" s="522"/>
      <c r="WPR28" s="522"/>
      <c r="WPS28" s="523"/>
      <c r="WPT28" s="104"/>
      <c r="WPU28" s="521"/>
      <c r="WPV28" s="522"/>
      <c r="WPW28" s="522"/>
      <c r="WPX28" s="522"/>
      <c r="WPY28" s="523"/>
      <c r="WPZ28" s="104"/>
      <c r="WQA28" s="521"/>
      <c r="WQB28" s="522"/>
      <c r="WQC28" s="522"/>
      <c r="WQD28" s="522"/>
      <c r="WQE28" s="523"/>
      <c r="WQF28" s="104"/>
      <c r="WQG28" s="521"/>
      <c r="WQH28" s="522"/>
      <c r="WQI28" s="522"/>
      <c r="WQJ28" s="522"/>
      <c r="WQK28" s="523"/>
      <c r="WQL28" s="104"/>
      <c r="WQM28" s="521"/>
      <c r="WQN28" s="522"/>
      <c r="WQO28" s="522"/>
      <c r="WQP28" s="522"/>
      <c r="WQQ28" s="523"/>
      <c r="WQR28" s="104"/>
      <c r="WQS28" s="521"/>
      <c r="WQT28" s="522"/>
      <c r="WQU28" s="522"/>
      <c r="WQV28" s="522"/>
      <c r="WQW28" s="523"/>
      <c r="WQX28" s="104"/>
      <c r="WQY28" s="521"/>
      <c r="WQZ28" s="522"/>
      <c r="WRA28" s="522"/>
      <c r="WRB28" s="522"/>
      <c r="WRC28" s="523"/>
      <c r="WRD28" s="104"/>
      <c r="WRE28" s="521"/>
      <c r="WRF28" s="522"/>
      <c r="WRG28" s="522"/>
      <c r="WRH28" s="522"/>
      <c r="WRI28" s="523"/>
      <c r="WRJ28" s="104"/>
      <c r="WRK28" s="521"/>
      <c r="WRL28" s="522"/>
      <c r="WRM28" s="522"/>
      <c r="WRN28" s="522"/>
      <c r="WRO28" s="523"/>
      <c r="WRP28" s="104"/>
      <c r="WRQ28" s="521"/>
      <c r="WRR28" s="522"/>
      <c r="WRS28" s="522"/>
      <c r="WRT28" s="522"/>
      <c r="WRU28" s="523"/>
      <c r="WRV28" s="104"/>
      <c r="WRW28" s="521"/>
      <c r="WRX28" s="522"/>
      <c r="WRY28" s="522"/>
      <c r="WRZ28" s="522"/>
      <c r="WSA28" s="523"/>
      <c r="WSB28" s="104"/>
      <c r="WSC28" s="521"/>
      <c r="WSD28" s="522"/>
      <c r="WSE28" s="522"/>
      <c r="WSF28" s="522"/>
      <c r="WSG28" s="523"/>
      <c r="WSH28" s="104"/>
      <c r="WSI28" s="521"/>
      <c r="WSJ28" s="522"/>
      <c r="WSK28" s="522"/>
      <c r="WSL28" s="522"/>
      <c r="WSM28" s="523"/>
      <c r="WSN28" s="104"/>
      <c r="WSO28" s="521"/>
      <c r="WSP28" s="522"/>
      <c r="WSQ28" s="522"/>
      <c r="WSR28" s="522"/>
      <c r="WSS28" s="523"/>
      <c r="WST28" s="104"/>
      <c r="WSU28" s="521"/>
      <c r="WSV28" s="522"/>
      <c r="WSW28" s="522"/>
      <c r="WSX28" s="522"/>
      <c r="WSY28" s="523"/>
      <c r="WSZ28" s="104"/>
      <c r="WTA28" s="521"/>
      <c r="WTB28" s="522"/>
      <c r="WTC28" s="522"/>
      <c r="WTD28" s="522"/>
      <c r="WTE28" s="523"/>
      <c r="WTF28" s="104"/>
      <c r="WTG28" s="521"/>
      <c r="WTH28" s="522"/>
      <c r="WTI28" s="522"/>
      <c r="WTJ28" s="522"/>
      <c r="WTK28" s="523"/>
      <c r="WTL28" s="104"/>
      <c r="WTM28" s="521"/>
      <c r="WTN28" s="522"/>
      <c r="WTO28" s="522"/>
      <c r="WTP28" s="522"/>
      <c r="WTQ28" s="523"/>
      <c r="WTR28" s="104"/>
      <c r="WTS28" s="521"/>
      <c r="WTT28" s="522"/>
      <c r="WTU28" s="522"/>
      <c r="WTV28" s="522"/>
      <c r="WTW28" s="523"/>
      <c r="WTX28" s="104"/>
      <c r="WTY28" s="521"/>
      <c r="WTZ28" s="522"/>
      <c r="WUA28" s="522"/>
      <c r="WUB28" s="522"/>
      <c r="WUC28" s="523"/>
      <c r="WUD28" s="104"/>
      <c r="WUE28" s="521"/>
      <c r="WUF28" s="522"/>
      <c r="WUG28" s="522"/>
      <c r="WUH28" s="522"/>
      <c r="WUI28" s="523"/>
      <c r="WUJ28" s="104"/>
      <c r="WUK28" s="521"/>
      <c r="WUL28" s="522"/>
      <c r="WUM28" s="522"/>
      <c r="WUN28" s="522"/>
      <c r="WUO28" s="523"/>
      <c r="WUP28" s="104"/>
      <c r="WUQ28" s="521"/>
      <c r="WUR28" s="522"/>
      <c r="WUS28" s="522"/>
      <c r="WUT28" s="522"/>
      <c r="WUU28" s="523"/>
      <c r="WUV28" s="104"/>
      <c r="WUW28" s="521"/>
      <c r="WUX28" s="522"/>
      <c r="WUY28" s="522"/>
      <c r="WUZ28" s="522"/>
      <c r="WVA28" s="523"/>
      <c r="WVB28" s="104"/>
      <c r="WVC28" s="521"/>
      <c r="WVD28" s="522"/>
      <c r="WVE28" s="522"/>
      <c r="WVF28" s="522"/>
      <c r="WVG28" s="523"/>
      <c r="WVH28" s="104"/>
      <c r="WVI28" s="521"/>
      <c r="WVJ28" s="522"/>
      <c r="WVK28" s="522"/>
      <c r="WVL28" s="522"/>
      <c r="WVM28" s="523"/>
      <c r="WVN28" s="104"/>
      <c r="WVO28" s="521"/>
      <c r="WVP28" s="522"/>
      <c r="WVQ28" s="522"/>
      <c r="WVR28" s="522"/>
      <c r="WVS28" s="523"/>
      <c r="WVT28" s="104"/>
      <c r="WVU28" s="521"/>
      <c r="WVV28" s="522"/>
      <c r="WVW28" s="522"/>
      <c r="WVX28" s="522"/>
      <c r="WVY28" s="523"/>
      <c r="WVZ28" s="104"/>
      <c r="WWA28" s="521"/>
      <c r="WWB28" s="522"/>
      <c r="WWC28" s="522"/>
      <c r="WWD28" s="522"/>
      <c r="WWE28" s="523"/>
      <c r="WWF28" s="104"/>
      <c r="WWG28" s="521"/>
      <c r="WWH28" s="522"/>
      <c r="WWI28" s="522"/>
      <c r="WWJ28" s="522"/>
      <c r="WWK28" s="523"/>
      <c r="WWL28" s="104"/>
      <c r="WWM28" s="521"/>
      <c r="WWN28" s="522"/>
      <c r="WWO28" s="522"/>
      <c r="WWP28" s="522"/>
      <c r="WWQ28" s="523"/>
      <c r="WWR28" s="104"/>
      <c r="WWS28" s="521"/>
      <c r="WWT28" s="522"/>
      <c r="WWU28" s="522"/>
      <c r="WWV28" s="522"/>
      <c r="WWW28" s="523"/>
      <c r="WWX28" s="104"/>
      <c r="WWY28" s="521"/>
      <c r="WWZ28" s="522"/>
      <c r="WXA28" s="522"/>
      <c r="WXB28" s="522"/>
      <c r="WXC28" s="523"/>
      <c r="WXD28" s="104"/>
      <c r="WXE28" s="521"/>
      <c r="WXF28" s="522"/>
      <c r="WXG28" s="522"/>
      <c r="WXH28" s="522"/>
      <c r="WXI28" s="523"/>
      <c r="WXJ28" s="104"/>
      <c r="WXK28" s="521"/>
      <c r="WXL28" s="522"/>
      <c r="WXM28" s="522"/>
      <c r="WXN28" s="522"/>
      <c r="WXO28" s="523"/>
      <c r="WXP28" s="104"/>
      <c r="WXQ28" s="521"/>
      <c r="WXR28" s="522"/>
      <c r="WXS28" s="522"/>
      <c r="WXT28" s="522"/>
      <c r="WXU28" s="523"/>
      <c r="WXV28" s="104"/>
      <c r="WXW28" s="521"/>
      <c r="WXX28" s="522"/>
      <c r="WXY28" s="522"/>
      <c r="WXZ28" s="522"/>
      <c r="WYA28" s="523"/>
      <c r="WYB28" s="104"/>
      <c r="WYC28" s="521"/>
      <c r="WYD28" s="522"/>
      <c r="WYE28" s="522"/>
      <c r="WYF28" s="522"/>
      <c r="WYG28" s="523"/>
      <c r="WYH28" s="104"/>
      <c r="WYI28" s="521"/>
      <c r="WYJ28" s="522"/>
      <c r="WYK28" s="522"/>
      <c r="WYL28" s="522"/>
      <c r="WYM28" s="523"/>
      <c r="WYN28" s="104"/>
      <c r="WYO28" s="521"/>
      <c r="WYP28" s="522"/>
      <c r="WYQ28" s="522"/>
      <c r="WYR28" s="522"/>
      <c r="WYS28" s="523"/>
      <c r="WYT28" s="104"/>
      <c r="WYU28" s="521"/>
      <c r="WYV28" s="522"/>
      <c r="WYW28" s="522"/>
      <c r="WYX28" s="522"/>
      <c r="WYY28" s="523"/>
      <c r="WYZ28" s="104"/>
      <c r="WZA28" s="521"/>
      <c r="WZB28" s="522"/>
      <c r="WZC28" s="522"/>
      <c r="WZD28" s="522"/>
      <c r="WZE28" s="523"/>
      <c r="WZF28" s="104"/>
      <c r="WZG28" s="521"/>
      <c r="WZH28" s="522"/>
      <c r="WZI28" s="522"/>
      <c r="WZJ28" s="522"/>
      <c r="WZK28" s="523"/>
      <c r="WZL28" s="104"/>
      <c r="WZM28" s="521"/>
      <c r="WZN28" s="522"/>
      <c r="WZO28" s="522"/>
      <c r="WZP28" s="522"/>
      <c r="WZQ28" s="523"/>
      <c r="WZR28" s="104"/>
      <c r="WZS28" s="521"/>
      <c r="WZT28" s="522"/>
      <c r="WZU28" s="522"/>
      <c r="WZV28" s="522"/>
      <c r="WZW28" s="523"/>
      <c r="WZX28" s="104"/>
      <c r="WZY28" s="521"/>
      <c r="WZZ28" s="522"/>
      <c r="XAA28" s="522"/>
      <c r="XAB28" s="522"/>
      <c r="XAC28" s="523"/>
      <c r="XAD28" s="104"/>
      <c r="XAE28" s="521"/>
      <c r="XAF28" s="522"/>
      <c r="XAG28" s="522"/>
      <c r="XAH28" s="522"/>
      <c r="XAI28" s="523"/>
      <c r="XAJ28" s="104"/>
      <c r="XAK28" s="521"/>
      <c r="XAL28" s="522"/>
      <c r="XAM28" s="522"/>
      <c r="XAN28" s="522"/>
      <c r="XAO28" s="523"/>
      <c r="XAP28" s="104"/>
      <c r="XAQ28" s="521"/>
      <c r="XAR28" s="522"/>
      <c r="XAS28" s="522"/>
      <c r="XAT28" s="522"/>
      <c r="XAU28" s="523"/>
      <c r="XAV28" s="104"/>
      <c r="XAW28" s="521"/>
      <c r="XAX28" s="522"/>
      <c r="XAY28" s="522"/>
      <c r="XAZ28" s="522"/>
      <c r="XBA28" s="523"/>
      <c r="XBB28" s="104"/>
      <c r="XBC28" s="521"/>
      <c r="XBD28" s="522"/>
      <c r="XBE28" s="522"/>
      <c r="XBF28" s="522"/>
      <c r="XBG28" s="523"/>
      <c r="XBH28" s="104"/>
      <c r="XBI28" s="521"/>
      <c r="XBJ28" s="522"/>
      <c r="XBK28" s="522"/>
      <c r="XBL28" s="522"/>
      <c r="XBM28" s="523"/>
      <c r="XBN28" s="104"/>
      <c r="XBO28" s="521"/>
      <c r="XBP28" s="522"/>
      <c r="XBQ28" s="522"/>
      <c r="XBR28" s="522"/>
      <c r="XBS28" s="523"/>
      <c r="XBT28" s="104"/>
      <c r="XBU28" s="521"/>
      <c r="XBV28" s="522"/>
      <c r="XBW28" s="522"/>
      <c r="XBX28" s="522"/>
      <c r="XBY28" s="523"/>
      <c r="XBZ28" s="104"/>
      <c r="XCA28" s="521"/>
      <c r="XCB28" s="522"/>
      <c r="XCC28" s="522"/>
      <c r="XCD28" s="522"/>
      <c r="XCE28" s="523"/>
      <c r="XCF28" s="104"/>
      <c r="XCG28" s="521"/>
      <c r="XCH28" s="522"/>
      <c r="XCI28" s="522"/>
      <c r="XCJ28" s="522"/>
      <c r="XCK28" s="523"/>
      <c r="XCL28" s="104"/>
      <c r="XCM28" s="521"/>
      <c r="XCN28" s="522"/>
      <c r="XCO28" s="522"/>
      <c r="XCP28" s="522"/>
      <c r="XCQ28" s="523"/>
      <c r="XCR28" s="104"/>
      <c r="XCS28" s="521"/>
      <c r="XCT28" s="522"/>
      <c r="XCU28" s="522"/>
      <c r="XCV28" s="522"/>
      <c r="XCW28" s="523"/>
      <c r="XCX28" s="104"/>
      <c r="XCY28" s="521"/>
      <c r="XCZ28" s="522"/>
      <c r="XDA28" s="522"/>
      <c r="XDB28" s="522"/>
      <c r="XDC28" s="523"/>
      <c r="XDD28" s="104"/>
      <c r="XDE28" s="521"/>
      <c r="XDF28" s="522"/>
      <c r="XDG28" s="522"/>
      <c r="XDH28" s="522"/>
      <c r="XDI28" s="523"/>
      <c r="XDJ28" s="104"/>
      <c r="XDK28" s="521"/>
      <c r="XDL28" s="522"/>
      <c r="XDM28" s="522"/>
      <c r="XDN28" s="522"/>
      <c r="XDO28" s="523"/>
      <c r="XDP28" s="104"/>
      <c r="XDQ28" s="521"/>
      <c r="XDR28" s="522"/>
      <c r="XDS28" s="522"/>
      <c r="XDT28" s="522"/>
      <c r="XDU28" s="523"/>
      <c r="XDV28" s="104"/>
      <c r="XDW28" s="521"/>
      <c r="XDX28" s="522"/>
      <c r="XDY28" s="522"/>
      <c r="XDZ28" s="522"/>
      <c r="XEA28" s="523"/>
      <c r="XEB28" s="104"/>
      <c r="XEC28" s="521"/>
      <c r="XED28" s="522"/>
      <c r="XEE28" s="522"/>
      <c r="XEF28" s="522"/>
      <c r="XEG28" s="523"/>
      <c r="XEH28" s="104"/>
      <c r="XEI28" s="521"/>
      <c r="XEJ28" s="522"/>
      <c r="XEK28" s="522"/>
      <c r="XEL28" s="522"/>
      <c r="XEM28" s="523"/>
      <c r="XEN28" s="104"/>
      <c r="XEO28" s="521"/>
      <c r="XEP28" s="522"/>
      <c r="XEQ28" s="522"/>
      <c r="XER28" s="522"/>
      <c r="XES28" s="523"/>
      <c r="XET28" s="104"/>
      <c r="XEU28" s="521"/>
      <c r="XEV28" s="522"/>
      <c r="XEW28" s="522"/>
      <c r="XEX28" s="522"/>
      <c r="XEY28" s="523"/>
      <c r="XEZ28" s="104"/>
      <c r="XFA28" s="521"/>
      <c r="XFB28" s="522"/>
      <c r="XFC28" s="522"/>
      <c r="XFD28" s="522"/>
    </row>
    <row r="29" spans="1:16384" ht="24.95" customHeight="1">
      <c r="A29" s="10"/>
      <c r="B29" s="515" t="s">
        <v>197</v>
      </c>
      <c r="C29" s="516"/>
      <c r="D29" s="517"/>
      <c r="E29" s="13"/>
      <c r="F29" s="14"/>
    </row>
    <row r="30" spans="1:16384" ht="24.95" customHeight="1">
      <c r="A30" s="42"/>
      <c r="B30" s="11" t="s">
        <v>105</v>
      </c>
      <c r="C30" s="39"/>
      <c r="D30" s="40"/>
      <c r="E30" s="40"/>
      <c r="F30" s="41"/>
    </row>
    <row r="31" spans="1:16384" ht="24.95" customHeight="1">
      <c r="A31" s="15">
        <v>101</v>
      </c>
      <c r="B31" s="16" t="s">
        <v>106</v>
      </c>
      <c r="C31" s="24" t="s">
        <v>310</v>
      </c>
      <c r="D31" s="83" t="e">
        <f>#REF!</f>
        <v>#REF!</v>
      </c>
      <c r="E31" s="25">
        <v>40</v>
      </c>
      <c r="F31" s="26" t="e">
        <f>+D31*E31</f>
        <v>#REF!</v>
      </c>
    </row>
    <row r="32" spans="1:16384" ht="24.95" customHeight="1">
      <c r="A32" s="15">
        <v>102</v>
      </c>
      <c r="B32" s="16" t="s">
        <v>107</v>
      </c>
      <c r="C32" s="24"/>
      <c r="D32" s="83"/>
      <c r="E32" s="25"/>
      <c r="F32" s="26"/>
    </row>
    <row r="33" spans="1:8" ht="24" customHeight="1">
      <c r="A33" s="15" t="s">
        <v>42</v>
      </c>
      <c r="B33" s="16" t="s">
        <v>108</v>
      </c>
      <c r="C33" s="24" t="s">
        <v>310</v>
      </c>
      <c r="D33" s="83" t="e">
        <f>#REF!</f>
        <v>#REF!</v>
      </c>
      <c r="E33" s="25">
        <v>70</v>
      </c>
      <c r="F33" s="26" t="e">
        <f t="shared" ref="F33:F36" si="2">+D33*E33</f>
        <v>#REF!</v>
      </c>
    </row>
    <row r="34" spans="1:8" ht="24" customHeight="1">
      <c r="A34" s="15">
        <v>103</v>
      </c>
      <c r="B34" s="16" t="s">
        <v>33</v>
      </c>
      <c r="C34" s="24"/>
      <c r="D34" s="83"/>
      <c r="E34" s="25"/>
      <c r="F34" s="26"/>
    </row>
    <row r="35" spans="1:8" ht="24" customHeight="1">
      <c r="A35" s="15" t="s">
        <v>109</v>
      </c>
      <c r="B35" s="16" t="s">
        <v>110</v>
      </c>
      <c r="C35" s="24" t="s">
        <v>310</v>
      </c>
      <c r="D35" s="83" t="e">
        <f>#REF!</f>
        <v>#REF!</v>
      </c>
      <c r="E35" s="25">
        <v>100</v>
      </c>
      <c r="F35" s="26" t="e">
        <f t="shared" ref="F35" si="3">+D35*E35</f>
        <v>#REF!</v>
      </c>
    </row>
    <row r="36" spans="1:8" ht="24.95" customHeight="1">
      <c r="A36" s="15" t="s">
        <v>41</v>
      </c>
      <c r="B36" s="16" t="s">
        <v>33</v>
      </c>
      <c r="C36" s="24" t="s">
        <v>310</v>
      </c>
      <c r="D36" s="83" t="e">
        <f>#REF!</f>
        <v>#REF!</v>
      </c>
      <c r="E36" s="25">
        <v>30</v>
      </c>
      <c r="F36" s="26" t="e">
        <f t="shared" si="2"/>
        <v>#REF!</v>
      </c>
    </row>
    <row r="37" spans="1:8" ht="13.5" customHeight="1" thickBot="1">
      <c r="A37" s="68"/>
      <c r="B37" s="69"/>
      <c r="C37" s="70"/>
      <c r="D37" s="71"/>
      <c r="E37" s="71"/>
      <c r="F37" s="14"/>
    </row>
    <row r="38" spans="1:8" ht="24.95" customHeight="1" thickBot="1">
      <c r="A38" s="503" t="s">
        <v>54</v>
      </c>
      <c r="B38" s="504"/>
      <c r="C38" s="504"/>
      <c r="D38" s="504"/>
      <c r="E38" s="505"/>
      <c r="F38" s="67" t="e">
        <f>SUM(F31:F36)</f>
        <v>#REF!</v>
      </c>
    </row>
    <row r="39" spans="1:8" ht="12.75" customHeight="1">
      <c r="A39" s="74"/>
      <c r="B39" s="69"/>
      <c r="C39" s="70"/>
      <c r="D39" s="71"/>
      <c r="E39" s="103"/>
      <c r="F39" s="14"/>
    </row>
    <row r="40" spans="1:8" ht="24.95" customHeight="1">
      <c r="A40" s="42"/>
      <c r="B40" s="518" t="s">
        <v>104</v>
      </c>
      <c r="C40" s="519"/>
      <c r="D40" s="520"/>
      <c r="E40" s="30"/>
      <c r="F40" s="41"/>
    </row>
    <row r="41" spans="1:8" ht="24.95" customHeight="1">
      <c r="A41" s="15">
        <v>104</v>
      </c>
      <c r="B41" s="16" t="s">
        <v>34</v>
      </c>
      <c r="C41" s="24" t="s">
        <v>310</v>
      </c>
      <c r="D41" s="25" t="e">
        <f>#REF!</f>
        <v>#REF!</v>
      </c>
      <c r="E41" s="25">
        <v>500</v>
      </c>
      <c r="F41" s="26" t="e">
        <f>+D41*E41</f>
        <v>#REF!</v>
      </c>
    </row>
    <row r="42" spans="1:8" ht="24.95" customHeight="1">
      <c r="A42" s="15">
        <v>105</v>
      </c>
      <c r="B42" s="16" t="s">
        <v>35</v>
      </c>
      <c r="C42" s="24" t="s">
        <v>310</v>
      </c>
      <c r="D42" s="25" t="e">
        <f>#REF!</f>
        <v>#REF!</v>
      </c>
      <c r="E42" s="25">
        <v>500</v>
      </c>
      <c r="F42" s="26" t="e">
        <f>+D42*E42</f>
        <v>#REF!</v>
      </c>
    </row>
    <row r="43" spans="1:8" ht="19.5" customHeight="1">
      <c r="A43" s="15">
        <v>106</v>
      </c>
      <c r="B43" s="16" t="s">
        <v>111</v>
      </c>
      <c r="C43" s="24"/>
      <c r="D43" s="25"/>
      <c r="E43" s="25"/>
      <c r="F43" s="26"/>
    </row>
    <row r="44" spans="1:8" ht="24" customHeight="1">
      <c r="A44" s="15" t="s">
        <v>40</v>
      </c>
      <c r="B44" s="203" t="s">
        <v>112</v>
      </c>
      <c r="C44" s="24" t="s">
        <v>310</v>
      </c>
      <c r="D44" s="25" t="e">
        <f>#REF!</f>
        <v>#REF!</v>
      </c>
      <c r="E44" s="25">
        <v>1000</v>
      </c>
      <c r="F44" s="26" t="e">
        <f>+D44*E44</f>
        <v>#REF!</v>
      </c>
    </row>
    <row r="45" spans="1:8" ht="24.75" customHeight="1">
      <c r="A45" s="15" t="s">
        <v>39</v>
      </c>
      <c r="B45" s="203" t="s">
        <v>253</v>
      </c>
      <c r="C45" s="24" t="s">
        <v>310</v>
      </c>
      <c r="D45" s="25" t="e">
        <f>#REF!</f>
        <v>#REF!</v>
      </c>
      <c r="E45" s="25">
        <v>1000</v>
      </c>
      <c r="F45" s="26" t="e">
        <f t="shared" ref="F45:F47" si="4">+D45*E45</f>
        <v>#REF!</v>
      </c>
      <c r="H45" s="34"/>
    </row>
    <row r="46" spans="1:8" ht="24" customHeight="1">
      <c r="A46" s="15" t="s">
        <v>38</v>
      </c>
      <c r="B46" s="203" t="s">
        <v>113</v>
      </c>
      <c r="C46" s="24" t="s">
        <v>310</v>
      </c>
      <c r="D46" s="25" t="e">
        <f>#REF!</f>
        <v>#REF!</v>
      </c>
      <c r="E46" s="25">
        <v>1000</v>
      </c>
      <c r="F46" s="26" t="e">
        <f t="shared" si="4"/>
        <v>#REF!</v>
      </c>
      <c r="H46" s="34"/>
    </row>
    <row r="47" spans="1:8" ht="24.75" customHeight="1">
      <c r="A47" s="15" t="s">
        <v>48</v>
      </c>
      <c r="B47" s="203" t="s">
        <v>254</v>
      </c>
      <c r="C47" s="24" t="s">
        <v>310</v>
      </c>
      <c r="D47" s="25" t="e">
        <f>#REF!</f>
        <v>#REF!</v>
      </c>
      <c r="E47" s="25">
        <v>1000</v>
      </c>
      <c r="F47" s="26" t="e">
        <f t="shared" si="4"/>
        <v>#REF!</v>
      </c>
      <c r="H47" s="102"/>
    </row>
    <row r="48" spans="1:8" ht="24.95" customHeight="1">
      <c r="A48" s="15">
        <v>107</v>
      </c>
      <c r="B48" s="16" t="s">
        <v>36</v>
      </c>
      <c r="C48" s="24" t="s">
        <v>19</v>
      </c>
      <c r="D48" s="25" t="e">
        <f>#REF!</f>
        <v>#REF!</v>
      </c>
      <c r="E48" s="25">
        <v>11</v>
      </c>
      <c r="F48" s="26" t="e">
        <f>+D48*E48</f>
        <v>#REF!</v>
      </c>
    </row>
    <row r="49" spans="1:6" ht="24.95" customHeight="1">
      <c r="A49" s="15">
        <v>108</v>
      </c>
      <c r="B49" s="16" t="s">
        <v>114</v>
      </c>
      <c r="C49" s="24" t="s">
        <v>310</v>
      </c>
      <c r="D49" s="25" t="e">
        <f>#REF!</f>
        <v>#REF!</v>
      </c>
      <c r="E49" s="25">
        <v>220</v>
      </c>
      <c r="F49" s="26" t="e">
        <f>+D49*E49</f>
        <v>#REF!</v>
      </c>
    </row>
    <row r="50" spans="1:6" ht="24.95" customHeight="1">
      <c r="A50" s="15">
        <v>109</v>
      </c>
      <c r="B50" s="16" t="s">
        <v>115</v>
      </c>
      <c r="C50" s="24" t="s">
        <v>259</v>
      </c>
      <c r="D50" s="25" t="e">
        <f>#REF!</f>
        <v>#REF!</v>
      </c>
      <c r="E50" s="25">
        <v>70</v>
      </c>
      <c r="F50" s="26" t="e">
        <f>+D50*E50</f>
        <v>#REF!</v>
      </c>
    </row>
    <row r="51" spans="1:6" ht="13.5" customHeight="1" thickBot="1">
      <c r="A51" s="68"/>
      <c r="B51" s="69"/>
      <c r="C51" s="70"/>
      <c r="D51" s="71"/>
      <c r="E51" s="71"/>
      <c r="F51" s="14"/>
    </row>
    <row r="52" spans="1:6" ht="24.95" customHeight="1" thickBot="1">
      <c r="A52" s="503" t="s">
        <v>55</v>
      </c>
      <c r="B52" s="504"/>
      <c r="C52" s="504"/>
      <c r="D52" s="504"/>
      <c r="E52" s="505"/>
      <c r="F52" s="17" t="e">
        <f>SUM(F41:F50)</f>
        <v>#REF!</v>
      </c>
    </row>
    <row r="53" spans="1:6" ht="12.75" customHeight="1">
      <c r="A53" s="68"/>
      <c r="B53" s="69"/>
      <c r="C53" s="70"/>
      <c r="D53" s="103"/>
      <c r="E53" s="71"/>
      <c r="F53" s="14"/>
    </row>
    <row r="54" spans="1:6" ht="24.95" customHeight="1">
      <c r="A54" s="15"/>
      <c r="B54" s="11" t="s">
        <v>47</v>
      </c>
      <c r="C54" s="12"/>
      <c r="D54" s="8"/>
      <c r="E54" s="13"/>
      <c r="F54" s="14"/>
    </row>
    <row r="55" spans="1:6" ht="24.95" customHeight="1">
      <c r="A55" s="15">
        <v>110</v>
      </c>
      <c r="B55" s="16" t="s">
        <v>46</v>
      </c>
      <c r="C55" s="18"/>
      <c r="D55" s="8"/>
      <c r="E55" s="19"/>
      <c r="F55" s="9"/>
    </row>
    <row r="56" spans="1:6" ht="24" customHeight="1">
      <c r="A56" s="15" t="s">
        <v>45</v>
      </c>
      <c r="B56" s="16" t="s">
        <v>116</v>
      </c>
      <c r="C56" s="24" t="s">
        <v>28</v>
      </c>
      <c r="D56" s="25" t="e">
        <f>#REF!</f>
        <v>#REF!</v>
      </c>
      <c r="E56" s="25">
        <v>140</v>
      </c>
      <c r="F56" s="33" t="e">
        <f>+D56*E56</f>
        <v>#REF!</v>
      </c>
    </row>
    <row r="57" spans="1:6" ht="24" customHeight="1">
      <c r="A57" s="15" t="s">
        <v>183</v>
      </c>
      <c r="B57" s="16" t="s">
        <v>185</v>
      </c>
      <c r="C57" s="24" t="s">
        <v>28</v>
      </c>
      <c r="D57" s="25" t="e">
        <f>#REF!</f>
        <v>#REF!</v>
      </c>
      <c r="E57" s="25">
        <v>240</v>
      </c>
      <c r="F57" s="33" t="e">
        <f>+D57*E57</f>
        <v>#REF!</v>
      </c>
    </row>
    <row r="58" spans="1:6" ht="24" customHeight="1">
      <c r="A58" s="15">
        <v>111</v>
      </c>
      <c r="B58" s="16" t="s">
        <v>117</v>
      </c>
      <c r="C58" s="24"/>
      <c r="D58" s="25"/>
      <c r="E58" s="25"/>
      <c r="F58" s="33"/>
    </row>
    <row r="59" spans="1:6" ht="24.95" customHeight="1">
      <c r="A59" s="15" t="s">
        <v>37</v>
      </c>
      <c r="B59" s="212" t="s">
        <v>118</v>
      </c>
      <c r="C59" s="24" t="s">
        <v>16</v>
      </c>
      <c r="D59" s="25" t="e">
        <f>#REF!</f>
        <v>#REF!</v>
      </c>
      <c r="E59" s="25">
        <v>400</v>
      </c>
      <c r="F59" s="33" t="e">
        <f>+D59*E59</f>
        <v>#REF!</v>
      </c>
    </row>
    <row r="60" spans="1:6" ht="24.95" customHeight="1">
      <c r="A60" s="15" t="s">
        <v>184</v>
      </c>
      <c r="B60" s="212" t="s">
        <v>186</v>
      </c>
      <c r="C60" s="24" t="s">
        <v>16</v>
      </c>
      <c r="D60" s="25" t="e">
        <f>#REF!</f>
        <v>#REF!</v>
      </c>
      <c r="E60" s="25">
        <v>600</v>
      </c>
      <c r="F60" s="33" t="e">
        <f>+D60*E60</f>
        <v>#REF!</v>
      </c>
    </row>
    <row r="61" spans="1:6" ht="24.95" customHeight="1">
      <c r="A61" s="15">
        <v>112</v>
      </c>
      <c r="B61" s="16" t="s">
        <v>119</v>
      </c>
      <c r="C61" s="24"/>
      <c r="D61" s="25"/>
      <c r="E61" s="25"/>
      <c r="F61" s="33"/>
    </row>
    <row r="62" spans="1:6" ht="24.95" customHeight="1">
      <c r="A62" s="15" t="s">
        <v>64</v>
      </c>
      <c r="B62" s="16" t="s">
        <v>120</v>
      </c>
      <c r="C62" s="24" t="s">
        <v>28</v>
      </c>
      <c r="D62" s="25" t="e">
        <f>#REF!</f>
        <v>#REF!</v>
      </c>
      <c r="E62" s="25">
        <v>450</v>
      </c>
      <c r="F62" s="33" t="e">
        <f>E62*D62</f>
        <v>#REF!</v>
      </c>
    </row>
    <row r="63" spans="1:6" ht="24.95" customHeight="1">
      <c r="A63" s="15">
        <v>113</v>
      </c>
      <c r="B63" s="16" t="s">
        <v>428</v>
      </c>
      <c r="C63" s="24" t="s">
        <v>16</v>
      </c>
      <c r="D63" s="25" t="e">
        <f>#REF!</f>
        <v>#REF!</v>
      </c>
      <c r="E63" s="25">
        <v>20000</v>
      </c>
      <c r="F63" s="33" t="e">
        <f>E63*D63</f>
        <v>#REF!</v>
      </c>
    </row>
    <row r="64" spans="1:6" ht="21.75" customHeight="1" thickBot="1">
      <c r="A64" s="68"/>
      <c r="B64" s="69"/>
      <c r="C64" s="70"/>
      <c r="D64" s="71"/>
      <c r="E64" s="71"/>
      <c r="F64" s="9"/>
    </row>
    <row r="65" spans="1:8" ht="24.95" customHeight="1" thickBot="1">
      <c r="A65" s="503" t="s">
        <v>56</v>
      </c>
      <c r="B65" s="504"/>
      <c r="C65" s="504"/>
      <c r="D65" s="504"/>
      <c r="E65" s="505"/>
      <c r="F65" s="17" t="e">
        <f>SUM(F56:F63)</f>
        <v>#REF!</v>
      </c>
    </row>
    <row r="66" spans="1:8" ht="12.75" customHeight="1">
      <c r="A66" s="7"/>
      <c r="B66" s="64"/>
      <c r="C66" s="18"/>
      <c r="D66" s="8"/>
      <c r="E66" s="8"/>
      <c r="F66" s="9"/>
    </row>
    <row r="67" spans="1:8" ht="24.95" customHeight="1">
      <c r="A67" s="15"/>
      <c r="B67" s="11" t="s">
        <v>192</v>
      </c>
      <c r="C67" s="12"/>
      <c r="D67" s="13"/>
      <c r="E67" s="13"/>
      <c r="F67" s="9"/>
    </row>
    <row r="68" spans="1:8" ht="24.95" customHeight="1">
      <c r="A68" s="15">
        <v>114</v>
      </c>
      <c r="B68" s="16" t="s">
        <v>43</v>
      </c>
      <c r="C68" s="24" t="s">
        <v>259</v>
      </c>
      <c r="D68" s="25" t="e">
        <f>#REF!</f>
        <v>#REF!</v>
      </c>
      <c r="E68" s="25">
        <v>50</v>
      </c>
      <c r="F68" s="33" t="e">
        <f>+D68*E68</f>
        <v>#REF!</v>
      </c>
    </row>
    <row r="69" spans="1:8" ht="24.95" customHeight="1">
      <c r="A69" s="15">
        <v>115</v>
      </c>
      <c r="B69" s="16" t="s">
        <v>60</v>
      </c>
      <c r="C69" s="24" t="s">
        <v>259</v>
      </c>
      <c r="D69" s="25" t="e">
        <f>#REF!</f>
        <v>#REF!</v>
      </c>
      <c r="E69" s="25">
        <v>15</v>
      </c>
      <c r="F69" s="33" t="e">
        <f t="shared" ref="F69:F70" si="5">+D69*E69</f>
        <v>#REF!</v>
      </c>
    </row>
    <row r="70" spans="1:8" ht="24.95" customHeight="1">
      <c r="A70" s="15">
        <v>116</v>
      </c>
      <c r="B70" s="16" t="s">
        <v>44</v>
      </c>
      <c r="C70" s="24" t="s">
        <v>259</v>
      </c>
      <c r="D70" s="25" t="e">
        <f>#REF!</f>
        <v>#REF!</v>
      </c>
      <c r="E70" s="25">
        <v>150</v>
      </c>
      <c r="F70" s="33" t="e">
        <f t="shared" si="5"/>
        <v>#REF!</v>
      </c>
    </row>
    <row r="71" spans="1:8" ht="13.5" customHeight="1" thickBot="1">
      <c r="A71" s="65"/>
      <c r="B71" s="66"/>
      <c r="C71" s="80"/>
      <c r="D71" s="81"/>
      <c r="E71" s="81"/>
      <c r="F71" s="82"/>
    </row>
    <row r="72" spans="1:8" ht="24.95" customHeight="1" thickBot="1">
      <c r="A72" s="503" t="s">
        <v>57</v>
      </c>
      <c r="B72" s="504"/>
      <c r="C72" s="504"/>
      <c r="D72" s="504"/>
      <c r="E72" s="505"/>
      <c r="F72" s="17" t="e">
        <f>SUM(F68:F71)</f>
        <v>#REF!</v>
      </c>
    </row>
    <row r="73" spans="1:8" ht="17.25" customHeight="1">
      <c r="A73" s="74"/>
      <c r="B73" s="75"/>
      <c r="C73" s="76"/>
      <c r="D73" s="77"/>
      <c r="E73" s="77"/>
      <c r="F73" s="78"/>
    </row>
    <row r="74" spans="1:8" ht="27" customHeight="1">
      <c r="A74" s="20"/>
      <c r="B74" s="11" t="s">
        <v>193</v>
      </c>
      <c r="C74" s="12"/>
      <c r="D74" s="13"/>
      <c r="E74" s="13"/>
      <c r="F74" s="9"/>
    </row>
    <row r="75" spans="1:8" ht="24.95" customHeight="1">
      <c r="A75" s="15">
        <v>117</v>
      </c>
      <c r="B75" s="16" t="s">
        <v>121</v>
      </c>
      <c r="C75" s="18"/>
      <c r="D75" s="18"/>
      <c r="E75" s="18"/>
      <c r="F75" s="21"/>
    </row>
    <row r="76" spans="1:8" ht="24.75" customHeight="1">
      <c r="A76" s="15" t="s">
        <v>49</v>
      </c>
      <c r="B76" s="203" t="s">
        <v>122</v>
      </c>
      <c r="C76" s="24" t="s">
        <v>310</v>
      </c>
      <c r="D76" s="25" t="e">
        <f>#REF!</f>
        <v>#REF!</v>
      </c>
      <c r="E76" s="25">
        <v>1100</v>
      </c>
      <c r="F76" s="26" t="e">
        <f>+D76*E76</f>
        <v>#REF!</v>
      </c>
    </row>
    <row r="77" spans="1:8" ht="24" customHeight="1">
      <c r="A77" s="15" t="s">
        <v>50</v>
      </c>
      <c r="B77" s="203" t="s">
        <v>123</v>
      </c>
      <c r="C77" s="24" t="s">
        <v>310</v>
      </c>
      <c r="D77" s="25" t="e">
        <f>#REF!</f>
        <v>#REF!</v>
      </c>
      <c r="E77" s="25">
        <v>1100</v>
      </c>
      <c r="F77" s="26" t="e">
        <f t="shared" ref="F77:F81" si="6">+D77*E77</f>
        <v>#REF!</v>
      </c>
    </row>
    <row r="78" spans="1:8" ht="24" customHeight="1">
      <c r="A78" s="15" t="s">
        <v>51</v>
      </c>
      <c r="B78" s="203" t="s">
        <v>124</v>
      </c>
      <c r="C78" s="24" t="s">
        <v>310</v>
      </c>
      <c r="D78" s="25" t="e">
        <f>#REF!</f>
        <v>#REF!</v>
      </c>
      <c r="E78" s="25">
        <v>1100</v>
      </c>
      <c r="F78" s="26" t="e">
        <f t="shared" si="6"/>
        <v>#REF!</v>
      </c>
    </row>
    <row r="79" spans="1:8" ht="24" customHeight="1">
      <c r="A79" s="15" t="s">
        <v>70</v>
      </c>
      <c r="B79" s="203" t="s">
        <v>1216</v>
      </c>
      <c r="C79" s="24" t="s">
        <v>310</v>
      </c>
      <c r="D79" s="25" t="e">
        <f>#REF!</f>
        <v>#REF!</v>
      </c>
      <c r="E79" s="25">
        <v>1100</v>
      </c>
      <c r="F79" s="26" t="e">
        <f t="shared" si="6"/>
        <v>#REF!</v>
      </c>
      <c r="H79" s="34"/>
    </row>
    <row r="80" spans="1:8" ht="24" customHeight="1">
      <c r="A80" s="15" t="s">
        <v>52</v>
      </c>
      <c r="B80" s="203" t="s">
        <v>125</v>
      </c>
      <c r="C80" s="24" t="s">
        <v>310</v>
      </c>
      <c r="D80" s="25" t="e">
        <f>#REF!</f>
        <v>#REF!</v>
      </c>
      <c r="E80" s="25">
        <v>1100</v>
      </c>
      <c r="F80" s="26" t="e">
        <f t="shared" si="6"/>
        <v>#REF!</v>
      </c>
      <c r="H80" s="34"/>
    </row>
    <row r="81" spans="1:6" ht="24.75" customHeight="1">
      <c r="A81" s="15" t="s">
        <v>71</v>
      </c>
      <c r="B81" s="203" t="s">
        <v>126</v>
      </c>
      <c r="C81" s="24" t="s">
        <v>310</v>
      </c>
      <c r="D81" s="25" t="e">
        <f>#REF!</f>
        <v>#REF!</v>
      </c>
      <c r="E81" s="25">
        <v>1100</v>
      </c>
      <c r="F81" s="26" t="e">
        <f t="shared" si="6"/>
        <v>#REF!</v>
      </c>
    </row>
    <row r="82" spans="1:6" ht="24.75" customHeight="1">
      <c r="A82" s="15">
        <v>118</v>
      </c>
      <c r="B82" s="16" t="s">
        <v>127</v>
      </c>
      <c r="C82" s="24" t="s">
        <v>19</v>
      </c>
      <c r="D82" s="25" t="e">
        <f>#REF!</f>
        <v>#REF!</v>
      </c>
      <c r="E82" s="25">
        <v>11</v>
      </c>
      <c r="F82" s="26" t="e">
        <f>+D82*E82</f>
        <v>#REF!</v>
      </c>
    </row>
    <row r="83" spans="1:6" ht="24.75" customHeight="1">
      <c r="A83" s="15">
        <v>119</v>
      </c>
      <c r="B83" s="16" t="s">
        <v>136</v>
      </c>
      <c r="C83" s="24" t="s">
        <v>28</v>
      </c>
      <c r="D83" s="25" t="e">
        <f>#REF!</f>
        <v>#REF!</v>
      </c>
      <c r="E83" s="25">
        <v>120</v>
      </c>
      <c r="F83" s="26" t="e">
        <f>+D83*E83</f>
        <v>#REF!</v>
      </c>
    </row>
    <row r="84" spans="1:6" ht="24.75" customHeight="1">
      <c r="A84" s="15">
        <v>120</v>
      </c>
      <c r="B84" s="16" t="s">
        <v>128</v>
      </c>
      <c r="C84" s="24"/>
      <c r="D84" s="25"/>
      <c r="E84" s="25"/>
      <c r="F84" s="26"/>
    </row>
    <row r="85" spans="1:6" ht="24.75" customHeight="1">
      <c r="A85" s="15" t="s">
        <v>53</v>
      </c>
      <c r="B85" s="16" t="s">
        <v>129</v>
      </c>
      <c r="C85" s="24" t="s">
        <v>259</v>
      </c>
      <c r="D85" s="25" t="e">
        <f>#REF!</f>
        <v>#REF!</v>
      </c>
      <c r="E85" s="25">
        <v>200</v>
      </c>
      <c r="F85" s="26" t="e">
        <f>+D85*E85</f>
        <v>#REF!</v>
      </c>
    </row>
    <row r="86" spans="1:6" ht="13.5" customHeight="1" thickBot="1">
      <c r="A86" s="79"/>
      <c r="B86" s="69"/>
      <c r="C86" s="70"/>
      <c r="D86" s="73"/>
      <c r="E86" s="71"/>
      <c r="F86" s="14"/>
    </row>
    <row r="87" spans="1:6" ht="20.25" customHeight="1" thickBot="1">
      <c r="A87" s="503" t="s">
        <v>58</v>
      </c>
      <c r="B87" s="504"/>
      <c r="C87" s="504"/>
      <c r="D87" s="504"/>
      <c r="E87" s="505"/>
      <c r="F87" s="17" t="e">
        <f>SUM(F76:F85)</f>
        <v>#REF!</v>
      </c>
    </row>
    <row r="88" spans="1:6" ht="12.75" customHeight="1">
      <c r="A88" s="79"/>
      <c r="B88" s="69"/>
      <c r="C88" s="70"/>
      <c r="D88" s="73"/>
      <c r="E88" s="71"/>
      <c r="F88" s="14"/>
    </row>
    <row r="89" spans="1:6" ht="20.25" customHeight="1">
      <c r="A89" s="35"/>
      <c r="B89" s="11" t="s">
        <v>194</v>
      </c>
      <c r="C89" s="24"/>
      <c r="D89" s="25"/>
      <c r="E89" s="25"/>
      <c r="F89" s="26"/>
    </row>
    <row r="90" spans="1:6" ht="24.95" customHeight="1">
      <c r="A90" s="15">
        <v>121</v>
      </c>
      <c r="B90" s="16" t="s">
        <v>130</v>
      </c>
      <c r="C90" s="28"/>
      <c r="D90" s="29"/>
      <c r="E90" s="30"/>
      <c r="F90" s="36"/>
    </row>
    <row r="91" spans="1:6" ht="24.95" customHeight="1">
      <c r="A91" s="15" t="s">
        <v>72</v>
      </c>
      <c r="B91" s="16" t="s">
        <v>131</v>
      </c>
      <c r="C91" s="24" t="s">
        <v>259</v>
      </c>
      <c r="D91" s="25" t="e">
        <f>#REF!</f>
        <v>#REF!</v>
      </c>
      <c r="E91" s="25">
        <v>170</v>
      </c>
      <c r="F91" s="26" t="e">
        <f>E91*D91</f>
        <v>#REF!</v>
      </c>
    </row>
    <row r="92" spans="1:6" ht="24.95" customHeight="1">
      <c r="A92" s="68">
        <v>122</v>
      </c>
      <c r="B92" s="69" t="s">
        <v>132</v>
      </c>
      <c r="C92" s="72" t="s">
        <v>259</v>
      </c>
      <c r="D92" s="73" t="e">
        <f>#REF!</f>
        <v>#REF!</v>
      </c>
      <c r="E92" s="73">
        <v>90</v>
      </c>
      <c r="F92" s="100" t="e">
        <f>E92*D92</f>
        <v>#REF!</v>
      </c>
    </row>
    <row r="93" spans="1:6" ht="23.25" customHeight="1">
      <c r="A93" s="68">
        <v>123</v>
      </c>
      <c r="B93" s="69" t="s">
        <v>454</v>
      </c>
      <c r="C93" s="72" t="s">
        <v>259</v>
      </c>
      <c r="D93" s="178" t="e">
        <f>#REF!</f>
        <v>#REF!</v>
      </c>
      <c r="E93" s="178">
        <v>250</v>
      </c>
      <c r="F93" s="100" t="e">
        <f>E93*D93</f>
        <v>#REF!</v>
      </c>
    </row>
    <row r="94" spans="1:6" ht="23.25" customHeight="1" thickBot="1">
      <c r="A94" s="68"/>
      <c r="B94" s="179"/>
      <c r="C94" s="180"/>
      <c r="D94" s="181"/>
      <c r="E94" s="181"/>
      <c r="F94" s="193"/>
    </row>
    <row r="95" spans="1:6" ht="21" customHeight="1" thickBot="1">
      <c r="A95" s="506" t="s">
        <v>1203</v>
      </c>
      <c r="B95" s="507"/>
      <c r="C95" s="507"/>
      <c r="D95" s="507"/>
      <c r="E95" s="508"/>
      <c r="F95" s="17" t="e">
        <f>SUM(F91:F93)</f>
        <v>#REF!</v>
      </c>
    </row>
    <row r="96" spans="1:6" ht="13.5" customHeight="1">
      <c r="A96" s="182"/>
      <c r="B96" s="183"/>
      <c r="C96" s="184"/>
      <c r="D96" s="111"/>
      <c r="E96" s="185"/>
      <c r="F96" s="14"/>
    </row>
    <row r="97" spans="1:6" ht="21" customHeight="1">
      <c r="A97" s="35"/>
      <c r="B97" s="11" t="s">
        <v>195</v>
      </c>
      <c r="C97" s="24"/>
      <c r="D97" s="25"/>
      <c r="E97" s="25"/>
      <c r="F97" s="36"/>
    </row>
    <row r="98" spans="1:6" ht="24.95" customHeight="1">
      <c r="A98" s="15">
        <v>124</v>
      </c>
      <c r="B98" s="16" t="s">
        <v>235</v>
      </c>
      <c r="C98" s="24" t="s">
        <v>259</v>
      </c>
      <c r="D98" s="25" t="e">
        <f>#REF!</f>
        <v>#REF!</v>
      </c>
      <c r="E98" s="25">
        <v>35</v>
      </c>
      <c r="F98" s="26" t="e">
        <f>E98*D98</f>
        <v>#REF!</v>
      </c>
    </row>
    <row r="99" spans="1:6" ht="24.95" customHeight="1">
      <c r="A99" s="15">
        <v>125</v>
      </c>
      <c r="B99" s="16" t="s">
        <v>236</v>
      </c>
      <c r="C99" s="24" t="s">
        <v>259</v>
      </c>
      <c r="D99" s="25" t="e">
        <f>#REF!</f>
        <v>#REF!</v>
      </c>
      <c r="E99" s="25">
        <v>35</v>
      </c>
      <c r="F99" s="26" t="e">
        <f>E99*D99</f>
        <v>#REF!</v>
      </c>
    </row>
    <row r="100" spans="1:6" ht="13.5" customHeight="1" thickBot="1">
      <c r="A100" s="68"/>
      <c r="B100" s="69"/>
      <c r="C100" s="72"/>
      <c r="D100" s="73"/>
      <c r="E100" s="73"/>
      <c r="F100" s="26"/>
    </row>
    <row r="101" spans="1:6" ht="21.75" customHeight="1" thickBot="1">
      <c r="A101" s="503" t="s">
        <v>1202</v>
      </c>
      <c r="B101" s="504"/>
      <c r="C101" s="504"/>
      <c r="D101" s="504"/>
      <c r="E101" s="505"/>
      <c r="F101" s="17" t="e">
        <f>SUM(F98:F99)</f>
        <v>#REF!</v>
      </c>
    </row>
    <row r="102" spans="1:6" ht="13.5" customHeight="1">
      <c r="A102" s="79"/>
      <c r="B102" s="69"/>
      <c r="C102" s="70"/>
      <c r="D102" s="73"/>
      <c r="E102" s="71"/>
      <c r="F102" s="14"/>
    </row>
    <row r="103" spans="1:6" ht="24.95" customHeight="1">
      <c r="A103" s="35"/>
      <c r="B103" s="11" t="s">
        <v>196</v>
      </c>
      <c r="C103" s="24"/>
      <c r="D103" s="25"/>
      <c r="E103" s="25"/>
      <c r="F103" s="36"/>
    </row>
    <row r="104" spans="1:6" ht="24.95" customHeight="1">
      <c r="A104" s="15">
        <v>126</v>
      </c>
      <c r="B104" s="16" t="s">
        <v>237</v>
      </c>
      <c r="C104" s="24" t="s">
        <v>28</v>
      </c>
      <c r="D104" s="25" t="e">
        <f>#REF!</f>
        <v>#REF!</v>
      </c>
      <c r="E104" s="25">
        <v>120</v>
      </c>
      <c r="F104" s="26" t="e">
        <f>E104*D104</f>
        <v>#REF!</v>
      </c>
    </row>
    <row r="105" spans="1:6" ht="24.95" customHeight="1">
      <c r="A105" s="15">
        <v>127</v>
      </c>
      <c r="B105" s="16" t="s">
        <v>1163</v>
      </c>
      <c r="C105" s="24" t="s">
        <v>259</v>
      </c>
      <c r="D105" s="25" t="e">
        <f>#REF!</f>
        <v>#REF!</v>
      </c>
      <c r="E105" s="25">
        <v>70</v>
      </c>
      <c r="F105" s="26" t="e">
        <f>E105*D105</f>
        <v>#REF!</v>
      </c>
    </row>
    <row r="106" spans="1:6" ht="24.95" customHeight="1">
      <c r="A106" s="15">
        <v>128</v>
      </c>
      <c r="B106" s="16" t="s">
        <v>1294</v>
      </c>
      <c r="C106" s="24" t="s">
        <v>259</v>
      </c>
      <c r="D106" s="25" t="e">
        <f>#REF!</f>
        <v>#REF!</v>
      </c>
      <c r="E106" s="25">
        <v>180</v>
      </c>
      <c r="F106" s="26" t="e">
        <f>E106*D106</f>
        <v>#REF!</v>
      </c>
    </row>
    <row r="107" spans="1:6" ht="24.95" customHeight="1">
      <c r="A107" s="15">
        <v>130</v>
      </c>
      <c r="B107" s="16" t="s">
        <v>1164</v>
      </c>
      <c r="C107" s="24" t="s">
        <v>28</v>
      </c>
      <c r="D107" s="25" t="e">
        <f>#REF!</f>
        <v>#REF!</v>
      </c>
      <c r="E107" s="25">
        <v>1300</v>
      </c>
      <c r="F107" s="26" t="e">
        <f t="shared" ref="F107:F111" si="7">E107*D107</f>
        <v>#REF!</v>
      </c>
    </row>
    <row r="108" spans="1:6" ht="24.95" customHeight="1">
      <c r="A108" s="15">
        <v>131</v>
      </c>
      <c r="B108" s="16" t="s">
        <v>238</v>
      </c>
      <c r="C108" s="24" t="s">
        <v>16</v>
      </c>
      <c r="D108" s="25" t="e">
        <f>#REF!</f>
        <v>#REF!</v>
      </c>
      <c r="E108" s="25">
        <v>500</v>
      </c>
      <c r="F108" s="26" t="e">
        <f t="shared" si="7"/>
        <v>#REF!</v>
      </c>
    </row>
    <row r="109" spans="1:6" ht="24.95" customHeight="1">
      <c r="A109" s="68">
        <v>132</v>
      </c>
      <c r="B109" s="16" t="s">
        <v>466</v>
      </c>
      <c r="C109" s="72" t="s">
        <v>28</v>
      </c>
      <c r="D109" s="73" t="e">
        <f>#REF!</f>
        <v>#REF!</v>
      </c>
      <c r="E109" s="73">
        <v>200</v>
      </c>
      <c r="F109" s="26" t="e">
        <f t="shared" si="7"/>
        <v>#REF!</v>
      </c>
    </row>
    <row r="110" spans="1:6" ht="24.95" customHeight="1">
      <c r="A110" s="68">
        <v>133</v>
      </c>
      <c r="B110" s="16" t="s">
        <v>1293</v>
      </c>
      <c r="C110" s="72" t="s">
        <v>259</v>
      </c>
      <c r="D110" s="73" t="e">
        <f>#REF!</f>
        <v>#REF!</v>
      </c>
      <c r="E110" s="73">
        <v>300</v>
      </c>
      <c r="F110" s="26" t="e">
        <f t="shared" ref="F110" si="8">E110*D110</f>
        <v>#REF!</v>
      </c>
    </row>
    <row r="111" spans="1:6" ht="24.95" customHeight="1">
      <c r="A111" s="68">
        <v>134</v>
      </c>
      <c r="B111" s="16" t="s">
        <v>468</v>
      </c>
      <c r="C111" s="72" t="s">
        <v>28</v>
      </c>
      <c r="D111" s="73" t="e">
        <f>#REF!</f>
        <v>#REF!</v>
      </c>
      <c r="E111" s="73">
        <v>100</v>
      </c>
      <c r="F111" s="26" t="e">
        <f t="shared" si="7"/>
        <v>#REF!</v>
      </c>
    </row>
    <row r="112" spans="1:6" ht="24" customHeight="1" thickBot="1">
      <c r="A112" s="68"/>
      <c r="B112" s="69"/>
      <c r="C112" s="72"/>
      <c r="D112" s="73"/>
      <c r="E112" s="73"/>
      <c r="F112" s="26"/>
    </row>
    <row r="113" spans="1:6" ht="20.25" customHeight="1" thickBot="1">
      <c r="A113" s="503" t="s">
        <v>1201</v>
      </c>
      <c r="B113" s="504"/>
      <c r="C113" s="504"/>
      <c r="D113" s="504"/>
      <c r="E113" s="505"/>
      <c r="F113" s="17" t="e">
        <f>SUM(F104:F111)</f>
        <v>#REF!</v>
      </c>
    </row>
    <row r="114" spans="1:6" ht="13.5" customHeight="1" thickBot="1">
      <c r="A114" s="86"/>
      <c r="B114" s="87"/>
      <c r="C114" s="88"/>
      <c r="D114" s="27"/>
      <c r="E114" s="27"/>
      <c r="F114" s="89"/>
    </row>
    <row r="115" spans="1:6" ht="21.75" customHeight="1" thickBot="1">
      <c r="A115" s="521" t="s">
        <v>207</v>
      </c>
      <c r="B115" s="522"/>
      <c r="C115" s="522"/>
      <c r="D115" s="522"/>
      <c r="E115" s="523"/>
      <c r="F115" s="104" t="e">
        <f>SUM(F113+F101+F95+F87+F72+F65+F52+F38)</f>
        <v>#REF!</v>
      </c>
    </row>
    <row r="116" spans="1:6" ht="12.75" customHeight="1">
      <c r="A116" s="68"/>
      <c r="B116" s="69"/>
      <c r="C116" s="72"/>
      <c r="D116" s="73"/>
      <c r="E116" s="73"/>
      <c r="F116" s="26"/>
    </row>
    <row r="117" spans="1:6" ht="24" customHeight="1">
      <c r="A117" s="10"/>
      <c r="B117" s="534" t="s">
        <v>209</v>
      </c>
      <c r="C117" s="535"/>
      <c r="D117" s="535"/>
      <c r="E117" s="536"/>
      <c r="F117" s="26"/>
    </row>
    <row r="118" spans="1:6" ht="24" customHeight="1">
      <c r="A118" s="15">
        <v>201</v>
      </c>
      <c r="B118" s="16" t="s">
        <v>198</v>
      </c>
      <c r="C118" s="24" t="s">
        <v>259</v>
      </c>
      <c r="D118" s="25" t="e">
        <f>#REF!</f>
        <v>#REF!</v>
      </c>
      <c r="E118" s="25">
        <v>30</v>
      </c>
      <c r="F118" s="26" t="e">
        <f t="shared" ref="F118:F125" si="9">E118*D118</f>
        <v>#REF!</v>
      </c>
    </row>
    <row r="119" spans="1:6" ht="24" customHeight="1">
      <c r="A119" s="15">
        <v>202</v>
      </c>
      <c r="B119" s="16" t="s">
        <v>199</v>
      </c>
      <c r="C119" s="24" t="s">
        <v>259</v>
      </c>
      <c r="D119" s="25" t="e">
        <f>#REF!</f>
        <v>#REF!</v>
      </c>
      <c r="E119" s="25">
        <v>5</v>
      </c>
      <c r="F119" s="26" t="e">
        <f t="shared" si="9"/>
        <v>#REF!</v>
      </c>
    </row>
    <row r="120" spans="1:6" ht="24" customHeight="1">
      <c r="A120" s="15">
        <v>203</v>
      </c>
      <c r="B120" s="16" t="s">
        <v>200</v>
      </c>
      <c r="C120" s="24" t="s">
        <v>28</v>
      </c>
      <c r="D120" s="25" t="e">
        <f>#REF!</f>
        <v>#REF!</v>
      </c>
      <c r="E120" s="25">
        <v>25</v>
      </c>
      <c r="F120" s="26" t="e">
        <f t="shared" si="9"/>
        <v>#REF!</v>
      </c>
    </row>
    <row r="121" spans="1:6" ht="24" customHeight="1">
      <c r="A121" s="15">
        <v>204</v>
      </c>
      <c r="B121" s="16" t="s">
        <v>201</v>
      </c>
      <c r="C121" s="24" t="s">
        <v>259</v>
      </c>
      <c r="D121" s="25" t="e">
        <f>#REF!</f>
        <v>#REF!</v>
      </c>
      <c r="E121" s="25">
        <v>120</v>
      </c>
      <c r="F121" s="26" t="e">
        <f t="shared" si="9"/>
        <v>#REF!</v>
      </c>
    </row>
    <row r="122" spans="1:6" ht="24" customHeight="1">
      <c r="A122" s="15">
        <v>205</v>
      </c>
      <c r="B122" s="16" t="s">
        <v>202</v>
      </c>
      <c r="C122" s="24" t="s">
        <v>28</v>
      </c>
      <c r="D122" s="25" t="e">
        <f>#REF!</f>
        <v>#REF!</v>
      </c>
      <c r="E122" s="25">
        <v>50</v>
      </c>
      <c r="F122" s="26" t="e">
        <f t="shared" si="9"/>
        <v>#REF!</v>
      </c>
    </row>
    <row r="123" spans="1:6" ht="24" customHeight="1">
      <c r="A123" s="15">
        <v>206</v>
      </c>
      <c r="B123" s="16" t="s">
        <v>203</v>
      </c>
      <c r="C123" s="24" t="s">
        <v>259</v>
      </c>
      <c r="D123" s="25" t="e">
        <f>#REF!</f>
        <v>#REF!</v>
      </c>
      <c r="E123" s="25">
        <v>40</v>
      </c>
      <c r="F123" s="26" t="e">
        <f t="shared" si="9"/>
        <v>#REF!</v>
      </c>
    </row>
    <row r="124" spans="1:6" ht="24" customHeight="1">
      <c r="A124" s="15">
        <v>207</v>
      </c>
      <c r="B124" s="16" t="s">
        <v>204</v>
      </c>
      <c r="C124" s="24" t="s">
        <v>28</v>
      </c>
      <c r="D124" s="25" t="e">
        <f>#REF!</f>
        <v>#REF!</v>
      </c>
      <c r="E124" s="25">
        <v>25</v>
      </c>
      <c r="F124" s="26" t="e">
        <f t="shared" si="9"/>
        <v>#REF!</v>
      </c>
    </row>
    <row r="125" spans="1:6" ht="24" customHeight="1">
      <c r="A125" s="15">
        <v>208</v>
      </c>
      <c r="B125" s="16" t="s">
        <v>205</v>
      </c>
      <c r="C125" s="24" t="s">
        <v>259</v>
      </c>
      <c r="D125" s="25" t="e">
        <f>#REF!</f>
        <v>#REF!</v>
      </c>
      <c r="E125" s="25">
        <v>110</v>
      </c>
      <c r="F125" s="26" t="e">
        <f t="shared" si="9"/>
        <v>#REF!</v>
      </c>
    </row>
    <row r="126" spans="1:6" s="92" customFormat="1" ht="24" customHeight="1">
      <c r="A126" s="15">
        <v>209</v>
      </c>
      <c r="B126" s="16" t="s">
        <v>255</v>
      </c>
      <c r="C126" s="24" t="s">
        <v>259</v>
      </c>
      <c r="D126" s="25" t="e">
        <f>#REF!</f>
        <v>#REF!</v>
      </c>
      <c r="E126" s="25">
        <v>80</v>
      </c>
      <c r="F126" s="26" t="e">
        <f t="shared" ref="F126" si="10">E126*D126</f>
        <v>#REF!</v>
      </c>
    </row>
    <row r="127" spans="1:6" ht="24" customHeight="1">
      <c r="A127" s="15">
        <v>210</v>
      </c>
      <c r="B127" s="16" t="s">
        <v>206</v>
      </c>
      <c r="C127" s="24" t="s">
        <v>16</v>
      </c>
      <c r="D127" s="25" t="e">
        <f>#REF!</f>
        <v>#REF!</v>
      </c>
      <c r="E127" s="25">
        <v>400</v>
      </c>
      <c r="F127" s="26" t="e">
        <f>E127*D127</f>
        <v>#REF!</v>
      </c>
    </row>
    <row r="128" spans="1:6" ht="12.75" customHeight="1" thickBot="1">
      <c r="A128" s="105"/>
      <c r="B128" s="106"/>
      <c r="C128" s="107"/>
      <c r="D128" s="108"/>
      <c r="E128" s="108"/>
      <c r="F128" s="109"/>
    </row>
    <row r="129" spans="1:6" ht="21.75" customHeight="1" thickBot="1">
      <c r="A129" s="521" t="s">
        <v>208</v>
      </c>
      <c r="B129" s="522"/>
      <c r="C129" s="522"/>
      <c r="D129" s="522"/>
      <c r="E129" s="523"/>
      <c r="F129" s="104" t="e">
        <f>SUM(F118:F127)</f>
        <v>#REF!</v>
      </c>
    </row>
    <row r="130" spans="1:6" ht="12.75" customHeight="1">
      <c r="A130" s="68"/>
      <c r="B130" s="69"/>
      <c r="C130" s="72"/>
      <c r="D130" s="73"/>
      <c r="E130" s="73"/>
      <c r="F130" s="26"/>
    </row>
    <row r="131" spans="1:6" ht="24" customHeight="1">
      <c r="A131" s="10"/>
      <c r="B131" s="534" t="s">
        <v>210</v>
      </c>
      <c r="C131" s="535"/>
      <c r="D131" s="535"/>
      <c r="E131" s="536"/>
      <c r="F131" s="26"/>
    </row>
    <row r="132" spans="1:6" ht="24" customHeight="1">
      <c r="A132" s="15">
        <v>301</v>
      </c>
      <c r="B132" s="16" t="s">
        <v>258</v>
      </c>
      <c r="C132" s="24" t="s">
        <v>259</v>
      </c>
      <c r="D132" s="25">
        <v>3948.91</v>
      </c>
      <c r="E132" s="25">
        <v>110</v>
      </c>
      <c r="F132" s="26">
        <f>E132*D132</f>
        <v>434380.1</v>
      </c>
    </row>
    <row r="133" spans="1:6" ht="24" customHeight="1">
      <c r="A133" s="15">
        <v>302</v>
      </c>
      <c r="B133" s="16" t="s">
        <v>260</v>
      </c>
      <c r="C133" s="24" t="s">
        <v>259</v>
      </c>
      <c r="D133" s="25" t="e">
        <f>#REF!</f>
        <v>#REF!</v>
      </c>
      <c r="E133" s="25">
        <v>100</v>
      </c>
      <c r="F133" s="26" t="e">
        <f>E133*D133</f>
        <v>#REF!</v>
      </c>
    </row>
    <row r="134" spans="1:6" ht="21.75" customHeight="1">
      <c r="A134" s="15">
        <v>303</v>
      </c>
      <c r="B134" s="16" t="s">
        <v>261</v>
      </c>
      <c r="C134" s="24" t="s">
        <v>321</v>
      </c>
      <c r="D134" s="25" t="e">
        <f>#REF!</f>
        <v>#REF!</v>
      </c>
      <c r="E134" s="25">
        <v>30</v>
      </c>
      <c r="F134" s="26" t="e">
        <f t="shared" ref="F134:F136" si="11">E134*D134</f>
        <v>#REF!</v>
      </c>
    </row>
    <row r="135" spans="1:6" ht="24.75" customHeight="1">
      <c r="A135" s="15">
        <v>304</v>
      </c>
      <c r="B135" s="16" t="s">
        <v>262</v>
      </c>
      <c r="C135" s="24" t="s">
        <v>259</v>
      </c>
      <c r="D135" s="25" t="e">
        <f>#REF!</f>
        <v>#REF!</v>
      </c>
      <c r="E135" s="25">
        <v>25</v>
      </c>
      <c r="F135" s="26" t="e">
        <f t="shared" si="11"/>
        <v>#REF!</v>
      </c>
    </row>
    <row r="136" spans="1:6" ht="24" customHeight="1">
      <c r="A136" s="15">
        <v>305</v>
      </c>
      <c r="B136" s="16" t="s">
        <v>263</v>
      </c>
      <c r="C136" s="24" t="s">
        <v>259</v>
      </c>
      <c r="D136" s="25" t="e">
        <f>#REF!</f>
        <v>#REF!</v>
      </c>
      <c r="E136" s="25">
        <v>220</v>
      </c>
      <c r="F136" s="26" t="e">
        <f t="shared" si="11"/>
        <v>#REF!</v>
      </c>
    </row>
    <row r="137" spans="1:6" ht="24" customHeight="1">
      <c r="A137" s="15">
        <v>306</v>
      </c>
      <c r="B137" s="16" t="s">
        <v>281</v>
      </c>
      <c r="C137" s="24" t="s">
        <v>259</v>
      </c>
      <c r="D137" s="25" t="e">
        <f>#REF!</f>
        <v>#REF!</v>
      </c>
      <c r="E137" s="25">
        <v>80</v>
      </c>
      <c r="F137" s="26" t="e">
        <f t="shared" ref="F137:F149" si="12">E137*D137</f>
        <v>#REF!</v>
      </c>
    </row>
    <row r="138" spans="1:6" ht="24" customHeight="1">
      <c r="A138" s="15">
        <v>307</v>
      </c>
      <c r="B138" s="16" t="s">
        <v>282</v>
      </c>
      <c r="C138" s="24" t="s">
        <v>259</v>
      </c>
      <c r="D138" s="25" t="e">
        <f>#REF!</f>
        <v>#REF!</v>
      </c>
      <c r="E138" s="25">
        <v>220</v>
      </c>
      <c r="F138" s="26" t="e">
        <f t="shared" si="12"/>
        <v>#REF!</v>
      </c>
    </row>
    <row r="139" spans="1:6" ht="24" customHeight="1">
      <c r="A139" s="15">
        <v>308</v>
      </c>
      <c r="B139" s="16" t="s">
        <v>283</v>
      </c>
      <c r="C139" s="24" t="s">
        <v>259</v>
      </c>
      <c r="D139" s="25" t="e">
        <f>#REF!</f>
        <v>#REF!</v>
      </c>
      <c r="E139" s="25">
        <v>650</v>
      </c>
      <c r="F139" s="26" t="e">
        <f t="shared" si="12"/>
        <v>#REF!</v>
      </c>
    </row>
    <row r="140" spans="1:6" ht="24.75" customHeight="1">
      <c r="A140" s="15">
        <v>309</v>
      </c>
      <c r="B140" s="16" t="s">
        <v>284</v>
      </c>
      <c r="C140" s="24" t="s">
        <v>28</v>
      </c>
      <c r="D140" s="25" t="e">
        <f>#REF!</f>
        <v>#REF!</v>
      </c>
      <c r="E140" s="25">
        <v>300</v>
      </c>
      <c r="F140" s="26" t="e">
        <f t="shared" si="12"/>
        <v>#REF!</v>
      </c>
    </row>
    <row r="141" spans="1:6" ht="25.5" hidden="1" customHeight="1">
      <c r="A141" s="15">
        <v>310</v>
      </c>
      <c r="B141" s="16" t="s">
        <v>285</v>
      </c>
      <c r="C141" s="24" t="s">
        <v>28</v>
      </c>
      <c r="D141" s="25">
        <v>0</v>
      </c>
      <c r="E141" s="25">
        <v>250</v>
      </c>
      <c r="F141" s="26">
        <f t="shared" si="12"/>
        <v>0</v>
      </c>
    </row>
    <row r="142" spans="1:6" ht="24" customHeight="1">
      <c r="A142" s="15">
        <v>311</v>
      </c>
      <c r="B142" s="16" t="s">
        <v>286</v>
      </c>
      <c r="C142" s="24" t="s">
        <v>28</v>
      </c>
      <c r="D142" s="25" t="e">
        <f>#REF!</f>
        <v>#REF!</v>
      </c>
      <c r="E142" s="25">
        <v>100</v>
      </c>
      <c r="F142" s="26" t="e">
        <f t="shared" si="12"/>
        <v>#REF!</v>
      </c>
    </row>
    <row r="143" spans="1:6" ht="18.75" customHeight="1">
      <c r="A143" s="15">
        <v>312</v>
      </c>
      <c r="B143" s="16" t="s">
        <v>287</v>
      </c>
      <c r="C143" s="24" t="s">
        <v>259</v>
      </c>
      <c r="D143" s="25" t="e">
        <f>#REF!</f>
        <v>#REF!</v>
      </c>
      <c r="E143" s="25">
        <v>650</v>
      </c>
      <c r="F143" s="26" t="e">
        <f t="shared" si="12"/>
        <v>#REF!</v>
      </c>
    </row>
    <row r="144" spans="1:6" ht="20.25" hidden="1" customHeight="1">
      <c r="A144" s="15">
        <v>313</v>
      </c>
      <c r="B144" s="16" t="s">
        <v>290</v>
      </c>
      <c r="C144" s="24" t="s">
        <v>259</v>
      </c>
      <c r="D144" s="25"/>
      <c r="E144" s="25">
        <v>220</v>
      </c>
      <c r="F144" s="26">
        <f t="shared" si="12"/>
        <v>0</v>
      </c>
    </row>
    <row r="145" spans="1:6" ht="20.25" hidden="1" customHeight="1">
      <c r="A145" s="15">
        <v>314</v>
      </c>
      <c r="B145" s="16" t="s">
        <v>288</v>
      </c>
      <c r="C145" s="24" t="s">
        <v>28</v>
      </c>
      <c r="D145" s="25"/>
      <c r="E145" s="25">
        <v>80</v>
      </c>
      <c r="F145" s="26">
        <f t="shared" si="12"/>
        <v>0</v>
      </c>
    </row>
    <row r="146" spans="1:6" ht="20.25" customHeight="1">
      <c r="A146" s="15">
        <v>313</v>
      </c>
      <c r="B146" s="16" t="s">
        <v>496</v>
      </c>
      <c r="C146" s="24" t="s">
        <v>259</v>
      </c>
      <c r="D146" s="25">
        <v>320.76</v>
      </c>
      <c r="E146" s="25">
        <v>220</v>
      </c>
      <c r="F146" s="26">
        <f t="shared" si="12"/>
        <v>70567.199999999997</v>
      </c>
    </row>
    <row r="147" spans="1:6" ht="20.25" customHeight="1">
      <c r="A147" s="15">
        <v>314</v>
      </c>
      <c r="B147" s="16" t="s">
        <v>497</v>
      </c>
      <c r="C147" s="24" t="s">
        <v>28</v>
      </c>
      <c r="D147" s="25" t="e">
        <f>#REF!</f>
        <v>#REF!</v>
      </c>
      <c r="E147" s="25">
        <v>80</v>
      </c>
      <c r="F147" s="26" t="e">
        <f t="shared" si="12"/>
        <v>#REF!</v>
      </c>
    </row>
    <row r="148" spans="1:6" ht="21" customHeight="1">
      <c r="A148" s="15">
        <v>315</v>
      </c>
      <c r="B148" s="16" t="s">
        <v>211</v>
      </c>
      <c r="C148" s="24" t="s">
        <v>259</v>
      </c>
      <c r="D148" s="25" t="e">
        <f>#REF!</f>
        <v>#REF!</v>
      </c>
      <c r="E148" s="25">
        <v>240</v>
      </c>
      <c r="F148" s="26" t="e">
        <f t="shared" si="12"/>
        <v>#REF!</v>
      </c>
    </row>
    <row r="149" spans="1:6" ht="21" customHeight="1">
      <c r="A149" s="15">
        <v>316</v>
      </c>
      <c r="B149" s="16" t="s">
        <v>289</v>
      </c>
      <c r="C149" s="24" t="s">
        <v>28</v>
      </c>
      <c r="D149" s="25" t="e">
        <f>#REF!</f>
        <v>#REF!</v>
      </c>
      <c r="E149" s="25">
        <v>240</v>
      </c>
      <c r="F149" s="26" t="e">
        <f t="shared" si="12"/>
        <v>#REF!</v>
      </c>
    </row>
    <row r="150" spans="1:6" ht="17.25" customHeight="1" thickBot="1">
      <c r="A150" s="68"/>
      <c r="B150" s="69"/>
      <c r="C150" s="24"/>
      <c r="D150" s="73"/>
      <c r="E150" s="73"/>
      <c r="F150" s="26"/>
    </row>
    <row r="151" spans="1:6" ht="19.5" customHeight="1" thickBot="1">
      <c r="A151" s="521" t="s">
        <v>212</v>
      </c>
      <c r="B151" s="522"/>
      <c r="C151" s="522"/>
      <c r="D151" s="522"/>
      <c r="E151" s="523"/>
      <c r="F151" s="104" t="e">
        <f>SUM(F132:F149)</f>
        <v>#REF!</v>
      </c>
    </row>
    <row r="152" spans="1:6" s="93" customFormat="1" ht="19.5" customHeight="1" thickBot="1">
      <c r="A152" s="205"/>
      <c r="B152" s="239"/>
      <c r="C152" s="239"/>
      <c r="D152" s="239"/>
      <c r="E152" s="239"/>
      <c r="F152" s="240"/>
    </row>
    <row r="153" spans="1:6" ht="22.5" customHeight="1">
      <c r="A153" s="194"/>
      <c r="B153" s="538" t="s">
        <v>303</v>
      </c>
      <c r="C153" s="539"/>
      <c r="D153" s="539"/>
      <c r="E153" s="540"/>
      <c r="F153" s="115"/>
    </row>
    <row r="154" spans="1:6" ht="19.5" customHeight="1">
      <c r="A154" s="68">
        <v>401</v>
      </c>
      <c r="B154" s="110" t="s">
        <v>293</v>
      </c>
      <c r="C154" s="24"/>
      <c r="D154" s="25"/>
      <c r="E154" s="25"/>
      <c r="F154" s="26"/>
    </row>
    <row r="155" spans="1:6" ht="19.5" customHeight="1">
      <c r="A155" s="68" t="s">
        <v>1289</v>
      </c>
      <c r="B155" s="16" t="s">
        <v>1290</v>
      </c>
      <c r="C155" s="24"/>
      <c r="D155" s="25"/>
      <c r="E155" s="25"/>
      <c r="F155" s="26"/>
    </row>
    <row r="156" spans="1:6" ht="19.5" customHeight="1">
      <c r="A156" s="68" t="s">
        <v>502</v>
      </c>
      <c r="B156" s="16" t="s">
        <v>503</v>
      </c>
      <c r="C156" s="24" t="s">
        <v>16</v>
      </c>
      <c r="D156" s="25" t="e">
        <f>#REF!</f>
        <v>#REF!</v>
      </c>
      <c r="E156" s="25">
        <v>3400</v>
      </c>
      <c r="F156" s="26" t="e">
        <f>E156*D156</f>
        <v>#REF!</v>
      </c>
    </row>
    <row r="157" spans="1:6" ht="18.75" customHeight="1">
      <c r="A157" s="68" t="s">
        <v>306</v>
      </c>
      <c r="B157" s="16" t="s">
        <v>307</v>
      </c>
      <c r="C157" s="39"/>
      <c r="D157" s="25"/>
      <c r="E157" s="25"/>
      <c r="F157" s="26"/>
    </row>
    <row r="158" spans="1:6" ht="21.75" customHeight="1">
      <c r="A158" s="68" t="s">
        <v>504</v>
      </c>
      <c r="B158" s="16" t="s">
        <v>1124</v>
      </c>
      <c r="C158" s="24" t="s">
        <v>16</v>
      </c>
      <c r="D158" s="25" t="e">
        <f>#REF!</f>
        <v>#REF!</v>
      </c>
      <c r="E158" s="25">
        <v>3400</v>
      </c>
      <c r="F158" s="26" t="e">
        <f>E158*D158</f>
        <v>#REF!</v>
      </c>
    </row>
    <row r="159" spans="1:6" ht="19.5" customHeight="1">
      <c r="A159" s="68" t="s">
        <v>506</v>
      </c>
      <c r="B159" s="16" t="s">
        <v>1125</v>
      </c>
      <c r="C159" s="24" t="s">
        <v>16</v>
      </c>
      <c r="D159" s="25" t="e">
        <f>#REF!</f>
        <v>#REF!</v>
      </c>
      <c r="E159" s="25">
        <v>2800</v>
      </c>
      <c r="F159" s="26" t="e">
        <f>E159*D159</f>
        <v>#REF!</v>
      </c>
    </row>
    <row r="160" spans="1:6" ht="19.5" customHeight="1">
      <c r="A160" s="68" t="s">
        <v>508</v>
      </c>
      <c r="B160" s="16" t="s">
        <v>1126</v>
      </c>
      <c r="C160" s="24" t="s">
        <v>16</v>
      </c>
      <c r="D160" s="25" t="e">
        <f>#REF!</f>
        <v>#REF!</v>
      </c>
      <c r="E160" s="25">
        <v>2500</v>
      </c>
      <c r="F160" s="26" t="e">
        <f t="shared" ref="F160:F176" si="13">E160*D160</f>
        <v>#REF!</v>
      </c>
    </row>
    <row r="161" spans="1:6" ht="19.5" customHeight="1">
      <c r="A161" s="68" t="s">
        <v>294</v>
      </c>
      <c r="B161" s="16" t="s">
        <v>322</v>
      </c>
      <c r="C161" s="24" t="s">
        <v>16</v>
      </c>
      <c r="D161" s="25" t="e">
        <f>#REF!</f>
        <v>#REF!</v>
      </c>
      <c r="E161" s="25">
        <v>1500</v>
      </c>
      <c r="F161" s="26" t="e">
        <f t="shared" si="13"/>
        <v>#REF!</v>
      </c>
    </row>
    <row r="162" spans="1:6" ht="19.5" customHeight="1">
      <c r="A162" s="68" t="s">
        <v>511</v>
      </c>
      <c r="B162" s="16" t="s">
        <v>1123</v>
      </c>
      <c r="C162" s="24" t="s">
        <v>16</v>
      </c>
      <c r="D162" s="25" t="e">
        <f>#REF!</f>
        <v>#REF!</v>
      </c>
      <c r="E162" s="25">
        <v>1400</v>
      </c>
      <c r="F162" s="26" t="e">
        <f t="shared" si="13"/>
        <v>#REF!</v>
      </c>
    </row>
    <row r="163" spans="1:6" ht="19.5" customHeight="1">
      <c r="A163" s="68" t="s">
        <v>1291</v>
      </c>
      <c r="B163" s="16" t="s">
        <v>1292</v>
      </c>
      <c r="C163" s="24"/>
      <c r="D163" s="25"/>
      <c r="E163" s="25"/>
      <c r="F163" s="26"/>
    </row>
    <row r="164" spans="1:6" ht="19.5" customHeight="1">
      <c r="A164" s="68" t="s">
        <v>513</v>
      </c>
      <c r="B164" s="16" t="s">
        <v>514</v>
      </c>
      <c r="C164" s="24" t="s">
        <v>16</v>
      </c>
      <c r="D164" s="25" t="e">
        <f>#REF!</f>
        <v>#REF!</v>
      </c>
      <c r="E164" s="25">
        <v>3700</v>
      </c>
      <c r="F164" s="26" t="e">
        <f t="shared" si="13"/>
        <v>#REF!</v>
      </c>
    </row>
    <row r="165" spans="1:6" ht="19.5" customHeight="1">
      <c r="A165" s="68" t="s">
        <v>515</v>
      </c>
      <c r="B165" s="16" t="s">
        <v>516</v>
      </c>
      <c r="C165" s="24" t="s">
        <v>16</v>
      </c>
      <c r="D165" s="25" t="e">
        <f>#REF!</f>
        <v>#REF!</v>
      </c>
      <c r="E165" s="25">
        <v>2700</v>
      </c>
      <c r="F165" s="26" t="e">
        <f t="shared" si="13"/>
        <v>#REF!</v>
      </c>
    </row>
    <row r="166" spans="1:6" ht="19.5" customHeight="1">
      <c r="A166" s="68" t="s">
        <v>517</v>
      </c>
      <c r="B166" s="16" t="s">
        <v>518</v>
      </c>
      <c r="C166" s="24" t="s">
        <v>16</v>
      </c>
      <c r="D166" s="25" t="e">
        <f>#REF!</f>
        <v>#REF!</v>
      </c>
      <c r="E166" s="25">
        <v>1500</v>
      </c>
      <c r="F166" s="26" t="e">
        <f t="shared" si="13"/>
        <v>#REF!</v>
      </c>
    </row>
    <row r="167" spans="1:6" ht="19.5" customHeight="1">
      <c r="A167" s="68" t="s">
        <v>295</v>
      </c>
      <c r="B167" s="16" t="s">
        <v>308</v>
      </c>
      <c r="C167" s="24"/>
      <c r="D167" s="25"/>
      <c r="E167" s="25"/>
      <c r="F167" s="26"/>
    </row>
    <row r="168" spans="1:6" ht="19.5" customHeight="1">
      <c r="A168" s="68" t="s">
        <v>296</v>
      </c>
      <c r="B168" s="16" t="s">
        <v>323</v>
      </c>
      <c r="C168" s="24" t="s">
        <v>16</v>
      </c>
      <c r="D168" s="25" t="e">
        <f>#REF!</f>
        <v>#REF!</v>
      </c>
      <c r="E168" s="25">
        <v>2400</v>
      </c>
      <c r="F168" s="26" t="e">
        <f t="shared" si="13"/>
        <v>#REF!</v>
      </c>
    </row>
    <row r="169" spans="1:6" ht="19.5" customHeight="1">
      <c r="A169" s="68" t="s">
        <v>297</v>
      </c>
      <c r="B169" s="16" t="s">
        <v>324</v>
      </c>
      <c r="C169" s="24" t="s">
        <v>16</v>
      </c>
      <c r="D169" s="25" t="e">
        <f>#REF!</f>
        <v>#REF!</v>
      </c>
      <c r="E169" s="25">
        <v>2500</v>
      </c>
      <c r="F169" s="26" t="e">
        <f t="shared" si="13"/>
        <v>#REF!</v>
      </c>
    </row>
    <row r="170" spans="1:6" ht="19.5" customHeight="1">
      <c r="A170" s="68" t="s">
        <v>298</v>
      </c>
      <c r="B170" s="16" t="s">
        <v>325</v>
      </c>
      <c r="C170" s="24" t="s">
        <v>16</v>
      </c>
      <c r="D170" s="25" t="e">
        <f>#REF!</f>
        <v>#REF!</v>
      </c>
      <c r="E170" s="25">
        <v>3700</v>
      </c>
      <c r="F170" s="26" t="e">
        <f t="shared" si="13"/>
        <v>#REF!</v>
      </c>
    </row>
    <row r="171" spans="1:6" ht="19.5" customHeight="1">
      <c r="A171" s="68" t="s">
        <v>299</v>
      </c>
      <c r="B171" s="16" t="s">
        <v>326</v>
      </c>
      <c r="C171" s="24" t="s">
        <v>16</v>
      </c>
      <c r="D171" s="25" t="e">
        <f>#REF!</f>
        <v>#REF!</v>
      </c>
      <c r="E171" s="25">
        <v>5500</v>
      </c>
      <c r="F171" s="26" t="e">
        <f t="shared" si="13"/>
        <v>#REF!</v>
      </c>
    </row>
    <row r="172" spans="1:6" ht="18.75" customHeight="1">
      <c r="A172" s="68" t="s">
        <v>300</v>
      </c>
      <c r="B172" s="16" t="s">
        <v>327</v>
      </c>
      <c r="C172" s="24" t="s">
        <v>16</v>
      </c>
      <c r="D172" s="25" t="e">
        <f>#REF!</f>
        <v>#REF!</v>
      </c>
      <c r="E172" s="25">
        <v>7100</v>
      </c>
      <c r="F172" s="26" t="e">
        <f t="shared" si="13"/>
        <v>#REF!</v>
      </c>
    </row>
    <row r="173" spans="1:6" ht="19.5" hidden="1" customHeight="1">
      <c r="A173" s="68" t="s">
        <v>525</v>
      </c>
      <c r="B173" s="16" t="s">
        <v>1127</v>
      </c>
      <c r="C173" s="24" t="s">
        <v>16</v>
      </c>
      <c r="D173" s="25" t="e">
        <f>#REF!</f>
        <v>#REF!</v>
      </c>
      <c r="E173" s="25">
        <v>5500</v>
      </c>
      <c r="F173" s="26" t="e">
        <f t="shared" ref="F173:F174" si="14">E173*D173</f>
        <v>#REF!</v>
      </c>
    </row>
    <row r="174" spans="1:6" ht="19.5" hidden="1" customHeight="1">
      <c r="A174" s="68" t="s">
        <v>527</v>
      </c>
      <c r="B174" s="16" t="s">
        <v>1128</v>
      </c>
      <c r="C174" s="24" t="s">
        <v>16</v>
      </c>
      <c r="D174" s="25" t="e">
        <f>#REF!</f>
        <v>#REF!</v>
      </c>
      <c r="E174" s="25">
        <v>4200</v>
      </c>
      <c r="F174" s="26" t="e">
        <f t="shared" si="14"/>
        <v>#REF!</v>
      </c>
    </row>
    <row r="175" spans="1:6" ht="19.5" customHeight="1">
      <c r="A175" s="68" t="s">
        <v>301</v>
      </c>
      <c r="B175" s="16" t="s">
        <v>328</v>
      </c>
      <c r="C175" s="24" t="s">
        <v>16</v>
      </c>
      <c r="D175" s="25" t="e">
        <f>#REF!</f>
        <v>#REF!</v>
      </c>
      <c r="E175" s="25">
        <v>1100</v>
      </c>
      <c r="F175" s="26" t="e">
        <f t="shared" si="13"/>
        <v>#REF!</v>
      </c>
    </row>
    <row r="176" spans="1:6" ht="20.25" customHeight="1" thickBot="1">
      <c r="A176" s="65" t="s">
        <v>302</v>
      </c>
      <c r="B176" s="16" t="s">
        <v>309</v>
      </c>
      <c r="C176" s="24" t="s">
        <v>259</v>
      </c>
      <c r="D176" s="25" t="e">
        <f>#REF!</f>
        <v>#REF!</v>
      </c>
      <c r="E176" s="25">
        <v>700</v>
      </c>
      <c r="F176" s="26" t="e">
        <f t="shared" si="13"/>
        <v>#REF!</v>
      </c>
    </row>
    <row r="177" spans="1:6" ht="19.5" customHeight="1" thickBot="1">
      <c r="A177" s="503" t="s">
        <v>1200</v>
      </c>
      <c r="B177" s="504"/>
      <c r="C177" s="504"/>
      <c r="D177" s="504"/>
      <c r="E177" s="505"/>
      <c r="F177" s="17" t="e">
        <f>SUM(F156:F176)</f>
        <v>#REF!</v>
      </c>
    </row>
    <row r="178" spans="1:6" ht="20.25" customHeight="1">
      <c r="A178" s="68">
        <v>402</v>
      </c>
      <c r="B178" s="110" t="s">
        <v>533</v>
      </c>
      <c r="C178" s="39"/>
      <c r="D178" s="25"/>
      <c r="E178" s="25"/>
      <c r="F178" s="26"/>
    </row>
    <row r="179" spans="1:6" ht="24.95" customHeight="1">
      <c r="A179" s="68" t="s">
        <v>1130</v>
      </c>
      <c r="B179" s="244" t="s">
        <v>1131</v>
      </c>
      <c r="C179" s="39"/>
      <c r="D179" s="25"/>
      <c r="E179" s="25"/>
      <c r="F179" s="26"/>
    </row>
    <row r="180" spans="1:6" ht="24.95" customHeight="1">
      <c r="A180" s="68" t="s">
        <v>534</v>
      </c>
      <c r="B180" s="16" t="s">
        <v>1334</v>
      </c>
      <c r="C180" s="129" t="s">
        <v>16</v>
      </c>
      <c r="D180" s="25" t="e">
        <f>#REF!</f>
        <v>#REF!</v>
      </c>
      <c r="E180" s="25">
        <v>25000</v>
      </c>
      <c r="F180" s="26" t="e">
        <f>E180*D180</f>
        <v>#REF!</v>
      </c>
    </row>
    <row r="181" spans="1:6" ht="24.95" customHeight="1">
      <c r="A181" s="68" t="s">
        <v>535</v>
      </c>
      <c r="B181" s="16" t="s">
        <v>1335</v>
      </c>
      <c r="C181" s="129" t="s">
        <v>16</v>
      </c>
      <c r="D181" s="25" t="e">
        <f>#REF!</f>
        <v>#REF!</v>
      </c>
      <c r="E181" s="25">
        <v>23000</v>
      </c>
      <c r="F181" s="26" t="e">
        <f t="shared" ref="F181:F225" si="15">E181*D181</f>
        <v>#REF!</v>
      </c>
    </row>
    <row r="182" spans="1:6" ht="24.95" customHeight="1">
      <c r="A182" s="68" t="s">
        <v>536</v>
      </c>
      <c r="B182" s="16" t="s">
        <v>1336</v>
      </c>
      <c r="C182" s="129" t="s">
        <v>16</v>
      </c>
      <c r="D182" s="25" t="e">
        <f>#REF!</f>
        <v>#REF!</v>
      </c>
      <c r="E182" s="25">
        <v>17000</v>
      </c>
      <c r="F182" s="26" t="e">
        <f t="shared" si="15"/>
        <v>#REF!</v>
      </c>
    </row>
    <row r="183" spans="1:6" ht="24.95" customHeight="1">
      <c r="A183" s="68" t="s">
        <v>537</v>
      </c>
      <c r="B183" s="16" t="s">
        <v>1337</v>
      </c>
      <c r="C183" s="129" t="s">
        <v>16</v>
      </c>
      <c r="D183" s="25" t="e">
        <f>#REF!</f>
        <v>#REF!</v>
      </c>
      <c r="E183" s="25">
        <v>14000</v>
      </c>
      <c r="F183" s="26" t="e">
        <f t="shared" si="15"/>
        <v>#REF!</v>
      </c>
    </row>
    <row r="184" spans="1:6" ht="24.95" customHeight="1">
      <c r="A184" s="68" t="s">
        <v>538</v>
      </c>
      <c r="B184" s="16" t="s">
        <v>1338</v>
      </c>
      <c r="C184" s="129" t="s">
        <v>16</v>
      </c>
      <c r="D184" s="25" t="e">
        <f>#REF!</f>
        <v>#REF!</v>
      </c>
      <c r="E184" s="25">
        <v>14000</v>
      </c>
      <c r="F184" s="26" t="e">
        <f t="shared" si="15"/>
        <v>#REF!</v>
      </c>
    </row>
    <row r="185" spans="1:6" ht="24.95" customHeight="1">
      <c r="A185" s="195" t="s">
        <v>1133</v>
      </c>
      <c r="B185" s="244" t="s">
        <v>1132</v>
      </c>
      <c r="C185" s="39"/>
      <c r="D185" s="25"/>
      <c r="E185" s="25"/>
      <c r="F185" s="26"/>
    </row>
    <row r="186" spans="1:6" ht="24.95" customHeight="1">
      <c r="A186" s="68" t="s">
        <v>539</v>
      </c>
      <c r="B186" s="16" t="s">
        <v>1339</v>
      </c>
      <c r="C186" s="129" t="s">
        <v>16</v>
      </c>
      <c r="D186" s="25" t="e">
        <f>#REF!</f>
        <v>#REF!</v>
      </c>
      <c r="E186" s="25">
        <v>14000</v>
      </c>
      <c r="F186" s="26" t="e">
        <f t="shared" si="15"/>
        <v>#REF!</v>
      </c>
    </row>
    <row r="187" spans="1:6" ht="24.95" customHeight="1">
      <c r="A187" s="68" t="s">
        <v>540</v>
      </c>
      <c r="B187" s="16" t="s">
        <v>1340</v>
      </c>
      <c r="C187" s="129" t="s">
        <v>16</v>
      </c>
      <c r="D187" s="25" t="e">
        <f>#REF!</f>
        <v>#REF!</v>
      </c>
      <c r="E187" s="25">
        <v>4500</v>
      </c>
      <c r="F187" s="26" t="e">
        <f t="shared" si="15"/>
        <v>#REF!</v>
      </c>
    </row>
    <row r="188" spans="1:6" ht="24.95" customHeight="1">
      <c r="A188" s="68" t="s">
        <v>541</v>
      </c>
      <c r="B188" s="16" t="s">
        <v>1341</v>
      </c>
      <c r="C188" s="129" t="s">
        <v>16</v>
      </c>
      <c r="D188" s="25" t="e">
        <f>#REF!</f>
        <v>#REF!</v>
      </c>
      <c r="E188" s="25">
        <v>16000</v>
      </c>
      <c r="F188" s="26" t="e">
        <f t="shared" si="15"/>
        <v>#REF!</v>
      </c>
    </row>
    <row r="189" spans="1:6" ht="24.95" customHeight="1">
      <c r="A189" s="68" t="s">
        <v>542</v>
      </c>
      <c r="B189" s="16" t="s">
        <v>1342</v>
      </c>
      <c r="C189" s="129" t="s">
        <v>16</v>
      </c>
      <c r="D189" s="25" t="e">
        <f>#REF!</f>
        <v>#REF!</v>
      </c>
      <c r="E189" s="25">
        <v>14000</v>
      </c>
      <c r="F189" s="26" t="e">
        <f t="shared" si="15"/>
        <v>#REF!</v>
      </c>
    </row>
    <row r="190" spans="1:6" ht="24.95" customHeight="1">
      <c r="A190" s="68" t="s">
        <v>543</v>
      </c>
      <c r="B190" s="16" t="s">
        <v>1343</v>
      </c>
      <c r="C190" s="129" t="s">
        <v>16</v>
      </c>
      <c r="D190" s="25" t="e">
        <f>#REF!</f>
        <v>#REF!</v>
      </c>
      <c r="E190" s="25">
        <v>3500</v>
      </c>
      <c r="F190" s="26" t="e">
        <f t="shared" ref="F190" si="16">E190*D190</f>
        <v>#REF!</v>
      </c>
    </row>
    <row r="191" spans="1:6" ht="24.95" customHeight="1">
      <c r="A191" s="68" t="s">
        <v>544</v>
      </c>
      <c r="B191" s="16" t="s">
        <v>1344</v>
      </c>
      <c r="C191" s="129" t="s">
        <v>16</v>
      </c>
      <c r="D191" s="25" t="e">
        <f>#REF!</f>
        <v>#REF!</v>
      </c>
      <c r="E191" s="25">
        <v>4500</v>
      </c>
      <c r="F191" s="26" t="e">
        <f t="shared" si="15"/>
        <v>#REF!</v>
      </c>
    </row>
    <row r="192" spans="1:6" ht="24.95" customHeight="1">
      <c r="A192" s="68" t="s">
        <v>545</v>
      </c>
      <c r="B192" s="16" t="s">
        <v>1345</v>
      </c>
      <c r="C192" s="129" t="s">
        <v>16</v>
      </c>
      <c r="D192" s="25" t="e">
        <f>#REF!</f>
        <v>#REF!</v>
      </c>
      <c r="E192" s="25">
        <v>12000</v>
      </c>
      <c r="F192" s="26" t="e">
        <f t="shared" si="15"/>
        <v>#REF!</v>
      </c>
    </row>
    <row r="193" spans="1:6" ht="24.95" customHeight="1">
      <c r="A193" s="68" t="s">
        <v>1134</v>
      </c>
      <c r="B193" s="16" t="s">
        <v>1135</v>
      </c>
      <c r="C193" s="129"/>
      <c r="D193" s="25"/>
      <c r="E193" s="25"/>
      <c r="F193" s="26"/>
    </row>
    <row r="194" spans="1:6" ht="38.25" customHeight="1">
      <c r="A194" s="68" t="s">
        <v>547</v>
      </c>
      <c r="B194" s="16" t="s">
        <v>1129</v>
      </c>
      <c r="C194" s="129" t="s">
        <v>16</v>
      </c>
      <c r="D194" s="25" t="e">
        <f>#REF!</f>
        <v>#REF!</v>
      </c>
      <c r="E194" s="25">
        <v>5000</v>
      </c>
      <c r="F194" s="26" t="e">
        <f t="shared" si="15"/>
        <v>#REF!</v>
      </c>
    </row>
    <row r="195" spans="1:6" ht="24.95" customHeight="1">
      <c r="A195" s="68" t="s">
        <v>1136</v>
      </c>
      <c r="B195" s="16" t="s">
        <v>1137</v>
      </c>
      <c r="C195" s="129"/>
      <c r="D195" s="25"/>
      <c r="E195" s="25"/>
      <c r="F195" s="26"/>
    </row>
    <row r="196" spans="1:6" ht="33.75" customHeight="1">
      <c r="A196" s="68" t="s">
        <v>553</v>
      </c>
      <c r="B196" s="16" t="s">
        <v>1346</v>
      </c>
      <c r="C196" s="129" t="s">
        <v>16</v>
      </c>
      <c r="D196" s="25" t="e">
        <f>#REF!</f>
        <v>#REF!</v>
      </c>
      <c r="E196" s="25">
        <v>3000</v>
      </c>
      <c r="F196" s="26" t="e">
        <f t="shared" si="15"/>
        <v>#REF!</v>
      </c>
    </row>
    <row r="197" spans="1:6" ht="24.95" customHeight="1">
      <c r="A197" s="68" t="s">
        <v>1138</v>
      </c>
      <c r="B197" s="16" t="s">
        <v>1314</v>
      </c>
      <c r="C197" s="129"/>
      <c r="D197" s="25"/>
      <c r="E197" s="25"/>
      <c r="F197" s="26"/>
    </row>
    <row r="198" spans="1:6" ht="24.95" customHeight="1">
      <c r="A198" s="68" t="s">
        <v>557</v>
      </c>
      <c r="B198" s="16" t="s">
        <v>1327</v>
      </c>
      <c r="C198" s="129" t="s">
        <v>16</v>
      </c>
      <c r="D198" s="25" t="e">
        <f>#REF!</f>
        <v>#REF!</v>
      </c>
      <c r="E198" s="25">
        <v>7500</v>
      </c>
      <c r="F198" s="26" t="e">
        <f t="shared" ref="F198" si="17">E198*D198</f>
        <v>#REF!</v>
      </c>
    </row>
    <row r="199" spans="1:6" ht="24.95" customHeight="1">
      <c r="A199" s="68" t="s">
        <v>559</v>
      </c>
      <c r="B199" s="16" t="s">
        <v>1326</v>
      </c>
      <c r="C199" s="129" t="s">
        <v>16</v>
      </c>
      <c r="D199" s="25" t="e">
        <f>#REF!</f>
        <v>#REF!</v>
      </c>
      <c r="E199" s="25">
        <v>4300</v>
      </c>
      <c r="F199" s="26" t="e">
        <f t="shared" si="15"/>
        <v>#REF!</v>
      </c>
    </row>
    <row r="200" spans="1:6" ht="24.95" customHeight="1">
      <c r="A200" s="68" t="s">
        <v>561</v>
      </c>
      <c r="B200" s="16" t="s">
        <v>1325</v>
      </c>
      <c r="C200" s="129" t="s">
        <v>16</v>
      </c>
      <c r="D200" s="25" t="e">
        <f>#REF!</f>
        <v>#REF!</v>
      </c>
      <c r="E200" s="25">
        <v>3600</v>
      </c>
      <c r="F200" s="26" t="e">
        <f t="shared" si="15"/>
        <v>#REF!</v>
      </c>
    </row>
    <row r="201" spans="1:6" ht="24.95" customHeight="1">
      <c r="A201" s="68" t="s">
        <v>565</v>
      </c>
      <c r="B201" s="16" t="s">
        <v>1324</v>
      </c>
      <c r="C201" s="129" t="s">
        <v>16</v>
      </c>
      <c r="D201" s="25" t="e">
        <f>#REF!</f>
        <v>#REF!</v>
      </c>
      <c r="E201" s="25">
        <v>3700</v>
      </c>
      <c r="F201" s="26" t="e">
        <f t="shared" si="15"/>
        <v>#REF!</v>
      </c>
    </row>
    <row r="202" spans="1:6" ht="24.95" customHeight="1">
      <c r="A202" s="68" t="s">
        <v>567</v>
      </c>
      <c r="B202" s="16" t="s">
        <v>1323</v>
      </c>
      <c r="C202" s="129" t="s">
        <v>16</v>
      </c>
      <c r="D202" s="25" t="e">
        <f>#REF!</f>
        <v>#REF!</v>
      </c>
      <c r="E202" s="25">
        <v>5500</v>
      </c>
      <c r="F202" s="26" t="e">
        <f>E202*D202</f>
        <v>#REF!</v>
      </c>
    </row>
    <row r="203" spans="1:6" ht="24.95" customHeight="1">
      <c r="A203" s="68" t="s">
        <v>569</v>
      </c>
      <c r="B203" s="16" t="s">
        <v>1322</v>
      </c>
      <c r="C203" s="129" t="s">
        <v>16</v>
      </c>
      <c r="D203" s="25" t="e">
        <f>#REF!</f>
        <v>#REF!</v>
      </c>
      <c r="E203" s="25">
        <v>3500</v>
      </c>
      <c r="F203" s="26" t="e">
        <f t="shared" si="15"/>
        <v>#REF!</v>
      </c>
    </row>
    <row r="204" spans="1:6" ht="24.95" customHeight="1">
      <c r="A204" s="68" t="s">
        <v>571</v>
      </c>
      <c r="B204" s="16" t="s">
        <v>1321</v>
      </c>
      <c r="C204" s="129" t="s">
        <v>16</v>
      </c>
      <c r="D204" s="25" t="e">
        <f>#REF!</f>
        <v>#REF!</v>
      </c>
      <c r="E204" s="25">
        <v>2500</v>
      </c>
      <c r="F204" s="26" t="e">
        <f t="shared" si="15"/>
        <v>#REF!</v>
      </c>
    </row>
    <row r="205" spans="1:6" ht="24.95" customHeight="1">
      <c r="A205" s="68" t="s">
        <v>1141</v>
      </c>
      <c r="B205" s="244" t="s">
        <v>1143</v>
      </c>
      <c r="C205" s="129"/>
      <c r="D205" s="25"/>
      <c r="E205" s="25"/>
      <c r="F205" s="26"/>
    </row>
    <row r="206" spans="1:6" ht="24.95" customHeight="1">
      <c r="A206" s="68" t="s">
        <v>573</v>
      </c>
      <c r="B206" s="16" t="s">
        <v>1320</v>
      </c>
      <c r="C206" s="129" t="s">
        <v>16</v>
      </c>
      <c r="D206" s="25" t="e">
        <f>#REF!</f>
        <v>#REF!</v>
      </c>
      <c r="E206" s="25">
        <v>1500</v>
      </c>
      <c r="F206" s="26" t="e">
        <f>E206*D206</f>
        <v>#REF!</v>
      </c>
    </row>
    <row r="207" spans="1:6" ht="24.95" customHeight="1">
      <c r="A207" s="68" t="s">
        <v>577</v>
      </c>
      <c r="B207" s="16" t="s">
        <v>1354</v>
      </c>
      <c r="C207" s="129" t="s">
        <v>16</v>
      </c>
      <c r="D207" s="25" t="e">
        <f>#REF!</f>
        <v>#REF!</v>
      </c>
      <c r="E207" s="25">
        <v>2400</v>
      </c>
      <c r="F207" s="26" t="e">
        <f>E207*D207</f>
        <v>#REF!</v>
      </c>
    </row>
    <row r="208" spans="1:6" ht="24.95" customHeight="1">
      <c r="A208" s="68" t="s">
        <v>579</v>
      </c>
      <c r="B208" s="16" t="s">
        <v>1355</v>
      </c>
      <c r="C208" s="129" t="s">
        <v>16</v>
      </c>
      <c r="D208" s="25" t="e">
        <f>#REF!</f>
        <v>#REF!</v>
      </c>
      <c r="E208" s="25">
        <v>900</v>
      </c>
      <c r="F208" s="26" t="e">
        <f>E208*D208</f>
        <v>#REF!</v>
      </c>
    </row>
    <row r="209" spans="1:6" ht="24.95" customHeight="1">
      <c r="A209" s="68" t="s">
        <v>581</v>
      </c>
      <c r="B209" s="16" t="s">
        <v>1328</v>
      </c>
      <c r="C209" s="129" t="s">
        <v>16</v>
      </c>
      <c r="D209" s="25" t="e">
        <f>#REF!</f>
        <v>#REF!</v>
      </c>
      <c r="E209" s="25">
        <v>3500</v>
      </c>
      <c r="F209" s="26" t="e">
        <f t="shared" si="15"/>
        <v>#REF!</v>
      </c>
    </row>
    <row r="210" spans="1:6" ht="24.95" customHeight="1">
      <c r="A210" s="68" t="s">
        <v>585</v>
      </c>
      <c r="B210" s="16" t="s">
        <v>1329</v>
      </c>
      <c r="C210" s="129" t="s">
        <v>16</v>
      </c>
      <c r="D210" s="25" t="e">
        <f>#REF!</f>
        <v>#REF!</v>
      </c>
      <c r="E210" s="25">
        <v>1000</v>
      </c>
      <c r="F210" s="26" t="e">
        <f t="shared" ref="F210" si="18">E210*D210</f>
        <v>#REF!</v>
      </c>
    </row>
    <row r="211" spans="1:6" ht="24.95" customHeight="1">
      <c r="A211" s="195" t="s">
        <v>1142</v>
      </c>
      <c r="B211" s="244" t="s">
        <v>1144</v>
      </c>
      <c r="C211" s="129"/>
      <c r="D211" s="25"/>
      <c r="E211" s="25"/>
      <c r="F211" s="26"/>
    </row>
    <row r="212" spans="1:6" ht="24.95" customHeight="1">
      <c r="A212" s="68" t="s">
        <v>589</v>
      </c>
      <c r="B212" s="16" t="s">
        <v>1330</v>
      </c>
      <c r="C212" s="129" t="s">
        <v>16</v>
      </c>
      <c r="D212" s="25" t="e">
        <f>#REF!</f>
        <v>#REF!</v>
      </c>
      <c r="E212" s="25">
        <v>9500</v>
      </c>
      <c r="F212" s="26" t="e">
        <f>E212*D212</f>
        <v>#REF!</v>
      </c>
    </row>
    <row r="213" spans="1:6" ht="24.95" customHeight="1">
      <c r="A213" s="68" t="s">
        <v>591</v>
      </c>
      <c r="B213" s="16" t="s">
        <v>1331</v>
      </c>
      <c r="C213" s="129" t="s">
        <v>16</v>
      </c>
      <c r="D213" s="25" t="e">
        <f>#REF!</f>
        <v>#REF!</v>
      </c>
      <c r="E213" s="25">
        <v>14000</v>
      </c>
      <c r="F213" s="26" t="e">
        <f>E213*D213</f>
        <v>#REF!</v>
      </c>
    </row>
    <row r="214" spans="1:6" ht="24.95" customHeight="1">
      <c r="A214" s="68" t="s">
        <v>595</v>
      </c>
      <c r="B214" s="16" t="s">
        <v>1332</v>
      </c>
      <c r="C214" s="129" t="s">
        <v>16</v>
      </c>
      <c r="D214" s="25" t="e">
        <f>#REF!</f>
        <v>#REF!</v>
      </c>
      <c r="E214" s="25">
        <v>1200</v>
      </c>
      <c r="F214" s="26" t="e">
        <f t="shared" si="15"/>
        <v>#REF!</v>
      </c>
    </row>
    <row r="215" spans="1:6" ht="24.95" customHeight="1">
      <c r="A215" s="68" t="s">
        <v>597</v>
      </c>
      <c r="B215" s="16" t="s">
        <v>1333</v>
      </c>
      <c r="C215" s="129" t="s">
        <v>16</v>
      </c>
      <c r="D215" s="25" t="e">
        <f>#REF!</f>
        <v>#REF!</v>
      </c>
      <c r="E215" s="25">
        <v>700</v>
      </c>
      <c r="F215" s="26" t="e">
        <f t="shared" si="15"/>
        <v>#REF!</v>
      </c>
    </row>
    <row r="216" spans="1:6" ht="24.95" customHeight="1">
      <c r="A216" s="195" t="s">
        <v>1145</v>
      </c>
      <c r="B216" s="244" t="s">
        <v>1146</v>
      </c>
      <c r="C216" s="129"/>
      <c r="D216" s="25"/>
      <c r="E216" s="25"/>
      <c r="F216" s="26"/>
    </row>
    <row r="217" spans="1:6" ht="24.95" customHeight="1">
      <c r="A217" s="68" t="s">
        <v>601</v>
      </c>
      <c r="B217" s="16" t="s">
        <v>1347</v>
      </c>
      <c r="C217" s="129" t="s">
        <v>16</v>
      </c>
      <c r="D217" s="25">
        <v>7</v>
      </c>
      <c r="E217" s="25">
        <v>13000</v>
      </c>
      <c r="F217" s="26">
        <f t="shared" si="15"/>
        <v>91000</v>
      </c>
    </row>
    <row r="218" spans="1:6" ht="24.95" customHeight="1">
      <c r="A218" s="68" t="s">
        <v>603</v>
      </c>
      <c r="B218" s="16" t="s">
        <v>1348</v>
      </c>
      <c r="C218" s="129" t="s">
        <v>16</v>
      </c>
      <c r="D218" s="25">
        <v>2</v>
      </c>
      <c r="E218" s="25">
        <v>12000</v>
      </c>
      <c r="F218" s="26">
        <f t="shared" si="15"/>
        <v>24000</v>
      </c>
    </row>
    <row r="219" spans="1:6" ht="24.95" customHeight="1">
      <c r="A219" s="195" t="s">
        <v>1147</v>
      </c>
      <c r="B219" s="244" t="s">
        <v>1148</v>
      </c>
      <c r="C219" s="129"/>
      <c r="D219" s="25"/>
      <c r="E219" s="25"/>
      <c r="F219" s="26"/>
    </row>
    <row r="220" spans="1:6" ht="24.95" customHeight="1">
      <c r="A220" s="68" t="s">
        <v>609</v>
      </c>
      <c r="B220" s="16" t="s">
        <v>1349</v>
      </c>
      <c r="C220" s="129" t="s">
        <v>16</v>
      </c>
      <c r="D220" s="25" t="e">
        <f>#REF!</f>
        <v>#REF!</v>
      </c>
      <c r="E220" s="25">
        <v>2000</v>
      </c>
      <c r="F220" s="26" t="e">
        <f t="shared" si="15"/>
        <v>#REF!</v>
      </c>
    </row>
    <row r="221" spans="1:6" ht="24.95" customHeight="1">
      <c r="A221" s="68" t="s">
        <v>611</v>
      </c>
      <c r="B221" s="16" t="s">
        <v>1350</v>
      </c>
      <c r="C221" s="129" t="s">
        <v>16</v>
      </c>
      <c r="D221" s="25" t="e">
        <f>#REF!</f>
        <v>#REF!</v>
      </c>
      <c r="E221" s="25">
        <v>1900</v>
      </c>
      <c r="F221" s="26" t="e">
        <f t="shared" si="15"/>
        <v>#REF!</v>
      </c>
    </row>
    <row r="222" spans="1:6" ht="24.95" customHeight="1">
      <c r="A222" s="68" t="s">
        <v>613</v>
      </c>
      <c r="B222" s="16" t="s">
        <v>1351</v>
      </c>
      <c r="C222" s="129" t="s">
        <v>16</v>
      </c>
      <c r="D222" s="25" t="e">
        <f>#REF!</f>
        <v>#REF!</v>
      </c>
      <c r="E222" s="25">
        <v>1200</v>
      </c>
      <c r="F222" s="26" t="e">
        <f t="shared" si="15"/>
        <v>#REF!</v>
      </c>
    </row>
    <row r="223" spans="1:6" ht="24.95" customHeight="1">
      <c r="A223" s="68" t="s">
        <v>615</v>
      </c>
      <c r="B223" s="16" t="s">
        <v>1353</v>
      </c>
      <c r="C223" s="129" t="s">
        <v>16</v>
      </c>
      <c r="D223" s="25" t="e">
        <f>#REF!</f>
        <v>#REF!</v>
      </c>
      <c r="E223" s="25">
        <v>1100</v>
      </c>
      <c r="F223" s="26" t="e">
        <f t="shared" si="15"/>
        <v>#REF!</v>
      </c>
    </row>
    <row r="224" spans="1:6" ht="24.95" customHeight="1">
      <c r="A224" s="68" t="s">
        <v>619</v>
      </c>
      <c r="B224" s="16" t="s">
        <v>1352</v>
      </c>
      <c r="C224" s="129" t="s">
        <v>16</v>
      </c>
      <c r="D224" s="25" t="e">
        <f>#REF!</f>
        <v>#REF!</v>
      </c>
      <c r="E224" s="25">
        <v>600</v>
      </c>
      <c r="F224" s="26" t="e">
        <f t="shared" si="15"/>
        <v>#REF!</v>
      </c>
    </row>
    <row r="225" spans="1:6" ht="24.95" customHeight="1" thickBot="1">
      <c r="A225" s="68" t="s">
        <v>623</v>
      </c>
      <c r="B225" s="16" t="s">
        <v>624</v>
      </c>
      <c r="C225" s="129" t="s">
        <v>259</v>
      </c>
      <c r="D225" s="25" t="e">
        <f>#REF!</f>
        <v>#REF!</v>
      </c>
      <c r="E225" s="25">
        <v>1300</v>
      </c>
      <c r="F225" s="26" t="e">
        <f t="shared" si="15"/>
        <v>#REF!</v>
      </c>
    </row>
    <row r="226" spans="1:6" ht="19.5" customHeight="1" thickBot="1">
      <c r="A226" s="503" t="s">
        <v>1199</v>
      </c>
      <c r="B226" s="504"/>
      <c r="C226" s="504"/>
      <c r="D226" s="504"/>
      <c r="E226" s="505"/>
      <c r="F226" s="17" t="e">
        <f>SUM(F179:F225)</f>
        <v>#REF!</v>
      </c>
    </row>
    <row r="227" spans="1:6" ht="20.25" customHeight="1">
      <c r="A227" s="196">
        <v>403</v>
      </c>
      <c r="B227" s="110" t="s">
        <v>1149</v>
      </c>
      <c r="C227" s="186"/>
      <c r="D227" s="25"/>
      <c r="E227" s="114"/>
      <c r="F227" s="33"/>
    </row>
    <row r="228" spans="1:6" s="93" customFormat="1" ht="19.5" customHeight="1">
      <c r="A228" s="195" t="s">
        <v>629</v>
      </c>
      <c r="B228" s="16" t="s">
        <v>1150</v>
      </c>
      <c r="C228" s="129" t="s">
        <v>28</v>
      </c>
      <c r="D228" s="25" t="e">
        <f>#REF!</f>
        <v>#REF!</v>
      </c>
      <c r="E228" s="25">
        <v>900</v>
      </c>
      <c r="F228" s="26" t="e">
        <f>E228*D228</f>
        <v>#REF!</v>
      </c>
    </row>
    <row r="229" spans="1:6" s="93" customFormat="1" ht="19.5" customHeight="1" thickBot="1">
      <c r="A229" s="195" t="s">
        <v>631</v>
      </c>
      <c r="B229" s="16" t="s">
        <v>1151</v>
      </c>
      <c r="C229" s="129" t="s">
        <v>28</v>
      </c>
      <c r="D229" s="25" t="e">
        <f>#REF!</f>
        <v>#REF!</v>
      </c>
      <c r="E229" s="25">
        <v>250</v>
      </c>
      <c r="F229" s="26" t="e">
        <f>E229*D229</f>
        <v>#REF!</v>
      </c>
    </row>
    <row r="230" spans="1:6" ht="19.5" customHeight="1" thickBot="1">
      <c r="A230" s="503" t="s">
        <v>1198</v>
      </c>
      <c r="B230" s="504"/>
      <c r="C230" s="504"/>
      <c r="D230" s="504"/>
      <c r="E230" s="505"/>
      <c r="F230" s="17" t="e">
        <f>SUM(F228:F229)</f>
        <v>#REF!</v>
      </c>
    </row>
    <row r="231" spans="1:6" ht="20.25" customHeight="1">
      <c r="A231" s="15">
        <v>404</v>
      </c>
      <c r="B231" s="110" t="s">
        <v>636</v>
      </c>
      <c r="C231" s="186"/>
      <c r="D231" s="25"/>
      <c r="E231" s="114"/>
      <c r="F231" s="26"/>
    </row>
    <row r="232" spans="1:6" s="93" customFormat="1" ht="19.5" customHeight="1">
      <c r="A232" s="15" t="s">
        <v>637</v>
      </c>
      <c r="B232" s="16" t="s">
        <v>638</v>
      </c>
      <c r="C232" s="129" t="s">
        <v>20</v>
      </c>
      <c r="D232" s="25" t="e">
        <f>#REF!</f>
        <v>#REF!</v>
      </c>
      <c r="E232" s="25">
        <v>150</v>
      </c>
      <c r="F232" s="26" t="e">
        <f>E232*D232</f>
        <v>#REF!</v>
      </c>
    </row>
    <row r="233" spans="1:6" s="93" customFormat="1" ht="19.5" customHeight="1">
      <c r="A233" s="15" t="s">
        <v>645</v>
      </c>
      <c r="B233" s="16" t="s">
        <v>1152</v>
      </c>
      <c r="C233" s="129" t="s">
        <v>16</v>
      </c>
      <c r="D233" s="25" t="e">
        <f>#REF!</f>
        <v>#REF!</v>
      </c>
      <c r="E233" s="25">
        <v>150</v>
      </c>
      <c r="F233" s="26" t="e">
        <f t="shared" ref="F233:F238" si="19">E233*D233</f>
        <v>#REF!</v>
      </c>
    </row>
    <row r="234" spans="1:6" s="93" customFormat="1" ht="19.5" customHeight="1">
      <c r="A234" s="15" t="s">
        <v>651</v>
      </c>
      <c r="B234" s="16" t="s">
        <v>1153</v>
      </c>
      <c r="C234" s="129" t="s">
        <v>16</v>
      </c>
      <c r="D234" s="25" t="e">
        <f>#REF!</f>
        <v>#REF!</v>
      </c>
      <c r="E234" s="25">
        <v>100</v>
      </c>
      <c r="F234" s="26" t="e">
        <f t="shared" si="19"/>
        <v>#REF!</v>
      </c>
    </row>
    <row r="235" spans="1:6" s="93" customFormat="1" ht="19.5" customHeight="1">
      <c r="A235" s="15" t="s">
        <v>653</v>
      </c>
      <c r="B235" s="16" t="s">
        <v>654</v>
      </c>
      <c r="C235" s="129" t="s">
        <v>16</v>
      </c>
      <c r="D235" s="25" t="e">
        <f>#REF!</f>
        <v>#REF!</v>
      </c>
      <c r="E235" s="25">
        <v>250</v>
      </c>
      <c r="F235" s="26" t="e">
        <f t="shared" si="19"/>
        <v>#REF!</v>
      </c>
    </row>
    <row r="236" spans="1:6" s="93" customFormat="1" ht="19.5" customHeight="1">
      <c r="A236" s="15" t="s">
        <v>659</v>
      </c>
      <c r="B236" s="16" t="s">
        <v>660</v>
      </c>
      <c r="C236" s="129" t="s">
        <v>16</v>
      </c>
      <c r="D236" s="25" t="e">
        <f>#REF!</f>
        <v>#REF!</v>
      </c>
      <c r="E236" s="25">
        <v>200</v>
      </c>
      <c r="F236" s="26" t="e">
        <f t="shared" si="19"/>
        <v>#REF!</v>
      </c>
    </row>
    <row r="237" spans="1:6" s="93" customFormat="1" ht="19.5" customHeight="1">
      <c r="A237" s="15" t="s">
        <v>661</v>
      </c>
      <c r="B237" s="16" t="s">
        <v>662</v>
      </c>
      <c r="C237" s="129" t="s">
        <v>16</v>
      </c>
      <c r="D237" s="25" t="e">
        <f>#REF!</f>
        <v>#REF!</v>
      </c>
      <c r="E237" s="25">
        <v>200</v>
      </c>
      <c r="F237" s="26" t="e">
        <f t="shared" ref="F237" si="20">E237*D237</f>
        <v>#REF!</v>
      </c>
    </row>
    <row r="238" spans="1:6" s="93" customFormat="1" ht="19.5" customHeight="1">
      <c r="A238" s="15" t="s">
        <v>663</v>
      </c>
      <c r="B238" s="16" t="s">
        <v>664</v>
      </c>
      <c r="C238" s="129" t="s">
        <v>16</v>
      </c>
      <c r="D238" s="25" t="e">
        <f>#REF!</f>
        <v>#REF!</v>
      </c>
      <c r="E238" s="25">
        <v>50</v>
      </c>
      <c r="F238" s="26" t="e">
        <f t="shared" si="19"/>
        <v>#REF!</v>
      </c>
    </row>
    <row r="239" spans="1:6" s="93" customFormat="1" ht="19.5" customHeight="1" thickBot="1">
      <c r="A239" s="197"/>
      <c r="B239" s="187"/>
      <c r="C239" s="132"/>
      <c r="D239" s="73"/>
      <c r="E239" s="73"/>
      <c r="F239" s="100"/>
    </row>
    <row r="240" spans="1:6" ht="19.5" customHeight="1" thickBot="1">
      <c r="A240" s="503" t="s">
        <v>1197</v>
      </c>
      <c r="B240" s="504"/>
      <c r="C240" s="504"/>
      <c r="D240" s="504"/>
      <c r="E240" s="505"/>
      <c r="F240" s="17" t="e">
        <f>SUM(F232:F239)</f>
        <v>#REF!</v>
      </c>
    </row>
    <row r="241" spans="1:6" s="93" customFormat="1" ht="19.5" customHeight="1" thickBot="1">
      <c r="A241" s="241"/>
      <c r="B241" s="241"/>
      <c r="C241" s="241"/>
      <c r="D241" s="241"/>
      <c r="E241" s="241"/>
      <c r="F241" s="242"/>
    </row>
    <row r="242" spans="1:6" ht="22.5" customHeight="1" thickBot="1">
      <c r="A242" s="521" t="s">
        <v>311</v>
      </c>
      <c r="B242" s="522"/>
      <c r="C242" s="522"/>
      <c r="D242" s="522"/>
      <c r="E242" s="523"/>
      <c r="F242" s="104" t="e">
        <f>F240+F230+F226+F177</f>
        <v>#REF!</v>
      </c>
    </row>
    <row r="243" spans="1:6" ht="19.5" customHeight="1">
      <c r="A243" s="68"/>
      <c r="B243" s="75"/>
      <c r="C243" s="90"/>
      <c r="D243" s="91"/>
      <c r="E243" s="99"/>
      <c r="F243" s="26"/>
    </row>
    <row r="244" spans="1:6" ht="25.5" customHeight="1">
      <c r="A244" s="10"/>
      <c r="B244" s="534" t="s">
        <v>216</v>
      </c>
      <c r="C244" s="535"/>
      <c r="D244" s="535"/>
      <c r="E244" s="536"/>
      <c r="F244" s="14"/>
    </row>
    <row r="245" spans="1:6" ht="24.95" customHeight="1">
      <c r="A245" s="15" t="s">
        <v>133</v>
      </c>
      <c r="B245" s="112" t="s">
        <v>100</v>
      </c>
      <c r="C245" s="72"/>
      <c r="D245" s="73"/>
      <c r="E245" s="73"/>
      <c r="F245" s="26"/>
    </row>
    <row r="246" spans="1:6" ht="24.95" customHeight="1">
      <c r="A246" s="15" t="s">
        <v>135</v>
      </c>
      <c r="B246" s="16" t="s">
        <v>141</v>
      </c>
      <c r="C246" s="24" t="s">
        <v>28</v>
      </c>
      <c r="D246" s="25" t="e">
        <f>#REF!</f>
        <v>#REF!</v>
      </c>
      <c r="E246" s="25">
        <v>750</v>
      </c>
      <c r="F246" s="26" t="e">
        <f t="shared" ref="F246" si="21">+D246*E246</f>
        <v>#REF!</v>
      </c>
    </row>
    <row r="247" spans="1:6" ht="24.95" customHeight="1">
      <c r="A247" s="15" t="s">
        <v>137</v>
      </c>
      <c r="B247" s="16" t="s">
        <v>142</v>
      </c>
      <c r="C247" s="24" t="s">
        <v>16</v>
      </c>
      <c r="D247" s="25" t="e">
        <f>#REF!</f>
        <v>#REF!</v>
      </c>
      <c r="E247" s="25">
        <v>2500</v>
      </c>
      <c r="F247" s="33" t="e">
        <f>+D247*E247</f>
        <v>#REF!</v>
      </c>
    </row>
    <row r="248" spans="1:6" ht="24.95" customHeight="1">
      <c r="A248" s="15" t="s">
        <v>138</v>
      </c>
      <c r="B248" s="16" t="s">
        <v>143</v>
      </c>
      <c r="C248" s="24" t="s">
        <v>16</v>
      </c>
      <c r="D248" s="25" t="e">
        <f>#REF!</f>
        <v>#REF!</v>
      </c>
      <c r="E248" s="25">
        <v>2500</v>
      </c>
      <c r="F248" s="26" t="e">
        <f>+D248*E248</f>
        <v>#REF!</v>
      </c>
    </row>
    <row r="249" spans="1:6" ht="24.95" customHeight="1">
      <c r="A249" s="7" t="s">
        <v>139</v>
      </c>
      <c r="B249" s="16" t="s">
        <v>144</v>
      </c>
      <c r="C249" s="113" t="s">
        <v>16</v>
      </c>
      <c r="D249" s="114" t="e">
        <f>#REF!</f>
        <v>#REF!</v>
      </c>
      <c r="E249" s="114">
        <v>5000</v>
      </c>
      <c r="F249" s="33" t="e">
        <f>+D249*E249</f>
        <v>#REF!</v>
      </c>
    </row>
    <row r="250" spans="1:6" ht="28.5" customHeight="1">
      <c r="A250" s="15" t="s">
        <v>140</v>
      </c>
      <c r="B250" s="16" t="s">
        <v>145</v>
      </c>
      <c r="C250" s="24" t="s">
        <v>28</v>
      </c>
      <c r="D250" s="25" t="e">
        <f>#REF!</f>
        <v>#REF!</v>
      </c>
      <c r="E250" s="25">
        <v>220</v>
      </c>
      <c r="F250" s="26" t="e">
        <f t="shared" ref="F250" si="22">+D250*E250</f>
        <v>#REF!</v>
      </c>
    </row>
    <row r="251" spans="1:6" ht="24.75" customHeight="1">
      <c r="A251" s="15" t="s">
        <v>213</v>
      </c>
      <c r="B251" s="16" t="s">
        <v>214</v>
      </c>
      <c r="C251" s="24" t="s">
        <v>215</v>
      </c>
      <c r="D251" s="25" t="e">
        <f>#REF!</f>
        <v>#REF!</v>
      </c>
      <c r="E251" s="25">
        <v>30000</v>
      </c>
      <c r="F251" s="33" t="e">
        <f>+D251*E251</f>
        <v>#REF!</v>
      </c>
    </row>
    <row r="252" spans="1:6" ht="13.5" customHeight="1" thickBot="1">
      <c r="A252" s="68"/>
      <c r="B252" s="69"/>
      <c r="C252" s="72"/>
      <c r="D252" s="73"/>
      <c r="E252" s="73"/>
      <c r="F252" s="26"/>
    </row>
    <row r="253" spans="1:6" ht="20.25" customHeight="1" thickBot="1">
      <c r="A253" s="503" t="s">
        <v>1196</v>
      </c>
      <c r="B253" s="504"/>
      <c r="C253" s="504"/>
      <c r="D253" s="504"/>
      <c r="E253" s="505"/>
      <c r="F253" s="17" t="e">
        <f>SUM(F246:F252)</f>
        <v>#REF!</v>
      </c>
    </row>
    <row r="254" spans="1:6" ht="12.75" customHeight="1">
      <c r="A254" s="68"/>
      <c r="B254" s="16"/>
      <c r="C254" s="72"/>
      <c r="D254" s="73"/>
      <c r="E254" s="73"/>
      <c r="F254" s="26"/>
    </row>
    <row r="255" spans="1:6" ht="24.95" customHeight="1">
      <c r="A255" s="15" t="s">
        <v>146</v>
      </c>
      <c r="B255" s="112" t="s">
        <v>101</v>
      </c>
      <c r="C255" s="72"/>
      <c r="D255" s="73"/>
      <c r="E255" s="73"/>
      <c r="F255" s="26"/>
    </row>
    <row r="256" spans="1:6" ht="24.95" customHeight="1">
      <c r="A256" s="15" t="s">
        <v>147</v>
      </c>
      <c r="B256" s="16" t="s">
        <v>150</v>
      </c>
      <c r="C256" s="24" t="s">
        <v>16</v>
      </c>
      <c r="D256" s="25" t="e">
        <f>#REF!</f>
        <v>#REF!</v>
      </c>
      <c r="E256" s="25">
        <v>15000</v>
      </c>
      <c r="F256" s="33" t="e">
        <f>+D256*E256</f>
        <v>#REF!</v>
      </c>
    </row>
    <row r="257" spans="1:6" ht="23.25" customHeight="1">
      <c r="A257" s="15" t="s">
        <v>148</v>
      </c>
      <c r="B257" s="16" t="s">
        <v>151</v>
      </c>
      <c r="C257" s="72"/>
      <c r="D257" s="73"/>
      <c r="E257" s="73"/>
      <c r="F257" s="26"/>
    </row>
    <row r="258" spans="1:6" ht="24.95" customHeight="1">
      <c r="A258" s="15" t="s">
        <v>149</v>
      </c>
      <c r="B258" s="16" t="s">
        <v>152</v>
      </c>
      <c r="C258" s="24" t="s">
        <v>16</v>
      </c>
      <c r="D258" s="25" t="e">
        <f>#REF!</f>
        <v>#REF!</v>
      </c>
      <c r="E258" s="25">
        <v>30000</v>
      </c>
      <c r="F258" s="33" t="e">
        <f t="shared" ref="F258:F272" si="23">+D258*E258</f>
        <v>#REF!</v>
      </c>
    </row>
    <row r="259" spans="1:6" ht="24.95" customHeight="1">
      <c r="A259" s="15" t="s">
        <v>239</v>
      </c>
      <c r="B259" s="16" t="s">
        <v>153</v>
      </c>
      <c r="C259" s="24" t="s">
        <v>16</v>
      </c>
      <c r="D259" s="25" t="e">
        <f>#REF!</f>
        <v>#REF!</v>
      </c>
      <c r="E259" s="25">
        <v>40000</v>
      </c>
      <c r="F259" s="33" t="e">
        <f t="shared" si="23"/>
        <v>#REF!</v>
      </c>
    </row>
    <row r="260" spans="1:6" ht="24.95" customHeight="1">
      <c r="A260" s="15" t="s">
        <v>240</v>
      </c>
      <c r="B260" s="16" t="s">
        <v>154</v>
      </c>
      <c r="C260" s="24" t="s">
        <v>16</v>
      </c>
      <c r="D260" s="25" t="e">
        <f>#REF!</f>
        <v>#REF!</v>
      </c>
      <c r="E260" s="25">
        <v>10000</v>
      </c>
      <c r="F260" s="33" t="e">
        <f t="shared" si="23"/>
        <v>#REF!</v>
      </c>
    </row>
    <row r="261" spans="1:6" ht="24.95" customHeight="1">
      <c r="A261" s="15" t="s">
        <v>241</v>
      </c>
      <c r="B261" s="16" t="s">
        <v>155</v>
      </c>
      <c r="C261" s="24" t="s">
        <v>16</v>
      </c>
      <c r="D261" s="25" t="e">
        <f>#REF!</f>
        <v>#REF!</v>
      </c>
      <c r="E261" s="25">
        <v>120000</v>
      </c>
      <c r="F261" s="33" t="e">
        <f t="shared" si="23"/>
        <v>#REF!</v>
      </c>
    </row>
    <row r="262" spans="1:6" ht="24.95" customHeight="1">
      <c r="A262" s="15" t="s">
        <v>242</v>
      </c>
      <c r="B262" s="16" t="s">
        <v>156</v>
      </c>
      <c r="C262" s="24" t="s">
        <v>16</v>
      </c>
      <c r="D262" s="25" t="e">
        <f>#REF!</f>
        <v>#REF!</v>
      </c>
      <c r="E262" s="25">
        <v>30000</v>
      </c>
      <c r="F262" s="33" t="e">
        <f t="shared" si="23"/>
        <v>#REF!</v>
      </c>
    </row>
    <row r="263" spans="1:6" ht="24.95" customHeight="1">
      <c r="A263" s="15" t="s">
        <v>243</v>
      </c>
      <c r="B263" s="16" t="s">
        <v>157</v>
      </c>
      <c r="C263" s="24" t="s">
        <v>16</v>
      </c>
      <c r="D263" s="25" t="e">
        <f>#REF!</f>
        <v>#REF!</v>
      </c>
      <c r="E263" s="25">
        <v>20000</v>
      </c>
      <c r="F263" s="33" t="e">
        <f t="shared" si="23"/>
        <v>#REF!</v>
      </c>
    </row>
    <row r="264" spans="1:6" ht="24.95" customHeight="1">
      <c r="A264" s="15" t="s">
        <v>244</v>
      </c>
      <c r="B264" s="16" t="s">
        <v>158</v>
      </c>
      <c r="C264" s="24" t="s">
        <v>16</v>
      </c>
      <c r="D264" s="25" t="e">
        <f>#REF!</f>
        <v>#REF!</v>
      </c>
      <c r="E264" s="25">
        <v>40000</v>
      </c>
      <c r="F264" s="33" t="e">
        <f t="shared" si="23"/>
        <v>#REF!</v>
      </c>
    </row>
    <row r="265" spans="1:6" ht="24.95" customHeight="1">
      <c r="A265" s="15" t="s">
        <v>245</v>
      </c>
      <c r="B265" s="16" t="s">
        <v>159</v>
      </c>
      <c r="C265" s="24" t="s">
        <v>16</v>
      </c>
      <c r="D265" s="25" t="e">
        <f>#REF!</f>
        <v>#REF!</v>
      </c>
      <c r="E265" s="25">
        <v>5000</v>
      </c>
      <c r="F265" s="33" t="e">
        <f t="shared" si="23"/>
        <v>#REF!</v>
      </c>
    </row>
    <row r="266" spans="1:6" ht="24.95" customHeight="1">
      <c r="A266" s="15" t="s">
        <v>246</v>
      </c>
      <c r="B266" s="16" t="s">
        <v>160</v>
      </c>
      <c r="C266" s="24" t="s">
        <v>16</v>
      </c>
      <c r="D266" s="25" t="e">
        <f>#REF!</f>
        <v>#REF!</v>
      </c>
      <c r="E266" s="25">
        <v>5000</v>
      </c>
      <c r="F266" s="33" t="e">
        <f t="shared" si="23"/>
        <v>#REF!</v>
      </c>
    </row>
    <row r="267" spans="1:6" ht="24.95" customHeight="1">
      <c r="A267" s="15" t="s">
        <v>247</v>
      </c>
      <c r="B267" s="16" t="s">
        <v>161</v>
      </c>
      <c r="C267" s="24" t="s">
        <v>16</v>
      </c>
      <c r="D267" s="25" t="e">
        <f>#REF!</f>
        <v>#REF!</v>
      </c>
      <c r="E267" s="25">
        <v>3000</v>
      </c>
      <c r="F267" s="33" t="e">
        <f t="shared" si="23"/>
        <v>#REF!</v>
      </c>
    </row>
    <row r="268" spans="1:6" ht="24.95" customHeight="1">
      <c r="A268" s="15" t="s">
        <v>248</v>
      </c>
      <c r="B268" s="16" t="s">
        <v>162</v>
      </c>
      <c r="C268" s="24" t="s">
        <v>16</v>
      </c>
      <c r="D268" s="25" t="e">
        <f>#REF!</f>
        <v>#REF!</v>
      </c>
      <c r="E268" s="25">
        <v>5000</v>
      </c>
      <c r="F268" s="33" t="e">
        <f t="shared" si="23"/>
        <v>#REF!</v>
      </c>
    </row>
    <row r="269" spans="1:6" ht="24.95" customHeight="1">
      <c r="A269" s="15" t="s">
        <v>249</v>
      </c>
      <c r="B269" s="16" t="s">
        <v>163</v>
      </c>
      <c r="C269" s="24" t="s">
        <v>16</v>
      </c>
      <c r="D269" s="25" t="e">
        <f>#REF!</f>
        <v>#REF!</v>
      </c>
      <c r="E269" s="25">
        <v>5000</v>
      </c>
      <c r="F269" s="33" t="e">
        <f t="shared" si="23"/>
        <v>#REF!</v>
      </c>
    </row>
    <row r="270" spans="1:6" ht="28.5" customHeight="1">
      <c r="A270" s="15" t="s">
        <v>250</v>
      </c>
      <c r="B270" s="16" t="s">
        <v>164</v>
      </c>
      <c r="C270" s="24" t="s">
        <v>16</v>
      </c>
      <c r="D270" s="25" t="e">
        <f>#REF!</f>
        <v>#REF!</v>
      </c>
      <c r="E270" s="25">
        <v>15000</v>
      </c>
      <c r="F270" s="33" t="e">
        <f t="shared" si="23"/>
        <v>#REF!</v>
      </c>
    </row>
    <row r="271" spans="1:6" ht="24.95" customHeight="1">
      <c r="A271" s="15" t="s">
        <v>251</v>
      </c>
      <c r="B271" s="16" t="s">
        <v>165</v>
      </c>
      <c r="C271" s="24" t="s">
        <v>16</v>
      </c>
      <c r="D271" s="25" t="e">
        <f>#REF!</f>
        <v>#REF!</v>
      </c>
      <c r="E271" s="25">
        <v>20000</v>
      </c>
      <c r="F271" s="33" t="e">
        <f t="shared" si="23"/>
        <v>#REF!</v>
      </c>
    </row>
    <row r="272" spans="1:6" ht="24.95" customHeight="1">
      <c r="A272" s="15" t="s">
        <v>252</v>
      </c>
      <c r="B272" s="16" t="s">
        <v>166</v>
      </c>
      <c r="C272" s="24" t="s">
        <v>102</v>
      </c>
      <c r="D272" s="25" t="e">
        <f>#REF!</f>
        <v>#REF!</v>
      </c>
      <c r="E272" s="25">
        <v>80000</v>
      </c>
      <c r="F272" s="33" t="e">
        <f t="shared" si="23"/>
        <v>#REF!</v>
      </c>
    </row>
    <row r="273" spans="1:6" ht="12.75" customHeight="1" thickBot="1">
      <c r="A273" s="68"/>
      <c r="B273" s="69"/>
      <c r="C273" s="72"/>
      <c r="D273" s="73"/>
      <c r="E273" s="73"/>
      <c r="F273" s="26"/>
    </row>
    <row r="274" spans="1:6" ht="20.25" customHeight="1" thickBot="1">
      <c r="A274" s="503" t="s">
        <v>1195</v>
      </c>
      <c r="B274" s="504"/>
      <c r="C274" s="504"/>
      <c r="D274" s="504"/>
      <c r="E274" s="505"/>
      <c r="F274" s="17" t="e">
        <f>SUM(F255:F273)</f>
        <v>#REF!</v>
      </c>
    </row>
    <row r="275" spans="1:6" ht="12.75" customHeight="1">
      <c r="A275" s="68"/>
      <c r="B275" s="69"/>
      <c r="C275" s="72"/>
      <c r="D275" s="73"/>
      <c r="E275" s="73"/>
      <c r="F275" s="26"/>
    </row>
    <row r="276" spans="1:6" ht="52.5" customHeight="1">
      <c r="A276" s="15" t="s">
        <v>1166</v>
      </c>
      <c r="B276" s="112" t="s">
        <v>1168</v>
      </c>
      <c r="C276" s="72"/>
      <c r="D276" s="73"/>
      <c r="E276" s="73"/>
      <c r="F276" s="26"/>
    </row>
    <row r="277" spans="1:6" ht="21" customHeight="1">
      <c r="A277" s="15" t="s">
        <v>1167</v>
      </c>
      <c r="B277" s="16" t="s">
        <v>1169</v>
      </c>
      <c r="C277" s="24" t="s">
        <v>16</v>
      </c>
      <c r="D277" s="25" t="e">
        <f>#REF!*#REF!</f>
        <v>#REF!</v>
      </c>
      <c r="E277" s="73">
        <v>30000</v>
      </c>
      <c r="F277" s="26" t="e">
        <f>E277*D277</f>
        <v>#REF!</v>
      </c>
    </row>
    <row r="278" spans="1:6" ht="21" customHeight="1">
      <c r="A278" s="15" t="s">
        <v>1170</v>
      </c>
      <c r="B278" s="16" t="s">
        <v>1171</v>
      </c>
      <c r="C278" s="24"/>
      <c r="D278" s="198"/>
      <c r="E278" s="73"/>
      <c r="F278" s="26"/>
    </row>
    <row r="279" spans="1:6" ht="21" customHeight="1">
      <c r="A279" s="15" t="s">
        <v>1172</v>
      </c>
      <c r="B279" s="16" t="s">
        <v>1173</v>
      </c>
      <c r="C279" s="24" t="s">
        <v>16</v>
      </c>
      <c r="D279" s="73" t="e">
        <f>#REF!</f>
        <v>#REF!</v>
      </c>
      <c r="E279" s="73">
        <v>7000</v>
      </c>
      <c r="F279" s="26" t="e">
        <f t="shared" ref="F279:F291" si="24">E279*D279</f>
        <v>#REF!</v>
      </c>
    </row>
    <row r="280" spans="1:6" ht="19.5" customHeight="1">
      <c r="A280" s="15" t="s">
        <v>1174</v>
      </c>
      <c r="B280" s="16" t="s">
        <v>1175</v>
      </c>
      <c r="C280" s="24" t="s">
        <v>16</v>
      </c>
      <c r="D280" s="73" t="e">
        <f>#REF!</f>
        <v>#REF!</v>
      </c>
      <c r="E280" s="73">
        <v>7000</v>
      </c>
      <c r="F280" s="26" t="e">
        <f t="shared" si="24"/>
        <v>#REF!</v>
      </c>
    </row>
    <row r="281" spans="1:6" ht="19.5" customHeight="1">
      <c r="A281" s="15" t="s">
        <v>1180</v>
      </c>
      <c r="B281" s="16" t="s">
        <v>1177</v>
      </c>
      <c r="C281" s="24" t="s">
        <v>16</v>
      </c>
      <c r="D281" s="73" t="e">
        <f>#REF!</f>
        <v>#REF!</v>
      </c>
      <c r="E281" s="73">
        <v>7000</v>
      </c>
      <c r="F281" s="26" t="e">
        <f t="shared" si="24"/>
        <v>#REF!</v>
      </c>
    </row>
    <row r="282" spans="1:6" ht="21" customHeight="1">
      <c r="A282" s="15" t="s">
        <v>1181</v>
      </c>
      <c r="B282" s="16" t="s">
        <v>1176</v>
      </c>
      <c r="C282" s="24" t="s">
        <v>16</v>
      </c>
      <c r="D282" s="73" t="e">
        <f>#REF!</f>
        <v>#REF!</v>
      </c>
      <c r="E282" s="73">
        <v>7000</v>
      </c>
      <c r="F282" s="26" t="e">
        <f t="shared" si="24"/>
        <v>#REF!</v>
      </c>
    </row>
    <row r="283" spans="1:6" ht="19.5" customHeight="1">
      <c r="A283" s="15" t="s">
        <v>1182</v>
      </c>
      <c r="B283" s="16" t="s">
        <v>1178</v>
      </c>
      <c r="C283" s="24" t="s">
        <v>16</v>
      </c>
      <c r="D283" s="73" t="e">
        <f>#REF!</f>
        <v>#REF!</v>
      </c>
      <c r="E283" s="73">
        <v>7000</v>
      </c>
      <c r="F283" s="26" t="e">
        <f t="shared" si="24"/>
        <v>#REF!</v>
      </c>
    </row>
    <row r="284" spans="1:6" ht="21" customHeight="1">
      <c r="A284" s="15" t="s">
        <v>1183</v>
      </c>
      <c r="B284" s="16" t="s">
        <v>1179</v>
      </c>
      <c r="C284" s="24" t="s">
        <v>16</v>
      </c>
      <c r="D284" s="73" t="e">
        <f>#REF!</f>
        <v>#REF!</v>
      </c>
      <c r="E284" s="73">
        <v>7000</v>
      </c>
      <c r="F284" s="26" t="e">
        <f t="shared" si="24"/>
        <v>#REF!</v>
      </c>
    </row>
    <row r="285" spans="1:6" ht="21" customHeight="1">
      <c r="A285" s="15" t="s">
        <v>1220</v>
      </c>
      <c r="B285" s="16" t="s">
        <v>1222</v>
      </c>
      <c r="C285" s="24" t="s">
        <v>16</v>
      </c>
      <c r="D285" s="73" t="e">
        <f>#REF!</f>
        <v>#REF!</v>
      </c>
      <c r="E285" s="73">
        <v>7000</v>
      </c>
      <c r="F285" s="26" t="e">
        <f t="shared" si="24"/>
        <v>#REF!</v>
      </c>
    </row>
    <row r="286" spans="1:6" ht="21" customHeight="1">
      <c r="A286" s="15" t="s">
        <v>1221</v>
      </c>
      <c r="B286" s="16" t="s">
        <v>1223</v>
      </c>
      <c r="C286" s="24" t="s">
        <v>16</v>
      </c>
      <c r="D286" s="73" t="e">
        <f>#REF!</f>
        <v>#REF!</v>
      </c>
      <c r="E286" s="73">
        <v>7000</v>
      </c>
      <c r="F286" s="26" t="e">
        <f t="shared" si="24"/>
        <v>#REF!</v>
      </c>
    </row>
    <row r="287" spans="1:6" ht="21" customHeight="1">
      <c r="A287" s="15" t="s">
        <v>1184</v>
      </c>
      <c r="B287" s="16" t="s">
        <v>1185</v>
      </c>
      <c r="C287" s="24" t="s">
        <v>16</v>
      </c>
      <c r="D287" s="73" t="e">
        <f>#REF!</f>
        <v>#REF!</v>
      </c>
      <c r="E287" s="73">
        <v>7000</v>
      </c>
      <c r="F287" s="26" t="e">
        <f t="shared" si="24"/>
        <v>#REF!</v>
      </c>
    </row>
    <row r="288" spans="1:6" ht="21.75" customHeight="1">
      <c r="A288" s="15" t="s">
        <v>1186</v>
      </c>
      <c r="B288" s="16" t="s">
        <v>1187</v>
      </c>
      <c r="C288" s="24" t="s">
        <v>16</v>
      </c>
      <c r="D288" s="73" t="e">
        <f>#REF!</f>
        <v>#REF!</v>
      </c>
      <c r="E288" s="73">
        <v>7000</v>
      </c>
      <c r="F288" s="26" t="e">
        <f t="shared" si="24"/>
        <v>#REF!</v>
      </c>
    </row>
    <row r="289" spans="1:6" ht="23.25" customHeight="1">
      <c r="A289" s="15" t="s">
        <v>1188</v>
      </c>
      <c r="B289" s="16" t="s">
        <v>1189</v>
      </c>
      <c r="C289" s="24" t="s">
        <v>16</v>
      </c>
      <c r="D289" s="73" t="e">
        <f>#REF!</f>
        <v>#REF!</v>
      </c>
      <c r="E289" s="73">
        <v>7000</v>
      </c>
      <c r="F289" s="26" t="e">
        <f t="shared" si="24"/>
        <v>#REF!</v>
      </c>
    </row>
    <row r="290" spans="1:6" ht="22.5" customHeight="1">
      <c r="A290" s="15" t="s">
        <v>1190</v>
      </c>
      <c r="B290" s="16" t="s">
        <v>1191</v>
      </c>
      <c r="C290" s="24" t="s">
        <v>16</v>
      </c>
      <c r="D290" s="73" t="e">
        <f>#REF!</f>
        <v>#REF!</v>
      </c>
      <c r="E290" s="73">
        <v>7000</v>
      </c>
      <c r="F290" s="26" t="e">
        <f t="shared" si="24"/>
        <v>#REF!</v>
      </c>
    </row>
    <row r="291" spans="1:6" ht="22.5" customHeight="1">
      <c r="A291" s="15" t="s">
        <v>1193</v>
      </c>
      <c r="B291" s="16" t="s">
        <v>1192</v>
      </c>
      <c r="C291" s="24" t="s">
        <v>16</v>
      </c>
      <c r="D291" s="73" t="e">
        <f>#REF!</f>
        <v>#REF!</v>
      </c>
      <c r="E291" s="73">
        <v>7000</v>
      </c>
      <c r="F291" s="26" t="e">
        <f t="shared" si="24"/>
        <v>#REF!</v>
      </c>
    </row>
    <row r="292" spans="1:6" ht="22.5" customHeight="1">
      <c r="A292" s="15" t="s">
        <v>718</v>
      </c>
      <c r="B292" s="16" t="s">
        <v>719</v>
      </c>
      <c r="C292" s="24" t="s">
        <v>16</v>
      </c>
      <c r="D292" s="73" t="e">
        <f>#REF!</f>
        <v>#REF!</v>
      </c>
      <c r="E292" s="73">
        <v>7000</v>
      </c>
      <c r="F292" s="26" t="e">
        <f t="shared" ref="F292" si="25">E292*D292</f>
        <v>#REF!</v>
      </c>
    </row>
    <row r="293" spans="1:6" ht="15.75" customHeight="1" thickBot="1">
      <c r="A293" s="68"/>
      <c r="B293" s="69"/>
      <c r="C293" s="72"/>
      <c r="D293" s="73"/>
      <c r="E293" s="73"/>
      <c r="F293" s="26"/>
    </row>
    <row r="294" spans="1:6" ht="24.75" customHeight="1" thickBot="1">
      <c r="A294" s="503" t="s">
        <v>1194</v>
      </c>
      <c r="B294" s="504"/>
      <c r="C294" s="504"/>
      <c r="D294" s="504"/>
      <c r="E294" s="505"/>
      <c r="F294" s="17" t="e">
        <f>SUM(F277:F292)</f>
        <v>#REF!</v>
      </c>
    </row>
    <row r="295" spans="1:6" ht="19.5" customHeight="1">
      <c r="A295" s="205"/>
      <c r="B295" s="206"/>
      <c r="C295" s="206"/>
      <c r="D295" s="206"/>
      <c r="E295" s="206"/>
      <c r="F295" s="207"/>
    </row>
    <row r="296" spans="1:6" ht="23.25" customHeight="1">
      <c r="A296" s="15" t="s">
        <v>724</v>
      </c>
      <c r="B296" s="112" t="s">
        <v>1224</v>
      </c>
      <c r="C296" s="72"/>
      <c r="D296" s="73"/>
      <c r="E296" s="73"/>
      <c r="F296" s="26"/>
    </row>
    <row r="297" spans="1:6" ht="19.5" customHeight="1">
      <c r="A297" s="15" t="s">
        <v>732</v>
      </c>
      <c r="B297" s="16" t="s">
        <v>733</v>
      </c>
      <c r="C297" s="24" t="s">
        <v>28</v>
      </c>
      <c r="D297" s="73" t="e">
        <f>#REF!</f>
        <v>#REF!</v>
      </c>
      <c r="E297" s="73">
        <v>130</v>
      </c>
      <c r="F297" s="33" t="e">
        <f>E297*D297</f>
        <v>#REF!</v>
      </c>
    </row>
    <row r="298" spans="1:6" ht="21" customHeight="1">
      <c r="A298" s="15" t="s">
        <v>742</v>
      </c>
      <c r="B298" s="16" t="s">
        <v>743</v>
      </c>
      <c r="C298" s="24" t="s">
        <v>28</v>
      </c>
      <c r="D298" s="73" t="e">
        <f>#REF!</f>
        <v>#REF!</v>
      </c>
      <c r="E298" s="73">
        <v>200</v>
      </c>
      <c r="F298" s="33" t="e">
        <f t="shared" ref="F298:F301" si="26">E298*D298</f>
        <v>#REF!</v>
      </c>
    </row>
    <row r="299" spans="1:6" ht="20.25" customHeight="1">
      <c r="A299" s="15" t="s">
        <v>744</v>
      </c>
      <c r="B299" s="16" t="s">
        <v>745</v>
      </c>
      <c r="C299" s="24" t="s">
        <v>28</v>
      </c>
      <c r="D299" s="73" t="e">
        <f>#REF!</f>
        <v>#REF!</v>
      </c>
      <c r="E299" s="73">
        <v>150</v>
      </c>
      <c r="F299" s="33" t="e">
        <f t="shared" si="26"/>
        <v>#REF!</v>
      </c>
    </row>
    <row r="300" spans="1:6" ht="20.25" customHeight="1">
      <c r="A300" s="15" t="s">
        <v>750</v>
      </c>
      <c r="B300" s="16" t="s">
        <v>751</v>
      </c>
      <c r="C300" s="24" t="s">
        <v>28</v>
      </c>
      <c r="D300" s="73" t="e">
        <f>#REF!</f>
        <v>#REF!</v>
      </c>
      <c r="E300" s="73">
        <v>50</v>
      </c>
      <c r="F300" s="33" t="e">
        <f t="shared" si="26"/>
        <v>#REF!</v>
      </c>
    </row>
    <row r="301" spans="1:6" ht="21.75" customHeight="1">
      <c r="A301" s="15" t="s">
        <v>754</v>
      </c>
      <c r="B301" s="16" t="s">
        <v>755</v>
      </c>
      <c r="C301" s="24" t="s">
        <v>28</v>
      </c>
      <c r="D301" s="73" t="e">
        <f>#REF!</f>
        <v>#REF!</v>
      </c>
      <c r="E301" s="73">
        <v>30</v>
      </c>
      <c r="F301" s="33" t="e">
        <f t="shared" si="26"/>
        <v>#REF!</v>
      </c>
    </row>
    <row r="302" spans="1:6" ht="18.75" customHeight="1" thickBot="1">
      <c r="A302" s="68"/>
      <c r="B302" s="69"/>
      <c r="C302" s="72"/>
      <c r="D302" s="73"/>
      <c r="E302" s="73"/>
      <c r="F302" s="33"/>
    </row>
    <row r="303" spans="1:6" ht="24.75" customHeight="1" thickBot="1">
      <c r="A303" s="503" t="s">
        <v>756</v>
      </c>
      <c r="B303" s="504"/>
      <c r="C303" s="504"/>
      <c r="D303" s="504"/>
      <c r="E303" s="505"/>
      <c r="F303" s="17" t="e">
        <f>SUM(F297:F301)</f>
        <v>#REF!</v>
      </c>
    </row>
    <row r="304" spans="1:6" ht="19.5" customHeight="1">
      <c r="A304" s="15"/>
      <c r="B304" s="16"/>
      <c r="C304" s="24"/>
      <c r="D304" s="25"/>
      <c r="E304" s="25"/>
      <c r="F304" s="33"/>
    </row>
    <row r="305" spans="1:6" ht="23.25" customHeight="1">
      <c r="A305" s="15" t="s">
        <v>757</v>
      </c>
      <c r="B305" s="112" t="s">
        <v>1227</v>
      </c>
      <c r="C305" s="72"/>
      <c r="D305" s="73"/>
      <c r="E305" s="73"/>
      <c r="F305" s="26"/>
    </row>
    <row r="306" spans="1:6" ht="21.75" customHeight="1">
      <c r="A306" s="15" t="s">
        <v>759</v>
      </c>
      <c r="B306" s="16" t="s">
        <v>1228</v>
      </c>
      <c r="C306" s="72"/>
      <c r="D306" s="73"/>
      <c r="E306" s="73"/>
      <c r="F306" s="33"/>
    </row>
    <row r="307" spans="1:6" ht="18.75" customHeight="1">
      <c r="A307" s="15" t="s">
        <v>763</v>
      </c>
      <c r="B307" s="16" t="s">
        <v>1226</v>
      </c>
      <c r="C307" s="24" t="s">
        <v>28</v>
      </c>
      <c r="D307" s="73" t="e">
        <f>#REF!</f>
        <v>#REF!</v>
      </c>
      <c r="E307" s="73">
        <v>60</v>
      </c>
      <c r="F307" s="33" t="e">
        <f>E307*D307</f>
        <v>#REF!</v>
      </c>
    </row>
    <row r="308" spans="1:6" ht="18.75" customHeight="1">
      <c r="A308" s="15" t="s">
        <v>765</v>
      </c>
      <c r="B308" s="16" t="s">
        <v>1235</v>
      </c>
      <c r="C308" s="24" t="s">
        <v>28</v>
      </c>
      <c r="D308" s="73" t="e">
        <f>#REF!</f>
        <v>#REF!</v>
      </c>
      <c r="E308" s="73">
        <v>50</v>
      </c>
      <c r="F308" s="33" t="e">
        <f>E308*D308</f>
        <v>#REF!</v>
      </c>
    </row>
    <row r="309" spans="1:6" ht="18" customHeight="1">
      <c r="A309" s="15" t="s">
        <v>767</v>
      </c>
      <c r="B309" s="16" t="s">
        <v>1229</v>
      </c>
      <c r="C309" s="24" t="s">
        <v>28</v>
      </c>
      <c r="D309" s="73" t="e">
        <f>#REF!</f>
        <v>#REF!</v>
      </c>
      <c r="E309" s="73">
        <v>100</v>
      </c>
      <c r="F309" s="33" t="e">
        <f>E309*D309</f>
        <v>#REF!</v>
      </c>
    </row>
    <row r="310" spans="1:6" ht="19.5" customHeight="1">
      <c r="A310" s="15" t="s">
        <v>769</v>
      </c>
      <c r="B310" s="16" t="s">
        <v>770</v>
      </c>
      <c r="C310" s="24" t="s">
        <v>28</v>
      </c>
      <c r="D310" s="73" t="e">
        <f>#REF!</f>
        <v>#REF!</v>
      </c>
      <c r="E310" s="73">
        <v>120</v>
      </c>
      <c r="F310" s="33" t="e">
        <f>E310*D310</f>
        <v>#REF!</v>
      </c>
    </row>
    <row r="311" spans="1:6" ht="19.5" customHeight="1">
      <c r="A311" s="15" t="s">
        <v>771</v>
      </c>
      <c r="B311" s="16" t="s">
        <v>1230</v>
      </c>
      <c r="C311" s="24"/>
      <c r="D311" s="73"/>
      <c r="E311" s="73"/>
      <c r="F311" s="33"/>
    </row>
    <row r="312" spans="1:6" ht="19.5" customHeight="1">
      <c r="A312" s="15" t="s">
        <v>1233</v>
      </c>
      <c r="B312" s="16" t="s">
        <v>1231</v>
      </c>
      <c r="C312" s="24" t="s">
        <v>28</v>
      </c>
      <c r="D312" s="73" t="e">
        <f>#REF!</f>
        <v>#REF!</v>
      </c>
      <c r="E312" s="73">
        <v>40</v>
      </c>
      <c r="F312" s="33" t="e">
        <f t="shared" ref="F312:F313" si="27">E312*D312</f>
        <v>#REF!</v>
      </c>
    </row>
    <row r="313" spans="1:6" ht="19.5" customHeight="1">
      <c r="A313" s="15" t="s">
        <v>1234</v>
      </c>
      <c r="B313" s="16" t="s">
        <v>1232</v>
      </c>
      <c r="C313" s="24" t="s">
        <v>28</v>
      </c>
      <c r="D313" s="73" t="e">
        <f>#REF!</f>
        <v>#REF!</v>
      </c>
      <c r="E313" s="73">
        <v>30</v>
      </c>
      <c r="F313" s="33" t="e">
        <f t="shared" si="27"/>
        <v>#REF!</v>
      </c>
    </row>
    <row r="314" spans="1:6" ht="19.5" customHeight="1" thickBot="1">
      <c r="A314" s="7"/>
      <c r="B314" s="64"/>
      <c r="C314" s="24"/>
      <c r="D314" s="73"/>
      <c r="E314" s="73"/>
      <c r="F314" s="33"/>
    </row>
    <row r="315" spans="1:6" ht="24.75" customHeight="1" thickBot="1">
      <c r="A315" s="503" t="s">
        <v>1225</v>
      </c>
      <c r="B315" s="504"/>
      <c r="C315" s="504"/>
      <c r="D315" s="504"/>
      <c r="E315" s="505"/>
      <c r="F315" s="17" t="e">
        <f>SUM(F306:F314)</f>
        <v>#REF!</v>
      </c>
    </row>
    <row r="316" spans="1:6" ht="19.5" customHeight="1">
      <c r="A316" s="7"/>
      <c r="B316" s="64"/>
      <c r="C316" s="24"/>
      <c r="D316" s="73"/>
      <c r="E316" s="73"/>
      <c r="F316" s="33"/>
    </row>
    <row r="317" spans="1:6" ht="20.25" customHeight="1">
      <c r="A317" s="7" t="s">
        <v>167</v>
      </c>
      <c r="B317" s="208" t="s">
        <v>103</v>
      </c>
      <c r="C317" s="24"/>
      <c r="D317" s="73"/>
      <c r="E317" s="73"/>
      <c r="F317" s="26"/>
    </row>
    <row r="318" spans="1:6" ht="24.95" customHeight="1">
      <c r="A318" s="15" t="s">
        <v>169</v>
      </c>
      <c r="B318" s="16" t="s">
        <v>170</v>
      </c>
      <c r="C318" s="24"/>
      <c r="D318" s="73"/>
      <c r="E318" s="73"/>
      <c r="F318" s="26"/>
    </row>
    <row r="319" spans="1:6" ht="24.95" customHeight="1">
      <c r="A319" s="15" t="s">
        <v>171</v>
      </c>
      <c r="B319" s="16" t="s">
        <v>175</v>
      </c>
      <c r="C319" s="24" t="s">
        <v>102</v>
      </c>
      <c r="D319" s="25" t="e">
        <f>#REF!</f>
        <v>#REF!</v>
      </c>
      <c r="E319" s="25">
        <v>4000</v>
      </c>
      <c r="F319" s="33" t="e">
        <f>+D319*E319</f>
        <v>#REF!</v>
      </c>
    </row>
    <row r="320" spans="1:6" ht="24.95" customHeight="1">
      <c r="A320" s="15" t="s">
        <v>172</v>
      </c>
      <c r="B320" s="16" t="s">
        <v>176</v>
      </c>
      <c r="C320" s="24" t="s">
        <v>102</v>
      </c>
      <c r="D320" s="25" t="e">
        <f>#REF!</f>
        <v>#REF!</v>
      </c>
      <c r="E320" s="25">
        <v>4000</v>
      </c>
      <c r="F320" s="33" t="e">
        <f>+D320*E320</f>
        <v>#REF!</v>
      </c>
    </row>
    <row r="321" spans="1:6" ht="24.95" customHeight="1">
      <c r="A321" s="15" t="s">
        <v>173</v>
      </c>
      <c r="B321" s="16" t="s">
        <v>177</v>
      </c>
      <c r="C321" s="24" t="s">
        <v>102</v>
      </c>
      <c r="D321" s="25" t="e">
        <f>#REF!</f>
        <v>#REF!</v>
      </c>
      <c r="E321" s="25">
        <v>4000</v>
      </c>
      <c r="F321" s="33" t="e">
        <f>+D321*E321</f>
        <v>#REF!</v>
      </c>
    </row>
    <row r="322" spans="1:6" ht="24.95" customHeight="1">
      <c r="A322" s="15" t="s">
        <v>174</v>
      </c>
      <c r="B322" s="16" t="s">
        <v>178</v>
      </c>
      <c r="C322" s="24" t="s">
        <v>102</v>
      </c>
      <c r="D322" s="25" t="e">
        <f>#REF!</f>
        <v>#REF!</v>
      </c>
      <c r="E322" s="25">
        <v>4000</v>
      </c>
      <c r="F322" s="33" t="e">
        <f>+D322*E322</f>
        <v>#REF!</v>
      </c>
    </row>
    <row r="323" spans="1:6" ht="24.75" customHeight="1">
      <c r="A323" s="15" t="s">
        <v>784</v>
      </c>
      <c r="B323" s="16" t="s">
        <v>1236</v>
      </c>
      <c r="C323" s="24"/>
      <c r="D323" s="25"/>
      <c r="E323" s="25"/>
      <c r="F323" s="33"/>
    </row>
    <row r="324" spans="1:6" ht="24.95" customHeight="1">
      <c r="A324" s="15" t="s">
        <v>1237</v>
      </c>
      <c r="B324" s="16" t="s">
        <v>1238</v>
      </c>
      <c r="C324" s="24" t="s">
        <v>102</v>
      </c>
      <c r="D324" s="25" t="e">
        <f>#REF!</f>
        <v>#REF!</v>
      </c>
      <c r="E324" s="25">
        <v>1500</v>
      </c>
      <c r="F324" s="33" t="e">
        <f t="shared" ref="F324:F327" si="28">+D324*E324</f>
        <v>#REF!</v>
      </c>
    </row>
    <row r="325" spans="1:6" ht="24.95" customHeight="1">
      <c r="A325" s="15" t="s">
        <v>788</v>
      </c>
      <c r="B325" s="16" t="s">
        <v>1239</v>
      </c>
      <c r="C325" s="24" t="s">
        <v>102</v>
      </c>
      <c r="D325" s="25" t="e">
        <f>#REF!</f>
        <v>#REF!</v>
      </c>
      <c r="E325" s="25">
        <v>1500</v>
      </c>
      <c r="F325" s="33" t="e">
        <f t="shared" si="28"/>
        <v>#REF!</v>
      </c>
    </row>
    <row r="326" spans="1:6" ht="34.5" customHeight="1">
      <c r="A326" s="15" t="s">
        <v>790</v>
      </c>
      <c r="B326" s="16" t="s">
        <v>1240</v>
      </c>
      <c r="C326" s="24" t="s">
        <v>102</v>
      </c>
      <c r="D326" s="25" t="e">
        <f>#REF!</f>
        <v>#REF!</v>
      </c>
      <c r="E326" s="25">
        <v>1500</v>
      </c>
      <c r="F326" s="33" t="e">
        <f t="shared" si="28"/>
        <v>#REF!</v>
      </c>
    </row>
    <row r="327" spans="1:6" ht="24.95" customHeight="1">
      <c r="A327" s="15" t="s">
        <v>792</v>
      </c>
      <c r="B327" s="16" t="s">
        <v>1241</v>
      </c>
      <c r="C327" s="24" t="s">
        <v>102</v>
      </c>
      <c r="D327" s="25" t="e">
        <f>#REF!</f>
        <v>#REF!</v>
      </c>
      <c r="E327" s="25">
        <v>1500</v>
      </c>
      <c r="F327" s="33" t="e">
        <f t="shared" si="28"/>
        <v>#REF!</v>
      </c>
    </row>
    <row r="328" spans="1:6" ht="24.95" customHeight="1">
      <c r="A328" s="15" t="s">
        <v>794</v>
      </c>
      <c r="B328" s="16" t="s">
        <v>1242</v>
      </c>
      <c r="C328" s="24" t="s">
        <v>102</v>
      </c>
      <c r="D328" s="25" t="e">
        <f>#REF!</f>
        <v>#REF!</v>
      </c>
      <c r="E328" s="25">
        <v>200</v>
      </c>
      <c r="F328" s="33" t="e">
        <f t="shared" ref="F328" si="29">+D328*E328</f>
        <v>#REF!</v>
      </c>
    </row>
    <row r="329" spans="1:6" ht="18" customHeight="1" thickBot="1">
      <c r="A329" s="68"/>
      <c r="B329" s="69"/>
      <c r="C329" s="72"/>
      <c r="D329" s="73"/>
      <c r="E329" s="73"/>
      <c r="F329" s="33"/>
    </row>
    <row r="330" spans="1:6" ht="20.25" customHeight="1" thickBot="1">
      <c r="A330" s="503" t="s">
        <v>1204</v>
      </c>
      <c r="B330" s="504"/>
      <c r="C330" s="504"/>
      <c r="D330" s="504"/>
      <c r="E330" s="505"/>
      <c r="F330" s="17" t="e">
        <f>SUM(F319:F329)</f>
        <v>#REF!</v>
      </c>
    </row>
    <row r="331" spans="1:6" ht="17.25" customHeight="1">
      <c r="A331" s="15"/>
      <c r="B331" s="16"/>
      <c r="C331" s="24"/>
      <c r="D331" s="25"/>
      <c r="E331" s="25"/>
      <c r="F331" s="33"/>
    </row>
    <row r="332" spans="1:6" ht="20.25" customHeight="1">
      <c r="A332" s="7" t="s">
        <v>797</v>
      </c>
      <c r="B332" s="208" t="s">
        <v>1243</v>
      </c>
      <c r="C332" s="24"/>
      <c r="D332" s="73"/>
      <c r="E332" s="73"/>
      <c r="F332" s="26"/>
    </row>
    <row r="333" spans="1:6" ht="40.5" customHeight="1">
      <c r="A333" s="15" t="s">
        <v>799</v>
      </c>
      <c r="B333" s="16" t="s">
        <v>1287</v>
      </c>
      <c r="C333" s="24" t="s">
        <v>16</v>
      </c>
      <c r="D333" s="73" t="e">
        <f>#REF!</f>
        <v>#REF!</v>
      </c>
      <c r="E333" s="73">
        <v>550</v>
      </c>
      <c r="F333" s="26" t="e">
        <f>E333*D333</f>
        <v>#REF!</v>
      </c>
    </row>
    <row r="334" spans="1:6" ht="24.95" customHeight="1">
      <c r="A334" s="15" t="s">
        <v>801</v>
      </c>
      <c r="B334" s="16" t="s">
        <v>802</v>
      </c>
      <c r="C334" s="24" t="s">
        <v>16</v>
      </c>
      <c r="D334" s="25" t="e">
        <f>#REF!</f>
        <v>#REF!</v>
      </c>
      <c r="E334" s="25">
        <v>1000</v>
      </c>
      <c r="F334" s="26" t="e">
        <f t="shared" ref="F334" si="30">E334*D334</f>
        <v>#REF!</v>
      </c>
    </row>
    <row r="335" spans="1:6" ht="17.25" customHeight="1" thickBot="1">
      <c r="A335" s="15"/>
      <c r="B335" s="16"/>
      <c r="C335" s="24"/>
      <c r="D335" s="25"/>
      <c r="E335" s="25"/>
      <c r="F335" s="33"/>
    </row>
    <row r="336" spans="1:6" ht="23.25" customHeight="1" thickBot="1">
      <c r="A336" s="503" t="s">
        <v>1244</v>
      </c>
      <c r="B336" s="504"/>
      <c r="C336" s="504"/>
      <c r="D336" s="504"/>
      <c r="E336" s="505"/>
      <c r="F336" s="17" t="e">
        <f>SUM(F333:F335)</f>
        <v>#REF!</v>
      </c>
    </row>
    <row r="337" spans="1:6" ht="17.25" customHeight="1">
      <c r="A337" s="15"/>
      <c r="B337" s="16"/>
      <c r="C337" s="24"/>
      <c r="D337" s="25"/>
      <c r="E337" s="25"/>
      <c r="F337" s="33"/>
    </row>
    <row r="338" spans="1:6" ht="24.95" customHeight="1">
      <c r="A338" s="7" t="s">
        <v>805</v>
      </c>
      <c r="B338" s="208" t="s">
        <v>1245</v>
      </c>
      <c r="C338" s="24"/>
      <c r="D338" s="73"/>
      <c r="E338" s="73"/>
      <c r="F338" s="26"/>
    </row>
    <row r="339" spans="1:6" ht="24.95" customHeight="1">
      <c r="A339" s="15" t="s">
        <v>807</v>
      </c>
      <c r="B339" s="210" t="s">
        <v>808</v>
      </c>
      <c r="C339" s="24"/>
      <c r="D339" s="25"/>
      <c r="E339" s="25"/>
      <c r="F339" s="33"/>
    </row>
    <row r="340" spans="1:6" ht="24.95" customHeight="1">
      <c r="A340" s="15" t="s">
        <v>809</v>
      </c>
      <c r="B340" s="16" t="s">
        <v>810</v>
      </c>
      <c r="C340" s="24" t="s">
        <v>16</v>
      </c>
      <c r="D340" s="25" t="e">
        <f>#REF!</f>
        <v>#REF!</v>
      </c>
      <c r="E340" s="25">
        <v>120</v>
      </c>
      <c r="F340" s="33" t="e">
        <f>E340*D340</f>
        <v>#REF!</v>
      </c>
    </row>
    <row r="341" spans="1:6" ht="24.95" customHeight="1">
      <c r="A341" s="15" t="s">
        <v>811</v>
      </c>
      <c r="B341" s="16" t="s">
        <v>812</v>
      </c>
      <c r="C341" s="24" t="s">
        <v>16</v>
      </c>
      <c r="D341" s="25" t="e">
        <f>#REF!</f>
        <v>#REF!</v>
      </c>
      <c r="E341" s="25">
        <v>130</v>
      </c>
      <c r="F341" s="33" t="e">
        <f t="shared" ref="F341:F347" si="31">E341*D341</f>
        <v>#REF!</v>
      </c>
    </row>
    <row r="342" spans="1:6" ht="24.95" customHeight="1">
      <c r="A342" s="15" t="s">
        <v>813</v>
      </c>
      <c r="B342" s="16" t="s">
        <v>814</v>
      </c>
      <c r="C342" s="24" t="s">
        <v>16</v>
      </c>
      <c r="D342" s="25" t="e">
        <f>#REF!</f>
        <v>#REF!</v>
      </c>
      <c r="E342" s="25">
        <v>140</v>
      </c>
      <c r="F342" s="33" t="e">
        <f t="shared" si="31"/>
        <v>#REF!</v>
      </c>
    </row>
    <row r="343" spans="1:6" ht="24.95" customHeight="1">
      <c r="A343" s="15" t="s">
        <v>817</v>
      </c>
      <c r="B343" s="16" t="s">
        <v>818</v>
      </c>
      <c r="C343" s="24" t="s">
        <v>16</v>
      </c>
      <c r="D343" s="25" t="e">
        <f>#REF!</f>
        <v>#REF!</v>
      </c>
      <c r="E343" s="25">
        <v>140</v>
      </c>
      <c r="F343" s="33" t="e">
        <f t="shared" si="31"/>
        <v>#REF!</v>
      </c>
    </row>
    <row r="344" spans="1:6" ht="24.95" customHeight="1">
      <c r="A344" s="15" t="s">
        <v>819</v>
      </c>
      <c r="B344" s="16" t="s">
        <v>820</v>
      </c>
      <c r="C344" s="24" t="s">
        <v>16</v>
      </c>
      <c r="D344" s="25" t="e">
        <f>#REF!</f>
        <v>#REF!</v>
      </c>
      <c r="E344" s="25">
        <v>170</v>
      </c>
      <c r="F344" s="33" t="e">
        <f t="shared" si="31"/>
        <v>#REF!</v>
      </c>
    </row>
    <row r="345" spans="1:6" ht="24.95" customHeight="1">
      <c r="A345" s="15" t="s">
        <v>823</v>
      </c>
      <c r="B345" s="16" t="s">
        <v>824</v>
      </c>
      <c r="C345" s="24" t="s">
        <v>16</v>
      </c>
      <c r="D345" s="25" t="e">
        <f>#REF!</f>
        <v>#REF!</v>
      </c>
      <c r="E345" s="25">
        <v>150</v>
      </c>
      <c r="F345" s="33" t="e">
        <f t="shared" si="31"/>
        <v>#REF!</v>
      </c>
    </row>
    <row r="346" spans="1:6" ht="24.95" customHeight="1">
      <c r="A346" s="15" t="s">
        <v>825</v>
      </c>
      <c r="B346" s="16" t="s">
        <v>826</v>
      </c>
      <c r="C346" s="24" t="s">
        <v>16</v>
      </c>
      <c r="D346" s="25" t="e">
        <f>#REF!</f>
        <v>#REF!</v>
      </c>
      <c r="E346" s="25">
        <v>200</v>
      </c>
      <c r="F346" s="33" t="e">
        <f t="shared" si="31"/>
        <v>#REF!</v>
      </c>
    </row>
    <row r="347" spans="1:6" ht="24.95" customHeight="1">
      <c r="A347" s="15" t="s">
        <v>827</v>
      </c>
      <c r="B347" s="16" t="s">
        <v>828</v>
      </c>
      <c r="C347" s="24" t="s">
        <v>16</v>
      </c>
      <c r="D347" s="25" t="e">
        <f>#REF!</f>
        <v>#REF!</v>
      </c>
      <c r="E347" s="25">
        <v>100</v>
      </c>
      <c r="F347" s="33" t="e">
        <f t="shared" si="31"/>
        <v>#REF!</v>
      </c>
    </row>
    <row r="348" spans="1:6" ht="42" customHeight="1">
      <c r="A348" s="15" t="s">
        <v>829</v>
      </c>
      <c r="B348" s="210" t="s">
        <v>830</v>
      </c>
      <c r="C348" s="24"/>
      <c r="D348" s="25"/>
      <c r="E348" s="25"/>
      <c r="F348" s="33"/>
    </row>
    <row r="349" spans="1:6" ht="24.95" customHeight="1">
      <c r="A349" s="15" t="s">
        <v>831</v>
      </c>
      <c r="B349" s="16" t="s">
        <v>832</v>
      </c>
      <c r="C349" s="24" t="s">
        <v>16</v>
      </c>
      <c r="D349" s="25" t="e">
        <f>#REF!</f>
        <v>#REF!</v>
      </c>
      <c r="E349" s="25">
        <v>150</v>
      </c>
      <c r="F349" s="33" t="e">
        <f>E349*D349</f>
        <v>#REF!</v>
      </c>
    </row>
    <row r="350" spans="1:6" ht="24.95" customHeight="1">
      <c r="A350" s="15" t="s">
        <v>833</v>
      </c>
      <c r="B350" s="16" t="s">
        <v>834</v>
      </c>
      <c r="C350" s="24" t="s">
        <v>16</v>
      </c>
      <c r="D350" s="25" t="e">
        <f>#REF!</f>
        <v>#REF!</v>
      </c>
      <c r="E350" s="25">
        <v>170</v>
      </c>
      <c r="F350" s="33" t="e">
        <f t="shared" ref="F350:F353" si="32">E350*D350</f>
        <v>#REF!</v>
      </c>
    </row>
    <row r="351" spans="1:6" ht="24.95" customHeight="1">
      <c r="A351" s="15" t="s">
        <v>835</v>
      </c>
      <c r="B351" s="16" t="s">
        <v>836</v>
      </c>
      <c r="C351" s="24" t="s">
        <v>16</v>
      </c>
      <c r="D351" s="25" t="e">
        <f>#REF!</f>
        <v>#REF!</v>
      </c>
      <c r="E351" s="25">
        <v>200</v>
      </c>
      <c r="F351" s="33" t="e">
        <f t="shared" si="32"/>
        <v>#REF!</v>
      </c>
    </row>
    <row r="352" spans="1:6" ht="24.95" customHeight="1">
      <c r="A352" s="15" t="s">
        <v>843</v>
      </c>
      <c r="B352" s="16" t="s">
        <v>844</v>
      </c>
      <c r="C352" s="24" t="s">
        <v>16</v>
      </c>
      <c r="D352" s="25" t="e">
        <f>#REF!</f>
        <v>#REF!</v>
      </c>
      <c r="E352" s="25">
        <v>200</v>
      </c>
      <c r="F352" s="33" t="e">
        <f t="shared" si="32"/>
        <v>#REF!</v>
      </c>
    </row>
    <row r="353" spans="1:6" ht="24.95" customHeight="1">
      <c r="A353" s="15" t="s">
        <v>845</v>
      </c>
      <c r="B353" s="16" t="s">
        <v>846</v>
      </c>
      <c r="C353" s="24" t="s">
        <v>16</v>
      </c>
      <c r="D353" s="25" t="e">
        <f>#REF!</f>
        <v>#REF!</v>
      </c>
      <c r="E353" s="25">
        <v>200</v>
      </c>
      <c r="F353" s="33" t="e">
        <f t="shared" si="32"/>
        <v>#REF!</v>
      </c>
    </row>
    <row r="354" spans="1:6" ht="17.25" customHeight="1" thickBot="1">
      <c r="A354" s="15"/>
      <c r="B354" s="16"/>
      <c r="C354" s="24"/>
      <c r="D354" s="25"/>
      <c r="E354" s="25"/>
      <c r="F354" s="33"/>
    </row>
    <row r="355" spans="1:6" ht="27" customHeight="1" thickBot="1">
      <c r="A355" s="503" t="s">
        <v>1246</v>
      </c>
      <c r="B355" s="504"/>
      <c r="C355" s="504"/>
      <c r="D355" s="504"/>
      <c r="E355" s="505"/>
      <c r="F355" s="17" t="e">
        <f>SUM(F338:F353)</f>
        <v>#REF!</v>
      </c>
    </row>
    <row r="356" spans="1:6" ht="17.25" customHeight="1">
      <c r="A356" s="15"/>
      <c r="B356" s="16"/>
      <c r="C356" s="24"/>
      <c r="D356" s="25"/>
      <c r="E356" s="25"/>
      <c r="F356" s="33"/>
    </row>
    <row r="357" spans="1:6" ht="22.5" customHeight="1">
      <c r="A357" s="7" t="s">
        <v>848</v>
      </c>
      <c r="B357" s="208" t="s">
        <v>1247</v>
      </c>
      <c r="C357" s="24"/>
      <c r="D357" s="25"/>
      <c r="E357" s="25"/>
      <c r="F357" s="33"/>
    </row>
    <row r="358" spans="1:6" ht="24.95" customHeight="1">
      <c r="A358" s="15" t="s">
        <v>850</v>
      </c>
      <c r="B358" s="16" t="s">
        <v>1248</v>
      </c>
      <c r="C358" s="24" t="s">
        <v>16</v>
      </c>
      <c r="D358" s="25" t="e">
        <f>#REF!</f>
        <v>#REF!</v>
      </c>
      <c r="E358" s="25">
        <v>50000</v>
      </c>
      <c r="F358" s="33" t="e">
        <f t="shared" ref="F358:F359" si="33">E358*D358</f>
        <v>#REF!</v>
      </c>
    </row>
    <row r="359" spans="1:6" ht="24.95" customHeight="1">
      <c r="A359" s="15" t="s">
        <v>852</v>
      </c>
      <c r="B359" s="16" t="s">
        <v>1249</v>
      </c>
      <c r="C359" s="24" t="s">
        <v>16</v>
      </c>
      <c r="D359" s="25" t="e">
        <f>#REF!</f>
        <v>#REF!</v>
      </c>
      <c r="E359" s="25">
        <v>1500</v>
      </c>
      <c r="F359" s="33" t="e">
        <f t="shared" si="33"/>
        <v>#REF!</v>
      </c>
    </row>
    <row r="360" spans="1:6" ht="17.25" customHeight="1" thickBot="1">
      <c r="A360" s="15"/>
      <c r="B360" s="16"/>
      <c r="C360" s="24"/>
      <c r="D360" s="25"/>
      <c r="E360" s="25"/>
      <c r="F360" s="33"/>
    </row>
    <row r="361" spans="1:6" ht="29.25" customHeight="1" thickBot="1">
      <c r="A361" s="503" t="s">
        <v>1250</v>
      </c>
      <c r="B361" s="504"/>
      <c r="C361" s="504"/>
      <c r="D361" s="504"/>
      <c r="E361" s="505"/>
      <c r="F361" s="17" t="e">
        <f>SUM(F358:F359)</f>
        <v>#REF!</v>
      </c>
    </row>
    <row r="362" spans="1:6" ht="17.25" customHeight="1">
      <c r="A362" s="15"/>
      <c r="B362" s="16"/>
      <c r="C362" s="24"/>
      <c r="D362" s="25"/>
      <c r="E362" s="25"/>
      <c r="F362" s="33"/>
    </row>
    <row r="363" spans="1:6" ht="23.25" customHeight="1">
      <c r="A363" s="15" t="s">
        <v>855</v>
      </c>
      <c r="B363" s="112" t="s">
        <v>1162</v>
      </c>
      <c r="C363" s="24"/>
      <c r="D363" s="25"/>
      <c r="E363" s="25"/>
      <c r="F363" s="33"/>
    </row>
    <row r="364" spans="1:6" ht="24.95" customHeight="1">
      <c r="A364" s="15" t="s">
        <v>857</v>
      </c>
      <c r="B364" s="16" t="s">
        <v>858</v>
      </c>
      <c r="C364" s="24" t="s">
        <v>16</v>
      </c>
      <c r="D364" s="25" t="e">
        <f>#REF!</f>
        <v>#REF!</v>
      </c>
      <c r="E364" s="25">
        <v>350</v>
      </c>
      <c r="F364" s="33" t="e">
        <f>E364*D364</f>
        <v>#REF!</v>
      </c>
    </row>
    <row r="365" spans="1:6" ht="24.95" customHeight="1">
      <c r="A365" s="15" t="s">
        <v>861</v>
      </c>
      <c r="B365" s="16" t="s">
        <v>862</v>
      </c>
      <c r="C365" s="24" t="s">
        <v>16</v>
      </c>
      <c r="D365" s="25" t="e">
        <f>#REF!</f>
        <v>#REF!</v>
      </c>
      <c r="E365" s="25">
        <v>200</v>
      </c>
      <c r="F365" s="33" t="e">
        <f t="shared" ref="F365:F370" si="34">E365*D365</f>
        <v>#REF!</v>
      </c>
    </row>
    <row r="366" spans="1:6" ht="24.95" customHeight="1">
      <c r="A366" s="15" t="s">
        <v>863</v>
      </c>
      <c r="B366" s="16" t="s">
        <v>864</v>
      </c>
      <c r="C366" s="24" t="s">
        <v>16</v>
      </c>
      <c r="D366" s="25" t="e">
        <f>#REF!</f>
        <v>#REF!</v>
      </c>
      <c r="E366" s="25">
        <v>350</v>
      </c>
      <c r="F366" s="33" t="e">
        <f t="shared" si="34"/>
        <v>#REF!</v>
      </c>
    </row>
    <row r="367" spans="1:6" ht="24.95" customHeight="1">
      <c r="A367" s="15" t="s">
        <v>865</v>
      </c>
      <c r="B367" s="16" t="s">
        <v>866</v>
      </c>
      <c r="C367" s="24" t="s">
        <v>16</v>
      </c>
      <c r="D367" s="25" t="e">
        <f>#REF!</f>
        <v>#REF!</v>
      </c>
      <c r="E367" s="25">
        <v>220</v>
      </c>
      <c r="F367" s="33" t="e">
        <f t="shared" si="34"/>
        <v>#REF!</v>
      </c>
    </row>
    <row r="368" spans="1:6" ht="24.95" customHeight="1">
      <c r="A368" s="15" t="s">
        <v>869</v>
      </c>
      <c r="B368" s="16" t="s">
        <v>870</v>
      </c>
      <c r="C368" s="24" t="s">
        <v>16</v>
      </c>
      <c r="D368" s="25" t="e">
        <f>#REF!</f>
        <v>#REF!</v>
      </c>
      <c r="E368" s="25">
        <v>250</v>
      </c>
      <c r="F368" s="33" t="e">
        <f t="shared" si="34"/>
        <v>#REF!</v>
      </c>
    </row>
    <row r="369" spans="1:6" ht="24.95" customHeight="1">
      <c r="A369" s="15" t="s">
        <v>871</v>
      </c>
      <c r="B369" s="16" t="s">
        <v>872</v>
      </c>
      <c r="C369" s="24" t="s">
        <v>16</v>
      </c>
      <c r="D369" s="25" t="e">
        <f>#REF!</f>
        <v>#REF!</v>
      </c>
      <c r="E369" s="25">
        <v>500</v>
      </c>
      <c r="F369" s="33" t="e">
        <f t="shared" si="34"/>
        <v>#REF!</v>
      </c>
    </row>
    <row r="370" spans="1:6" ht="24.95" customHeight="1">
      <c r="A370" s="15" t="s">
        <v>875</v>
      </c>
      <c r="B370" s="16" t="s">
        <v>876</v>
      </c>
      <c r="C370" s="24" t="s">
        <v>16</v>
      </c>
      <c r="D370" s="25" t="e">
        <f>#REF!</f>
        <v>#REF!</v>
      </c>
      <c r="E370" s="25">
        <v>1000</v>
      </c>
      <c r="F370" s="33" t="e">
        <f t="shared" si="34"/>
        <v>#REF!</v>
      </c>
    </row>
    <row r="371" spans="1:6" ht="23.25" customHeight="1" thickBot="1">
      <c r="A371" s="15"/>
      <c r="B371" s="112"/>
      <c r="C371" s="24"/>
      <c r="D371" s="25"/>
      <c r="E371" s="25"/>
      <c r="F371" s="33"/>
    </row>
    <row r="372" spans="1:6" ht="24.75" customHeight="1" thickBot="1">
      <c r="A372" s="503" t="s">
        <v>1251</v>
      </c>
      <c r="B372" s="504"/>
      <c r="C372" s="504"/>
      <c r="D372" s="504"/>
      <c r="E372" s="505"/>
      <c r="F372" s="17" t="e">
        <f>SUM(F364:F370)</f>
        <v>#REF!</v>
      </c>
    </row>
    <row r="373" spans="1:6" ht="17.25" customHeight="1">
      <c r="A373" s="15"/>
      <c r="B373" s="112"/>
      <c r="C373" s="24"/>
      <c r="D373" s="25"/>
      <c r="E373" s="25"/>
      <c r="F373" s="33"/>
    </row>
    <row r="374" spans="1:6" ht="23.25" customHeight="1">
      <c r="A374" s="15" t="s">
        <v>883</v>
      </c>
      <c r="B374" s="112" t="s">
        <v>1257</v>
      </c>
      <c r="C374" s="24"/>
      <c r="D374" s="25"/>
      <c r="E374" s="25"/>
      <c r="F374" s="33"/>
    </row>
    <row r="375" spans="1:6" ht="24.95" customHeight="1">
      <c r="A375" s="15" t="s">
        <v>901</v>
      </c>
      <c r="B375" s="16" t="s">
        <v>902</v>
      </c>
      <c r="C375" s="24" t="s">
        <v>16</v>
      </c>
      <c r="D375" s="25" t="e">
        <f>#REF!</f>
        <v>#REF!</v>
      </c>
      <c r="E375" s="25">
        <v>150</v>
      </c>
      <c r="F375" s="33" t="e">
        <f>E375*D375</f>
        <v>#REF!</v>
      </c>
    </row>
    <row r="376" spans="1:6" ht="18.75" customHeight="1" thickBot="1">
      <c r="A376" s="155"/>
      <c r="B376" s="128"/>
      <c r="C376" s="24"/>
      <c r="D376" s="25"/>
      <c r="E376" s="25"/>
      <c r="F376" s="33"/>
    </row>
    <row r="377" spans="1:6" ht="25.5" customHeight="1" thickBot="1">
      <c r="A377" s="503" t="s">
        <v>1253</v>
      </c>
      <c r="B377" s="504"/>
      <c r="C377" s="504"/>
      <c r="D377" s="504"/>
      <c r="E377" s="505"/>
      <c r="F377" s="17" t="e">
        <f>SUM(F375)</f>
        <v>#REF!</v>
      </c>
    </row>
    <row r="378" spans="1:6" s="93" customFormat="1" ht="21" customHeight="1">
      <c r="A378" s="112"/>
      <c r="B378" s="112"/>
      <c r="C378" s="24"/>
      <c r="D378" s="25"/>
      <c r="E378" s="25"/>
      <c r="F378" s="33"/>
    </row>
    <row r="379" spans="1:6" s="93" customFormat="1" ht="21" customHeight="1">
      <c r="A379" s="15" t="s">
        <v>904</v>
      </c>
      <c r="B379" s="112" t="s">
        <v>1256</v>
      </c>
      <c r="C379" s="24"/>
      <c r="D379" s="25"/>
      <c r="E379" s="25"/>
      <c r="F379" s="33"/>
    </row>
    <row r="380" spans="1:6" s="93" customFormat="1" ht="24.95" customHeight="1">
      <c r="A380" s="15" t="s">
        <v>906</v>
      </c>
      <c r="B380" s="16" t="s">
        <v>907</v>
      </c>
      <c r="C380" s="24"/>
      <c r="D380" s="25"/>
      <c r="E380" s="25"/>
      <c r="F380" s="33"/>
    </row>
    <row r="381" spans="1:6" s="93" customFormat="1" ht="24.95" customHeight="1">
      <c r="A381" s="15" t="s">
        <v>908</v>
      </c>
      <c r="B381" s="16" t="s">
        <v>909</v>
      </c>
      <c r="C381" s="24" t="s">
        <v>28</v>
      </c>
      <c r="D381" s="25"/>
      <c r="E381" s="25">
        <v>30</v>
      </c>
      <c r="F381" s="33">
        <f>E381*D381</f>
        <v>0</v>
      </c>
    </row>
    <row r="382" spans="1:6" s="93" customFormat="1" ht="24.95" customHeight="1">
      <c r="A382" s="15" t="s">
        <v>910</v>
      </c>
      <c r="B382" s="16" t="s">
        <v>911</v>
      </c>
      <c r="C382" s="24" t="s">
        <v>28</v>
      </c>
      <c r="D382" s="25"/>
      <c r="E382" s="25">
        <v>40</v>
      </c>
      <c r="F382" s="33">
        <f t="shared" ref="F382:F401" si="35">E382*D382</f>
        <v>0</v>
      </c>
    </row>
    <row r="383" spans="1:6" s="93" customFormat="1" ht="24.95" customHeight="1">
      <c r="A383" s="15" t="s">
        <v>912</v>
      </c>
      <c r="B383" s="16" t="s">
        <v>913</v>
      </c>
      <c r="C383" s="24" t="s">
        <v>28</v>
      </c>
      <c r="D383" s="25"/>
      <c r="E383" s="25">
        <v>50</v>
      </c>
      <c r="F383" s="33">
        <f t="shared" si="35"/>
        <v>0</v>
      </c>
    </row>
    <row r="384" spans="1:6" s="93" customFormat="1" ht="24.95" customHeight="1">
      <c r="A384" s="15" t="s">
        <v>914</v>
      </c>
      <c r="B384" s="16" t="s">
        <v>915</v>
      </c>
      <c r="C384" s="24" t="s">
        <v>28</v>
      </c>
      <c r="D384" s="25"/>
      <c r="E384" s="25">
        <v>60</v>
      </c>
      <c r="F384" s="33">
        <f t="shared" si="35"/>
        <v>0</v>
      </c>
    </row>
    <row r="385" spans="1:6" s="93" customFormat="1" ht="24.95" customHeight="1">
      <c r="A385" s="15" t="s">
        <v>916</v>
      </c>
      <c r="B385" s="16" t="s">
        <v>917</v>
      </c>
      <c r="C385" s="24" t="s">
        <v>28</v>
      </c>
      <c r="D385" s="25"/>
      <c r="E385" s="25">
        <v>70</v>
      </c>
      <c r="F385" s="33">
        <f t="shared" si="35"/>
        <v>0</v>
      </c>
    </row>
    <row r="386" spans="1:6" s="93" customFormat="1" ht="24.95" customHeight="1">
      <c r="A386" s="15" t="s">
        <v>918</v>
      </c>
      <c r="B386" s="16" t="s">
        <v>919</v>
      </c>
      <c r="C386" s="24" t="s">
        <v>28</v>
      </c>
      <c r="D386" s="25"/>
      <c r="E386" s="25">
        <v>80</v>
      </c>
      <c r="F386" s="33">
        <f t="shared" si="35"/>
        <v>0</v>
      </c>
    </row>
    <row r="387" spans="1:6" s="93" customFormat="1" ht="24.95" customHeight="1">
      <c r="A387" s="15" t="s">
        <v>920</v>
      </c>
      <c r="B387" s="16" t="s">
        <v>921</v>
      </c>
      <c r="C387" s="24"/>
      <c r="D387" s="25"/>
      <c r="E387" s="25"/>
      <c r="F387" s="33"/>
    </row>
    <row r="388" spans="1:6" s="93" customFormat="1" ht="24.95" customHeight="1">
      <c r="A388" s="15" t="s">
        <v>922</v>
      </c>
      <c r="B388" s="16" t="s">
        <v>923</v>
      </c>
      <c r="C388" s="24" t="s">
        <v>16</v>
      </c>
      <c r="D388" s="25"/>
      <c r="E388" s="25">
        <v>500</v>
      </c>
      <c r="F388" s="33">
        <f t="shared" si="35"/>
        <v>0</v>
      </c>
    </row>
    <row r="389" spans="1:6" s="93" customFormat="1" ht="24.95" customHeight="1">
      <c r="A389" s="15" t="s">
        <v>924</v>
      </c>
      <c r="B389" s="16" t="s">
        <v>925</v>
      </c>
      <c r="C389" s="24" t="s">
        <v>16</v>
      </c>
      <c r="D389" s="25"/>
      <c r="E389" s="25">
        <v>1000</v>
      </c>
      <c r="F389" s="33">
        <f t="shared" si="35"/>
        <v>0</v>
      </c>
    </row>
    <row r="390" spans="1:6" s="93" customFormat="1" ht="24.95" customHeight="1">
      <c r="A390" s="15" t="s">
        <v>926</v>
      </c>
      <c r="B390" s="16" t="s">
        <v>927</v>
      </c>
      <c r="C390" s="24" t="s">
        <v>16</v>
      </c>
      <c r="D390" s="25"/>
      <c r="E390" s="25">
        <v>2000</v>
      </c>
      <c r="F390" s="33">
        <f t="shared" si="35"/>
        <v>0</v>
      </c>
    </row>
    <row r="391" spans="1:6" s="93" customFormat="1" ht="24.95" customHeight="1">
      <c r="A391" s="15" t="s">
        <v>928</v>
      </c>
      <c r="B391" s="16" t="s">
        <v>929</v>
      </c>
      <c r="C391" s="24" t="s">
        <v>16</v>
      </c>
      <c r="D391" s="25"/>
      <c r="E391" s="25">
        <v>5000</v>
      </c>
      <c r="F391" s="33">
        <f t="shared" si="35"/>
        <v>0</v>
      </c>
    </row>
    <row r="392" spans="1:6" s="93" customFormat="1" ht="24.95" customHeight="1">
      <c r="A392" s="15" t="s">
        <v>930</v>
      </c>
      <c r="B392" s="16" t="s">
        <v>931</v>
      </c>
      <c r="C392" s="24" t="s">
        <v>16</v>
      </c>
      <c r="D392" s="25"/>
      <c r="E392" s="25">
        <v>2000</v>
      </c>
      <c r="F392" s="33">
        <f t="shared" si="35"/>
        <v>0</v>
      </c>
    </row>
    <row r="393" spans="1:6" s="93" customFormat="1" ht="24.95" customHeight="1">
      <c r="A393" s="15" t="s">
        <v>932</v>
      </c>
      <c r="B393" s="16" t="s">
        <v>933</v>
      </c>
      <c r="C393" s="24"/>
      <c r="D393" s="25"/>
      <c r="E393" s="25"/>
      <c r="F393" s="33"/>
    </row>
    <row r="394" spans="1:6" s="93" customFormat="1" ht="24.95" customHeight="1">
      <c r="A394" s="15" t="s">
        <v>934</v>
      </c>
      <c r="B394" s="16" t="s">
        <v>935</v>
      </c>
      <c r="C394" s="24" t="s">
        <v>28</v>
      </c>
      <c r="D394" s="25"/>
      <c r="E394" s="25">
        <v>60</v>
      </c>
      <c r="F394" s="33">
        <f t="shared" si="35"/>
        <v>0</v>
      </c>
    </row>
    <row r="395" spans="1:6" s="93" customFormat="1" ht="24.95" customHeight="1">
      <c r="A395" s="15" t="s">
        <v>936</v>
      </c>
      <c r="B395" s="16" t="s">
        <v>937</v>
      </c>
      <c r="C395" s="24" t="s">
        <v>28</v>
      </c>
      <c r="D395" s="25"/>
      <c r="E395" s="25">
        <v>80</v>
      </c>
      <c r="F395" s="33">
        <f t="shared" si="35"/>
        <v>0</v>
      </c>
    </row>
    <row r="396" spans="1:6" s="93" customFormat="1" ht="24.95" customHeight="1">
      <c r="A396" s="15" t="s">
        <v>938</v>
      </c>
      <c r="B396" s="16" t="s">
        <v>939</v>
      </c>
      <c r="C396" s="24" t="s">
        <v>28</v>
      </c>
      <c r="D396" s="25"/>
      <c r="E396" s="25">
        <v>100</v>
      </c>
      <c r="F396" s="33">
        <f t="shared" si="35"/>
        <v>0</v>
      </c>
    </row>
    <row r="397" spans="1:6" s="93" customFormat="1" ht="24.95" customHeight="1">
      <c r="A397" s="15" t="s">
        <v>940</v>
      </c>
      <c r="B397" s="16" t="s">
        <v>941</v>
      </c>
      <c r="C397" s="24"/>
      <c r="D397" s="25"/>
      <c r="E397" s="25"/>
      <c r="F397" s="33"/>
    </row>
    <row r="398" spans="1:6" s="93" customFormat="1" ht="24.95" customHeight="1">
      <c r="A398" s="15" t="s">
        <v>934</v>
      </c>
      <c r="B398" s="16" t="s">
        <v>942</v>
      </c>
      <c r="C398" s="24" t="s">
        <v>102</v>
      </c>
      <c r="D398" s="25"/>
      <c r="E398" s="25">
        <v>1500</v>
      </c>
      <c r="F398" s="33">
        <f t="shared" si="35"/>
        <v>0</v>
      </c>
    </row>
    <row r="399" spans="1:6" s="93" customFormat="1" ht="24.95" customHeight="1">
      <c r="A399" s="15" t="s">
        <v>936</v>
      </c>
      <c r="B399" s="16" t="s">
        <v>943</v>
      </c>
      <c r="C399" s="24" t="s">
        <v>102</v>
      </c>
      <c r="D399" s="25"/>
      <c r="E399" s="25">
        <v>1000</v>
      </c>
      <c r="F399" s="33">
        <f t="shared" si="35"/>
        <v>0</v>
      </c>
    </row>
    <row r="400" spans="1:6" s="93" customFormat="1" ht="24.95" customHeight="1">
      <c r="A400" s="15" t="s">
        <v>944</v>
      </c>
      <c r="B400" s="16" t="s">
        <v>945</v>
      </c>
      <c r="C400" s="24" t="s">
        <v>16</v>
      </c>
      <c r="D400" s="25"/>
      <c r="E400" s="25">
        <v>1000</v>
      </c>
      <c r="F400" s="33">
        <f t="shared" si="35"/>
        <v>0</v>
      </c>
    </row>
    <row r="401" spans="1:6" s="93" customFormat="1" ht="24.95" customHeight="1">
      <c r="A401" s="15" t="s">
        <v>946</v>
      </c>
      <c r="B401" s="16" t="s">
        <v>947</v>
      </c>
      <c r="C401" s="24" t="s">
        <v>16</v>
      </c>
      <c r="D401" s="25"/>
      <c r="E401" s="25">
        <v>2000</v>
      </c>
      <c r="F401" s="33">
        <f t="shared" si="35"/>
        <v>0</v>
      </c>
    </row>
    <row r="402" spans="1:6" s="93" customFormat="1" ht="15" customHeight="1" thickBot="1">
      <c r="A402" s="149"/>
      <c r="B402" s="149"/>
      <c r="C402" s="149"/>
      <c r="D402" s="25"/>
      <c r="E402" s="25"/>
      <c r="F402" s="33"/>
    </row>
    <row r="403" spans="1:6" ht="27" customHeight="1" thickBot="1">
      <c r="A403" s="503" t="s">
        <v>1254</v>
      </c>
      <c r="B403" s="504"/>
      <c r="C403" s="504"/>
      <c r="D403" s="504"/>
      <c r="E403" s="505"/>
      <c r="F403" s="17">
        <f>SUM(F401)</f>
        <v>0</v>
      </c>
    </row>
    <row r="404" spans="1:6" s="93" customFormat="1" ht="21" customHeight="1">
      <c r="A404" s="112"/>
      <c r="B404" s="112"/>
      <c r="C404" s="24"/>
      <c r="D404" s="24"/>
      <c r="E404" s="24"/>
      <c r="F404" s="24"/>
    </row>
    <row r="405" spans="1:6" s="93" customFormat="1" ht="25.5" customHeight="1">
      <c r="A405" s="15" t="s">
        <v>949</v>
      </c>
      <c r="B405" s="112" t="s">
        <v>1255</v>
      </c>
      <c r="C405" s="24"/>
      <c r="D405" s="24"/>
      <c r="E405" s="24"/>
      <c r="F405" s="24"/>
    </row>
    <row r="406" spans="1:6" s="93" customFormat="1" ht="24.95" customHeight="1">
      <c r="A406" s="15" t="s">
        <v>1258</v>
      </c>
      <c r="B406" s="16" t="s">
        <v>1259</v>
      </c>
      <c r="C406" s="24" t="s">
        <v>16</v>
      </c>
      <c r="D406" s="24"/>
      <c r="E406" s="25">
        <v>2000</v>
      </c>
      <c r="F406" s="211">
        <f>E406*D406</f>
        <v>0</v>
      </c>
    </row>
    <row r="407" spans="1:6" s="93" customFormat="1" ht="24.95" customHeight="1">
      <c r="A407" s="15" t="s">
        <v>1260</v>
      </c>
      <c r="B407" s="16" t="s">
        <v>1261</v>
      </c>
      <c r="C407" s="24" t="s">
        <v>16</v>
      </c>
      <c r="D407" s="24"/>
      <c r="E407" s="25">
        <v>7000</v>
      </c>
      <c r="F407" s="211">
        <f t="shared" ref="F407:F415" si="36">E407*D407</f>
        <v>0</v>
      </c>
    </row>
    <row r="408" spans="1:6" s="93" customFormat="1" ht="24.95" customHeight="1">
      <c r="A408" s="15" t="s">
        <v>1262</v>
      </c>
      <c r="B408" s="16" t="s">
        <v>1270</v>
      </c>
      <c r="C408" s="24" t="s">
        <v>16</v>
      </c>
      <c r="D408" s="24"/>
      <c r="E408" s="25">
        <v>3500</v>
      </c>
      <c r="F408" s="211">
        <f t="shared" si="36"/>
        <v>0</v>
      </c>
    </row>
    <row r="409" spans="1:6" s="93" customFormat="1" ht="24.95" customHeight="1">
      <c r="A409" s="15" t="s">
        <v>1263</v>
      </c>
      <c r="B409" s="16" t="s">
        <v>1271</v>
      </c>
      <c r="C409" s="24" t="s">
        <v>16</v>
      </c>
      <c r="D409" s="24"/>
      <c r="E409" s="25">
        <v>7000</v>
      </c>
      <c r="F409" s="211">
        <f t="shared" si="36"/>
        <v>0</v>
      </c>
    </row>
    <row r="410" spans="1:6" s="93" customFormat="1" ht="24.95" customHeight="1">
      <c r="A410" s="15" t="s">
        <v>1264</v>
      </c>
      <c r="B410" s="16" t="s">
        <v>1272</v>
      </c>
      <c r="C410" s="24" t="s">
        <v>16</v>
      </c>
      <c r="D410" s="24"/>
      <c r="E410" s="25">
        <v>2500</v>
      </c>
      <c r="F410" s="211">
        <f t="shared" si="36"/>
        <v>0</v>
      </c>
    </row>
    <row r="411" spans="1:6" s="93" customFormat="1" ht="24.95" customHeight="1">
      <c r="A411" s="15" t="s">
        <v>1265</v>
      </c>
      <c r="B411" s="16" t="s">
        <v>1273</v>
      </c>
      <c r="C411" s="24" t="s">
        <v>17</v>
      </c>
      <c r="D411" s="24"/>
      <c r="E411" s="25">
        <v>15</v>
      </c>
      <c r="F411" s="211">
        <f t="shared" si="36"/>
        <v>0</v>
      </c>
    </row>
    <row r="412" spans="1:6" s="93" customFormat="1" ht="24.95" customHeight="1">
      <c r="A412" s="15" t="s">
        <v>1266</v>
      </c>
      <c r="B412" s="16" t="s">
        <v>1274</v>
      </c>
      <c r="C412" s="24" t="s">
        <v>16</v>
      </c>
      <c r="D412" s="24"/>
      <c r="E412" s="25">
        <v>50</v>
      </c>
      <c r="F412" s="211">
        <f t="shared" si="36"/>
        <v>0</v>
      </c>
    </row>
    <row r="413" spans="1:6" s="93" customFormat="1" ht="21" customHeight="1">
      <c r="A413" s="15" t="s">
        <v>1267</v>
      </c>
      <c r="B413" s="16" t="s">
        <v>1275</v>
      </c>
      <c r="C413" s="24" t="s">
        <v>16</v>
      </c>
      <c r="D413" s="24"/>
      <c r="E413" s="25">
        <v>50</v>
      </c>
      <c r="F413" s="211">
        <f t="shared" si="36"/>
        <v>0</v>
      </c>
    </row>
    <row r="414" spans="1:6" s="93" customFormat="1" ht="21" customHeight="1">
      <c r="A414" s="15" t="s">
        <v>1268</v>
      </c>
      <c r="B414" s="16" t="s">
        <v>1276</v>
      </c>
      <c r="C414" s="24" t="s">
        <v>16</v>
      </c>
      <c r="D414" s="25" t="e">
        <f>#REF!</f>
        <v>#REF!</v>
      </c>
      <c r="E414" s="25">
        <v>150</v>
      </c>
      <c r="F414" s="33" t="e">
        <f t="shared" si="36"/>
        <v>#REF!</v>
      </c>
    </row>
    <row r="415" spans="1:6" s="93" customFormat="1" ht="21" customHeight="1">
      <c r="A415" s="15" t="s">
        <v>1269</v>
      </c>
      <c r="B415" s="16" t="s">
        <v>1277</v>
      </c>
      <c r="C415" s="24" t="s">
        <v>102</v>
      </c>
      <c r="D415" s="24"/>
      <c r="E415" s="25">
        <v>15000</v>
      </c>
      <c r="F415" s="211">
        <f t="shared" si="36"/>
        <v>0</v>
      </c>
    </row>
    <row r="416" spans="1:6" s="93" customFormat="1" ht="21" customHeight="1" thickBot="1">
      <c r="A416" s="15"/>
      <c r="B416" s="16"/>
      <c r="C416" s="24"/>
      <c r="D416" s="24"/>
      <c r="E416" s="24"/>
      <c r="F416" s="24"/>
    </row>
    <row r="417" spans="1:6" ht="27" customHeight="1" thickBot="1">
      <c r="A417" s="503" t="s">
        <v>1278</v>
      </c>
      <c r="B417" s="504"/>
      <c r="C417" s="504"/>
      <c r="D417" s="504"/>
      <c r="E417" s="505"/>
      <c r="F417" s="17" t="e">
        <f>SUM(F406:F416)</f>
        <v>#REF!</v>
      </c>
    </row>
    <row r="418" spans="1:6" s="93" customFormat="1" ht="21" customHeight="1">
      <c r="A418" s="15"/>
      <c r="B418" s="16"/>
      <c r="C418" s="24"/>
      <c r="D418" s="24"/>
      <c r="E418" s="24"/>
      <c r="F418" s="24"/>
    </row>
    <row r="419" spans="1:6" s="93" customFormat="1" ht="21" customHeight="1">
      <c r="A419" s="15" t="s">
        <v>950</v>
      </c>
      <c r="B419" s="112" t="s">
        <v>1279</v>
      </c>
      <c r="C419" s="24"/>
      <c r="D419" s="24"/>
      <c r="E419" s="24"/>
      <c r="F419" s="24"/>
    </row>
    <row r="420" spans="1:6" s="93" customFormat="1" ht="21" customHeight="1">
      <c r="A420" s="15" t="s">
        <v>1280</v>
      </c>
      <c r="B420" s="16" t="s">
        <v>1281</v>
      </c>
      <c r="C420" s="24" t="s">
        <v>16</v>
      </c>
      <c r="D420" s="25" t="e">
        <f>#REF!</f>
        <v>#REF!</v>
      </c>
      <c r="E420" s="25">
        <v>150</v>
      </c>
      <c r="F420" s="33" t="e">
        <f>E420*D420</f>
        <v>#REF!</v>
      </c>
    </row>
    <row r="421" spans="1:6" s="93" customFormat="1" ht="17.25" customHeight="1">
      <c r="A421" s="15" t="s">
        <v>1282</v>
      </c>
      <c r="B421" s="16" t="s">
        <v>1283</v>
      </c>
      <c r="C421" s="24" t="s">
        <v>17</v>
      </c>
      <c r="D421" s="25" t="e">
        <f>#REF!</f>
        <v>#REF!</v>
      </c>
      <c r="E421" s="25">
        <v>20</v>
      </c>
      <c r="F421" s="33" t="e">
        <f t="shared" ref="F421:F422" si="37">E421*D421</f>
        <v>#REF!</v>
      </c>
    </row>
    <row r="422" spans="1:6" s="93" customFormat="1" ht="21" hidden="1" customHeight="1">
      <c r="A422" s="15" t="s">
        <v>1284</v>
      </c>
      <c r="B422" s="16" t="s">
        <v>1285</v>
      </c>
      <c r="C422" s="24" t="s">
        <v>102</v>
      </c>
      <c r="D422" s="24"/>
      <c r="E422" s="25">
        <v>10000</v>
      </c>
      <c r="F422" s="211">
        <f t="shared" si="37"/>
        <v>0</v>
      </c>
    </row>
    <row r="423" spans="1:6" s="93" customFormat="1" ht="21" customHeight="1" thickBot="1">
      <c r="A423" s="15"/>
      <c r="B423" s="16"/>
      <c r="C423" s="24"/>
      <c r="D423" s="24"/>
      <c r="E423" s="24"/>
      <c r="F423" s="24"/>
    </row>
    <row r="424" spans="1:6" ht="27" customHeight="1" thickBot="1">
      <c r="A424" s="503" t="s">
        <v>1286</v>
      </c>
      <c r="B424" s="504"/>
      <c r="C424" s="504"/>
      <c r="D424" s="504"/>
      <c r="E424" s="505"/>
      <c r="F424" s="17" t="e">
        <f>SUM(F420:F422)</f>
        <v>#REF!</v>
      </c>
    </row>
    <row r="425" spans="1:6" s="93" customFormat="1" ht="21" customHeight="1">
      <c r="A425" s="15"/>
      <c r="B425" s="16"/>
      <c r="C425" s="24"/>
      <c r="D425" s="24"/>
      <c r="E425" s="24"/>
      <c r="F425" s="24"/>
    </row>
    <row r="426" spans="1:6" ht="30" customHeight="1" thickBot="1">
      <c r="A426" s="525" t="s">
        <v>217</v>
      </c>
      <c r="B426" s="526"/>
      <c r="C426" s="526"/>
      <c r="D426" s="526"/>
      <c r="E426" s="527"/>
      <c r="F426" s="209" t="e">
        <f>F424+F417+F403+F377+F372+F361+F355+F336+F330+F315+F303+F294+F274+F253</f>
        <v>#REF!</v>
      </c>
    </row>
    <row r="427" spans="1:6" ht="13.5" customHeight="1">
      <c r="A427" s="68"/>
      <c r="B427" s="69"/>
      <c r="C427" s="72"/>
      <c r="D427" s="73"/>
      <c r="E427" s="73"/>
      <c r="F427" s="26"/>
    </row>
    <row r="428" spans="1:6" ht="41.25" customHeight="1">
      <c r="A428" s="10"/>
      <c r="B428" s="534" t="s">
        <v>218</v>
      </c>
      <c r="C428" s="535"/>
      <c r="D428" s="535"/>
      <c r="E428" s="535"/>
      <c r="F428" s="537"/>
    </row>
    <row r="429" spans="1:6" ht="24.95" customHeight="1">
      <c r="A429" s="15">
        <v>601</v>
      </c>
      <c r="B429" s="112" t="s">
        <v>187</v>
      </c>
      <c r="C429" s="24"/>
      <c r="D429" s="73"/>
      <c r="E429" s="73"/>
      <c r="F429" s="26"/>
    </row>
    <row r="430" spans="1:6" ht="24.95" customHeight="1">
      <c r="A430" s="15" t="s">
        <v>969</v>
      </c>
      <c r="B430" s="16" t="s">
        <v>970</v>
      </c>
      <c r="C430" s="24"/>
      <c r="D430" s="73"/>
      <c r="E430" s="25"/>
      <c r="F430" s="26"/>
    </row>
    <row r="431" spans="1:6" ht="24.95" customHeight="1">
      <c r="A431" s="15" t="s">
        <v>973</v>
      </c>
      <c r="B431" s="16" t="s">
        <v>974</v>
      </c>
      <c r="C431" s="24" t="s">
        <v>28</v>
      </c>
      <c r="D431" s="73" t="e">
        <f>#REF!</f>
        <v>#REF!</v>
      </c>
      <c r="E431" s="25">
        <v>60</v>
      </c>
      <c r="F431" s="26" t="e">
        <f t="shared" ref="F431:F436" si="38">E431*D431</f>
        <v>#REF!</v>
      </c>
    </row>
    <row r="432" spans="1:6" ht="24.95" customHeight="1">
      <c r="A432" s="15" t="s">
        <v>975</v>
      </c>
      <c r="B432" s="16" t="s">
        <v>976</v>
      </c>
      <c r="C432" s="24"/>
      <c r="D432" s="73"/>
      <c r="E432" s="25"/>
      <c r="F432" s="26"/>
    </row>
    <row r="433" spans="1:6" ht="24.95" customHeight="1">
      <c r="A433" s="15" t="s">
        <v>983</v>
      </c>
      <c r="B433" s="16" t="s">
        <v>984</v>
      </c>
      <c r="C433" s="24" t="s">
        <v>28</v>
      </c>
      <c r="D433" s="73" t="e">
        <f>#REF!</f>
        <v>#REF!</v>
      </c>
      <c r="E433" s="25">
        <v>60</v>
      </c>
      <c r="F433" s="26" t="e">
        <f t="shared" si="38"/>
        <v>#REF!</v>
      </c>
    </row>
    <row r="434" spans="1:6" ht="24.95" customHeight="1">
      <c r="A434" s="15" t="s">
        <v>985</v>
      </c>
      <c r="B434" s="16" t="s">
        <v>986</v>
      </c>
      <c r="C434" s="24" t="s">
        <v>28</v>
      </c>
      <c r="D434" s="73" t="e">
        <f>#REF!</f>
        <v>#REF!</v>
      </c>
      <c r="E434" s="25">
        <v>50</v>
      </c>
      <c r="F434" s="26" t="e">
        <f t="shared" si="38"/>
        <v>#REF!</v>
      </c>
    </row>
    <row r="435" spans="1:6" ht="24.95" customHeight="1">
      <c r="A435" s="15" t="s">
        <v>987</v>
      </c>
      <c r="B435" s="16" t="s">
        <v>988</v>
      </c>
      <c r="C435" s="24" t="s">
        <v>28</v>
      </c>
      <c r="D435" s="73" t="e">
        <f>#REF!</f>
        <v>#REF!</v>
      </c>
      <c r="E435" s="25">
        <v>45</v>
      </c>
      <c r="F435" s="26" t="e">
        <f t="shared" si="38"/>
        <v>#REF!</v>
      </c>
    </row>
    <row r="436" spans="1:6" ht="24.95" customHeight="1">
      <c r="A436" s="15" t="s">
        <v>989</v>
      </c>
      <c r="B436" s="16" t="s">
        <v>990</v>
      </c>
      <c r="C436" s="24" t="s">
        <v>28</v>
      </c>
      <c r="D436" s="73" t="e">
        <f>#REF!</f>
        <v>#REF!</v>
      </c>
      <c r="E436" s="25">
        <v>40</v>
      </c>
      <c r="F436" s="26" t="e">
        <f t="shared" si="38"/>
        <v>#REF!</v>
      </c>
    </row>
    <row r="437" spans="1:6" ht="24.95" customHeight="1">
      <c r="A437" s="15" t="s">
        <v>220</v>
      </c>
      <c r="B437" s="16" t="s">
        <v>219</v>
      </c>
      <c r="C437" s="24" t="s">
        <v>28</v>
      </c>
      <c r="D437" s="25" t="e">
        <f>#REF!</f>
        <v>#REF!</v>
      </c>
      <c r="E437" s="25">
        <v>30</v>
      </c>
      <c r="F437" s="26" t="e">
        <f t="shared" ref="F437" si="39">+D437*E437</f>
        <v>#REF!</v>
      </c>
    </row>
    <row r="438" spans="1:6" ht="24.95" customHeight="1">
      <c r="A438" s="15" t="s">
        <v>221</v>
      </c>
      <c r="B438" s="16" t="s">
        <v>223</v>
      </c>
      <c r="C438" s="24"/>
      <c r="D438" s="25"/>
      <c r="E438" s="25"/>
      <c r="F438" s="26"/>
    </row>
    <row r="439" spans="1:6" ht="24.95" customHeight="1">
      <c r="A439" s="15" t="s">
        <v>222</v>
      </c>
      <c r="B439" s="16" t="s">
        <v>224</v>
      </c>
      <c r="C439" s="24" t="s">
        <v>28</v>
      </c>
      <c r="D439" s="25" t="e">
        <f>#REF!</f>
        <v>#REF!</v>
      </c>
      <c r="E439" s="25">
        <v>35</v>
      </c>
      <c r="F439" s="26" t="e">
        <f t="shared" ref="F439" si="40">+D439*E439</f>
        <v>#REF!</v>
      </c>
    </row>
    <row r="440" spans="1:6" ht="24.95" customHeight="1">
      <c r="A440" s="15" t="s">
        <v>225</v>
      </c>
      <c r="B440" s="16" t="s">
        <v>226</v>
      </c>
      <c r="C440" s="24" t="s">
        <v>28</v>
      </c>
      <c r="D440" s="25" t="e">
        <f>#REF!</f>
        <v>#REF!</v>
      </c>
      <c r="E440" s="25">
        <v>30</v>
      </c>
      <c r="F440" s="26" t="e">
        <f t="shared" ref="F440" si="41">+D440*E440</f>
        <v>#REF!</v>
      </c>
    </row>
    <row r="441" spans="1:6" ht="24.95" customHeight="1">
      <c r="A441" s="15" t="s">
        <v>227</v>
      </c>
      <c r="B441" s="16" t="s">
        <v>228</v>
      </c>
      <c r="C441" s="24" t="s">
        <v>16</v>
      </c>
      <c r="D441" s="25" t="e">
        <f>#REF!</f>
        <v>#REF!</v>
      </c>
      <c r="E441" s="25">
        <v>400</v>
      </c>
      <c r="F441" s="26" t="e">
        <f t="shared" ref="F441" si="42">+D441*E441</f>
        <v>#REF!</v>
      </c>
    </row>
    <row r="442" spans="1:6" ht="24.95" customHeight="1">
      <c r="A442" s="15" t="s">
        <v>999</v>
      </c>
      <c r="B442" s="16" t="s">
        <v>1000</v>
      </c>
      <c r="C442" s="24"/>
      <c r="D442" s="73"/>
      <c r="E442" s="25"/>
      <c r="F442" s="26"/>
    </row>
    <row r="443" spans="1:6" ht="24.95" customHeight="1">
      <c r="A443" s="15" t="s">
        <v>1007</v>
      </c>
      <c r="B443" s="16" t="s">
        <v>1008</v>
      </c>
      <c r="C443" s="24" t="s">
        <v>16</v>
      </c>
      <c r="D443" s="73" t="e">
        <f>#REF!</f>
        <v>#REF!</v>
      </c>
      <c r="E443" s="25">
        <v>150</v>
      </c>
      <c r="F443" s="26" t="e">
        <f t="shared" ref="F443" si="43">E443*D443</f>
        <v>#REF!</v>
      </c>
    </row>
    <row r="444" spans="1:6" ht="13.5" customHeight="1" thickBot="1">
      <c r="A444" s="15"/>
      <c r="B444" s="16"/>
      <c r="C444" s="72"/>
      <c r="D444" s="73"/>
      <c r="E444" s="25"/>
      <c r="F444" s="26"/>
    </row>
    <row r="445" spans="1:6" ht="23.25" customHeight="1" thickBot="1">
      <c r="A445" s="503" t="s">
        <v>1205</v>
      </c>
      <c r="B445" s="504"/>
      <c r="C445" s="504"/>
      <c r="D445" s="504"/>
      <c r="E445" s="505"/>
      <c r="F445" s="17" t="e">
        <f>SUM(F429:F444)</f>
        <v>#REF!</v>
      </c>
    </row>
    <row r="446" spans="1:6" ht="13.5" customHeight="1">
      <c r="A446" s="15"/>
      <c r="B446" s="16"/>
      <c r="C446" s="72"/>
      <c r="D446" s="73"/>
      <c r="E446" s="73"/>
      <c r="F446" s="26"/>
    </row>
    <row r="447" spans="1:6" ht="24.95" customHeight="1">
      <c r="A447" s="15">
        <v>602</v>
      </c>
      <c r="B447" s="112" t="s">
        <v>188</v>
      </c>
      <c r="C447" s="72"/>
      <c r="D447" s="73"/>
      <c r="E447" s="73"/>
      <c r="F447" s="26"/>
    </row>
    <row r="448" spans="1:6" ht="24.95" customHeight="1">
      <c r="A448" s="15" t="s">
        <v>229</v>
      </c>
      <c r="B448" s="16" t="s">
        <v>230</v>
      </c>
      <c r="C448" s="72"/>
      <c r="D448" s="73"/>
      <c r="E448" s="73"/>
      <c r="F448" s="26"/>
    </row>
    <row r="449" spans="1:6" ht="24.95" customHeight="1">
      <c r="A449" s="15" t="s">
        <v>231</v>
      </c>
      <c r="B449" s="16" t="s">
        <v>189</v>
      </c>
      <c r="C449" s="24" t="s">
        <v>28</v>
      </c>
      <c r="D449" s="25" t="e">
        <f>#REF!</f>
        <v>#REF!</v>
      </c>
      <c r="E449" s="25">
        <v>100</v>
      </c>
      <c r="F449" s="26" t="e">
        <f t="shared" ref="F449" si="44">+D449*E449</f>
        <v>#REF!</v>
      </c>
    </row>
    <row r="450" spans="1:6" ht="24.95" customHeight="1">
      <c r="A450" s="15" t="s">
        <v>232</v>
      </c>
      <c r="B450" s="16" t="s">
        <v>190</v>
      </c>
      <c r="C450" s="24" t="s">
        <v>28</v>
      </c>
      <c r="D450" s="25" t="e">
        <f>#REF!</f>
        <v>#REF!</v>
      </c>
      <c r="E450" s="25">
        <v>70</v>
      </c>
      <c r="F450" s="26" t="e">
        <f t="shared" ref="F450:F453" si="45">+D450*E450</f>
        <v>#REF!</v>
      </c>
    </row>
    <row r="451" spans="1:6" ht="24.95" customHeight="1">
      <c r="A451" s="15" t="s">
        <v>233</v>
      </c>
      <c r="B451" s="16" t="s">
        <v>191</v>
      </c>
      <c r="C451" s="24" t="s">
        <v>28</v>
      </c>
      <c r="D451" s="25" t="e">
        <f>#REF!</f>
        <v>#REF!</v>
      </c>
      <c r="E451" s="25">
        <v>50</v>
      </c>
      <c r="F451" s="26" t="e">
        <f t="shared" si="45"/>
        <v>#REF!</v>
      </c>
    </row>
    <row r="452" spans="1:6" ht="24.95" customHeight="1">
      <c r="A452" s="15" t="s">
        <v>316</v>
      </c>
      <c r="B452" s="16" t="s">
        <v>319</v>
      </c>
      <c r="C452" s="24" t="s">
        <v>16</v>
      </c>
      <c r="D452" s="25" t="e">
        <f>#REF!</f>
        <v>#REF!</v>
      </c>
      <c r="E452" s="25">
        <v>400</v>
      </c>
      <c r="F452" s="26" t="e">
        <f t="shared" si="45"/>
        <v>#REF!</v>
      </c>
    </row>
    <row r="453" spans="1:6" ht="24.95" customHeight="1">
      <c r="A453" s="15" t="s">
        <v>317</v>
      </c>
      <c r="B453" s="16" t="s">
        <v>318</v>
      </c>
      <c r="C453" s="24" t="s">
        <v>16</v>
      </c>
      <c r="D453" s="25" t="e">
        <f>#REF!</f>
        <v>#REF!</v>
      </c>
      <c r="E453" s="25">
        <v>150</v>
      </c>
      <c r="F453" s="26" t="e">
        <f t="shared" si="45"/>
        <v>#REF!</v>
      </c>
    </row>
    <row r="454" spans="1:6" ht="13.5" customHeight="1" thickBot="1">
      <c r="A454" s="15"/>
      <c r="B454" s="16"/>
      <c r="C454" s="24"/>
      <c r="D454" s="25"/>
      <c r="E454" s="25"/>
      <c r="F454" s="26"/>
    </row>
    <row r="455" spans="1:6" ht="24.95" customHeight="1" thickBot="1">
      <c r="A455" s="503" t="s">
        <v>1206</v>
      </c>
      <c r="B455" s="504"/>
      <c r="C455" s="504"/>
      <c r="D455" s="504"/>
      <c r="E455" s="505"/>
      <c r="F455" s="17" t="e">
        <f>SUM(F448:F454)</f>
        <v>#REF!</v>
      </c>
    </row>
    <row r="456" spans="1:6" ht="15" customHeight="1">
      <c r="A456" s="15"/>
      <c r="B456" s="16"/>
      <c r="C456" s="24"/>
      <c r="D456" s="25"/>
      <c r="E456" s="25"/>
      <c r="F456" s="26"/>
    </row>
    <row r="457" spans="1:6" ht="24.95" customHeight="1">
      <c r="A457" s="15">
        <v>603</v>
      </c>
      <c r="B457" s="112" t="s">
        <v>1154</v>
      </c>
      <c r="C457" s="72"/>
      <c r="D457" s="73"/>
      <c r="E457" s="73"/>
      <c r="F457" s="26"/>
    </row>
    <row r="458" spans="1:6" ht="24.95" customHeight="1">
      <c r="A458" s="15" t="s">
        <v>1032</v>
      </c>
      <c r="B458" s="16" t="s">
        <v>1155</v>
      </c>
      <c r="C458" s="24" t="s">
        <v>16</v>
      </c>
      <c r="D458" s="73" t="e">
        <f>#REF!</f>
        <v>#REF!</v>
      </c>
      <c r="E458" s="73">
        <v>3200</v>
      </c>
      <c r="F458" s="26" t="e">
        <f>E458*D458</f>
        <v>#REF!</v>
      </c>
    </row>
    <row r="459" spans="1:6" ht="24.95" customHeight="1">
      <c r="A459" s="15" t="s">
        <v>1034</v>
      </c>
      <c r="B459" s="16" t="s">
        <v>1156</v>
      </c>
      <c r="C459" s="24" t="s">
        <v>16</v>
      </c>
      <c r="D459" s="25" t="e">
        <f>#REF!</f>
        <v>#REF!</v>
      </c>
      <c r="E459" s="25">
        <v>1000</v>
      </c>
      <c r="F459" s="26" t="e">
        <f t="shared" ref="F459:F465" si="46">E459*D459</f>
        <v>#REF!</v>
      </c>
    </row>
    <row r="460" spans="1:6" ht="24.95" customHeight="1">
      <c r="A460" s="15" t="s">
        <v>1036</v>
      </c>
      <c r="B460" s="16" t="s">
        <v>1157</v>
      </c>
      <c r="C460" s="24" t="s">
        <v>16</v>
      </c>
      <c r="D460" s="25" t="e">
        <f>#REF!</f>
        <v>#REF!</v>
      </c>
      <c r="E460" s="25">
        <v>3700</v>
      </c>
      <c r="F460" s="26" t="e">
        <f t="shared" si="46"/>
        <v>#REF!</v>
      </c>
    </row>
    <row r="461" spans="1:6" ht="24.95" customHeight="1">
      <c r="A461" s="15" t="s">
        <v>1038</v>
      </c>
      <c r="B461" s="16" t="s">
        <v>1158</v>
      </c>
      <c r="C461" s="24" t="s">
        <v>16</v>
      </c>
      <c r="D461" s="25" t="e">
        <f>#REF!</f>
        <v>#REF!</v>
      </c>
      <c r="E461" s="25">
        <v>1600</v>
      </c>
      <c r="F461" s="26" t="e">
        <f t="shared" si="46"/>
        <v>#REF!</v>
      </c>
    </row>
    <row r="462" spans="1:6" ht="24.95" customHeight="1">
      <c r="A462" s="15" t="s">
        <v>1040</v>
      </c>
      <c r="B462" s="16" t="s">
        <v>1041</v>
      </c>
      <c r="C462" s="24" t="s">
        <v>16</v>
      </c>
      <c r="D462" s="25" t="e">
        <f>#REF!</f>
        <v>#REF!</v>
      </c>
      <c r="E462" s="25">
        <v>2300</v>
      </c>
      <c r="F462" s="26" t="e">
        <f t="shared" si="46"/>
        <v>#REF!</v>
      </c>
    </row>
    <row r="463" spans="1:6" ht="24.95" customHeight="1">
      <c r="A463" s="15" t="s">
        <v>1042</v>
      </c>
      <c r="B463" s="16" t="s">
        <v>1043</v>
      </c>
      <c r="C463" s="24" t="s">
        <v>16</v>
      </c>
      <c r="D463" s="25" t="e">
        <f>#REF!</f>
        <v>#REF!</v>
      </c>
      <c r="E463" s="25">
        <v>500</v>
      </c>
      <c r="F463" s="26" t="e">
        <f t="shared" si="46"/>
        <v>#REF!</v>
      </c>
    </row>
    <row r="464" spans="1:6" ht="24.95" customHeight="1">
      <c r="A464" s="15" t="s">
        <v>1044</v>
      </c>
      <c r="B464" s="16" t="s">
        <v>1288</v>
      </c>
      <c r="C464" s="24" t="s">
        <v>16</v>
      </c>
      <c r="D464" s="25" t="e">
        <f>#REF!</f>
        <v>#REF!</v>
      </c>
      <c r="E464" s="25">
        <v>15000</v>
      </c>
      <c r="F464" s="26" t="e">
        <f t="shared" ref="F464" si="47">E464*D464</f>
        <v>#REF!</v>
      </c>
    </row>
    <row r="465" spans="1:6" ht="24.95" customHeight="1">
      <c r="A465" s="15" t="s">
        <v>1046</v>
      </c>
      <c r="B465" s="16" t="s">
        <v>1047</v>
      </c>
      <c r="C465" s="24" t="s">
        <v>16</v>
      </c>
      <c r="D465" s="25" t="e">
        <f>#REF!</f>
        <v>#REF!</v>
      </c>
      <c r="E465" s="25">
        <v>300</v>
      </c>
      <c r="F465" s="26" t="e">
        <f t="shared" si="46"/>
        <v>#REF!</v>
      </c>
    </row>
    <row r="466" spans="1:6" ht="22.5" customHeight="1" thickBot="1">
      <c r="A466" s="15"/>
      <c r="B466" s="16"/>
      <c r="C466" s="24"/>
      <c r="D466" s="25"/>
      <c r="E466" s="25"/>
      <c r="F466" s="26"/>
    </row>
    <row r="467" spans="1:6" ht="24.95" customHeight="1" thickBot="1">
      <c r="A467" s="503" t="s">
        <v>1207</v>
      </c>
      <c r="B467" s="504"/>
      <c r="C467" s="504"/>
      <c r="D467" s="504"/>
      <c r="E467" s="505"/>
      <c r="F467" s="17" t="e">
        <f>SUM(F458:F465)</f>
        <v>#REF!</v>
      </c>
    </row>
    <row r="468" spans="1:6" ht="14.25" customHeight="1">
      <c r="A468" s="15"/>
      <c r="B468" s="16"/>
      <c r="C468" s="24"/>
      <c r="D468" s="25"/>
      <c r="E468" s="25"/>
      <c r="F468" s="26"/>
    </row>
    <row r="469" spans="1:6" ht="24.95" customHeight="1">
      <c r="A469" s="15">
        <v>604</v>
      </c>
      <c r="B469" s="112" t="s">
        <v>1159</v>
      </c>
      <c r="C469" s="72"/>
      <c r="D469" s="73"/>
      <c r="E469" s="73"/>
      <c r="F469" s="26"/>
    </row>
    <row r="470" spans="1:6" ht="24.95" customHeight="1">
      <c r="A470" s="15" t="s">
        <v>1052</v>
      </c>
      <c r="B470" s="16" t="s">
        <v>1160</v>
      </c>
      <c r="C470" s="24" t="s">
        <v>16</v>
      </c>
      <c r="D470" s="73" t="e">
        <f>#REF!</f>
        <v>#REF!</v>
      </c>
      <c r="E470" s="73">
        <v>4000</v>
      </c>
      <c r="F470" s="26" t="e">
        <f>E470*D470</f>
        <v>#REF!</v>
      </c>
    </row>
    <row r="471" spans="1:6" ht="15" customHeight="1" thickBot="1">
      <c r="A471" s="15"/>
      <c r="B471" s="16"/>
      <c r="C471" s="24"/>
      <c r="D471" s="25"/>
      <c r="E471" s="25"/>
      <c r="F471" s="26"/>
    </row>
    <row r="472" spans="1:6" ht="24.95" customHeight="1" thickBot="1">
      <c r="A472" s="503" t="s">
        <v>1208</v>
      </c>
      <c r="B472" s="504"/>
      <c r="C472" s="504"/>
      <c r="D472" s="504"/>
      <c r="E472" s="505"/>
      <c r="F472" s="17" t="e">
        <f>SUM(F470:F471)</f>
        <v>#REF!</v>
      </c>
    </row>
    <row r="473" spans="1:6" ht="15" customHeight="1">
      <c r="A473" s="15"/>
      <c r="B473" s="16"/>
      <c r="C473" s="24"/>
      <c r="D473" s="25"/>
      <c r="E473" s="25"/>
      <c r="F473" s="26"/>
    </row>
    <row r="474" spans="1:6" ht="24.95" customHeight="1">
      <c r="A474" s="15">
        <v>605</v>
      </c>
      <c r="B474" s="112" t="s">
        <v>1161</v>
      </c>
      <c r="C474" s="72"/>
      <c r="D474" s="73"/>
      <c r="E474" s="73"/>
      <c r="F474" s="26"/>
    </row>
    <row r="475" spans="1:6" ht="24.95" customHeight="1">
      <c r="A475" s="15" t="s">
        <v>1058</v>
      </c>
      <c r="B475" s="16" t="s">
        <v>1059</v>
      </c>
      <c r="C475" s="24" t="s">
        <v>16</v>
      </c>
      <c r="D475" s="73" t="e">
        <f>#REF!</f>
        <v>#REF!</v>
      </c>
      <c r="E475" s="73">
        <v>41000</v>
      </c>
      <c r="F475" s="26" t="e">
        <f>E475*D475</f>
        <v>#REF!</v>
      </c>
    </row>
    <row r="476" spans="1:6" ht="24.95" customHeight="1">
      <c r="A476" s="15" t="s">
        <v>1060</v>
      </c>
      <c r="B476" s="16" t="s">
        <v>1061</v>
      </c>
      <c r="C476" s="24" t="s">
        <v>16</v>
      </c>
      <c r="D476" s="25" t="e">
        <f>#REF!</f>
        <v>#REF!</v>
      </c>
      <c r="E476" s="25">
        <v>22000</v>
      </c>
      <c r="F476" s="26" t="e">
        <f t="shared" ref="F476" si="48">E476*D476</f>
        <v>#REF!</v>
      </c>
    </row>
    <row r="477" spans="1:6" ht="24.95" customHeight="1">
      <c r="A477" s="15" t="s">
        <v>1064</v>
      </c>
      <c r="B477" s="16" t="s">
        <v>1165</v>
      </c>
      <c r="C477" s="24" t="s">
        <v>16</v>
      </c>
      <c r="D477" s="25" t="e">
        <f>#REF!</f>
        <v>#REF!</v>
      </c>
      <c r="E477" s="25">
        <v>2000</v>
      </c>
      <c r="F477" s="26" t="e">
        <f t="shared" ref="F477" si="49">E477*D477</f>
        <v>#REF!</v>
      </c>
    </row>
    <row r="478" spans="1:6" ht="15.75" customHeight="1" thickBot="1">
      <c r="A478" s="15"/>
      <c r="B478" s="16"/>
      <c r="C478" s="24"/>
      <c r="D478" s="25"/>
      <c r="E478" s="25"/>
      <c r="F478" s="26"/>
    </row>
    <row r="479" spans="1:6" ht="24.95" customHeight="1" thickBot="1">
      <c r="A479" s="503" t="s">
        <v>1209</v>
      </c>
      <c r="B479" s="504"/>
      <c r="C479" s="504"/>
      <c r="D479" s="504"/>
      <c r="E479" s="505"/>
      <c r="F479" s="17" t="e">
        <f>SUM(F474:F478)</f>
        <v>#REF!</v>
      </c>
    </row>
    <row r="480" spans="1:6" ht="24.95" customHeight="1">
      <c r="A480" s="15">
        <v>606</v>
      </c>
      <c r="B480" s="112" t="s">
        <v>329</v>
      </c>
      <c r="C480" s="24"/>
      <c r="D480" s="25"/>
      <c r="E480" s="25"/>
      <c r="F480" s="26"/>
    </row>
    <row r="481" spans="1:6" ht="24.95" customHeight="1">
      <c r="A481" s="15" t="s">
        <v>330</v>
      </c>
      <c r="B481" s="16" t="s">
        <v>331</v>
      </c>
      <c r="C481" s="24" t="s">
        <v>16</v>
      </c>
      <c r="D481" s="25">
        <v>85</v>
      </c>
      <c r="E481" s="25">
        <v>150</v>
      </c>
      <c r="F481" s="26">
        <f t="shared" ref="F481" si="50">+D481*E481</f>
        <v>12750</v>
      </c>
    </row>
    <row r="482" spans="1:6" ht="24.75" customHeight="1">
      <c r="A482" s="15" t="s">
        <v>332</v>
      </c>
      <c r="B482" s="16" t="s">
        <v>333</v>
      </c>
      <c r="C482" s="24"/>
      <c r="D482" s="25"/>
      <c r="E482" s="25"/>
      <c r="F482" s="26"/>
    </row>
    <row r="483" spans="1:6" ht="26.25" hidden="1" customHeight="1">
      <c r="A483" s="15" t="s">
        <v>334</v>
      </c>
      <c r="B483" s="16" t="s">
        <v>335</v>
      </c>
      <c r="C483" s="24" t="s">
        <v>16</v>
      </c>
      <c r="D483" s="25"/>
      <c r="E483" s="25">
        <v>2500</v>
      </c>
      <c r="F483" s="26">
        <f t="shared" ref="F483:F489" si="51">+D483*E483</f>
        <v>0</v>
      </c>
    </row>
    <row r="484" spans="1:6" ht="23.25" hidden="1" customHeight="1">
      <c r="A484" s="15" t="s">
        <v>336</v>
      </c>
      <c r="B484" s="16" t="s">
        <v>337</v>
      </c>
      <c r="C484" s="24" t="s">
        <v>16</v>
      </c>
      <c r="D484" s="25"/>
      <c r="E484" s="25">
        <v>2800</v>
      </c>
      <c r="F484" s="26">
        <f t="shared" si="51"/>
        <v>0</v>
      </c>
    </row>
    <row r="485" spans="1:6" ht="22.5" customHeight="1">
      <c r="A485" s="15" t="s">
        <v>338</v>
      </c>
      <c r="B485" s="16" t="s">
        <v>339</v>
      </c>
      <c r="C485" s="24" t="s">
        <v>16</v>
      </c>
      <c r="D485" s="25">
        <v>7</v>
      </c>
      <c r="E485" s="25">
        <v>2500</v>
      </c>
      <c r="F485" s="26">
        <f t="shared" si="51"/>
        <v>17500</v>
      </c>
    </row>
    <row r="486" spans="1:6" ht="1.5" hidden="1" customHeight="1">
      <c r="A486" s="15" t="s">
        <v>340</v>
      </c>
      <c r="B486" s="16" t="s">
        <v>341</v>
      </c>
      <c r="C486" s="24" t="s">
        <v>16</v>
      </c>
      <c r="D486" s="25"/>
      <c r="E486" s="25">
        <v>2300</v>
      </c>
      <c r="F486" s="26">
        <f t="shared" si="51"/>
        <v>0</v>
      </c>
    </row>
    <row r="487" spans="1:6" ht="28.5" hidden="1" customHeight="1">
      <c r="A487" s="15" t="s">
        <v>342</v>
      </c>
      <c r="B487" s="16" t="s">
        <v>343</v>
      </c>
      <c r="C487" s="24" t="s">
        <v>16</v>
      </c>
      <c r="D487" s="25"/>
      <c r="E487" s="25">
        <v>2000</v>
      </c>
      <c r="F487" s="26">
        <f t="shared" si="51"/>
        <v>0</v>
      </c>
    </row>
    <row r="488" spans="1:6" ht="25.5" hidden="1" customHeight="1">
      <c r="A488" s="15" t="s">
        <v>344</v>
      </c>
      <c r="B488" s="16" t="s">
        <v>345</v>
      </c>
      <c r="C488" s="24" t="s">
        <v>16</v>
      </c>
      <c r="D488" s="25"/>
      <c r="E488" s="25">
        <v>1800</v>
      </c>
      <c r="F488" s="26">
        <f t="shared" si="51"/>
        <v>0</v>
      </c>
    </row>
    <row r="489" spans="1:6" ht="24.95" customHeight="1">
      <c r="A489" s="15" t="s">
        <v>346</v>
      </c>
      <c r="B489" s="16" t="s">
        <v>347</v>
      </c>
      <c r="C489" s="24" t="s">
        <v>16</v>
      </c>
      <c r="D489" s="25">
        <v>5</v>
      </c>
      <c r="E489" s="25">
        <v>1500</v>
      </c>
      <c r="F489" s="26">
        <f t="shared" si="51"/>
        <v>7500</v>
      </c>
    </row>
    <row r="490" spans="1:6" ht="21" customHeight="1">
      <c r="A490" s="15" t="s">
        <v>348</v>
      </c>
      <c r="B490" s="16" t="s">
        <v>349</v>
      </c>
      <c r="C490" s="24"/>
      <c r="D490" s="25"/>
      <c r="E490" s="25"/>
      <c r="F490" s="26"/>
    </row>
    <row r="491" spans="1:6" ht="21.75" hidden="1" customHeight="1">
      <c r="A491" s="15" t="s">
        <v>350</v>
      </c>
      <c r="B491" s="16" t="s">
        <v>352</v>
      </c>
      <c r="C491" s="24" t="s">
        <v>28</v>
      </c>
      <c r="D491" s="25"/>
      <c r="E491" s="25">
        <v>130</v>
      </c>
      <c r="F491" s="26">
        <f t="shared" ref="F491:F495" si="52">+D491*E491</f>
        <v>0</v>
      </c>
    </row>
    <row r="492" spans="1:6" ht="24.95" customHeight="1">
      <c r="A492" s="15" t="s">
        <v>351</v>
      </c>
      <c r="B492" s="16" t="s">
        <v>353</v>
      </c>
      <c r="C492" s="24" t="s">
        <v>28</v>
      </c>
      <c r="D492" s="25">
        <v>30</v>
      </c>
      <c r="E492" s="25">
        <v>110</v>
      </c>
      <c r="F492" s="26">
        <f t="shared" si="52"/>
        <v>3300</v>
      </c>
    </row>
    <row r="493" spans="1:6" ht="24.95" customHeight="1">
      <c r="A493" s="15" t="s">
        <v>354</v>
      </c>
      <c r="B493" s="16" t="s">
        <v>355</v>
      </c>
      <c r="C493" s="24" t="s">
        <v>28</v>
      </c>
      <c r="D493" s="25">
        <v>420</v>
      </c>
      <c r="E493" s="25">
        <v>90</v>
      </c>
      <c r="F493" s="26">
        <f t="shared" si="52"/>
        <v>37800</v>
      </c>
    </row>
    <row r="494" spans="1:6" ht="24.95" customHeight="1">
      <c r="A494" s="15" t="s">
        <v>356</v>
      </c>
      <c r="B494" s="16" t="s">
        <v>357</v>
      </c>
      <c r="C494" s="24" t="s">
        <v>28</v>
      </c>
      <c r="D494" s="25">
        <v>380</v>
      </c>
      <c r="E494" s="25">
        <v>70</v>
      </c>
      <c r="F494" s="26">
        <f t="shared" si="52"/>
        <v>26600</v>
      </c>
    </row>
    <row r="495" spans="1:6" ht="24.95" customHeight="1">
      <c r="A495" s="15" t="s">
        <v>358</v>
      </c>
      <c r="B495" s="16" t="s">
        <v>359</v>
      </c>
      <c r="C495" s="24" t="s">
        <v>28</v>
      </c>
      <c r="D495" s="25">
        <v>670</v>
      </c>
      <c r="E495" s="25">
        <v>50</v>
      </c>
      <c r="F495" s="26">
        <f t="shared" si="52"/>
        <v>33500</v>
      </c>
    </row>
    <row r="496" spans="1:6" ht="15" customHeight="1" thickBot="1">
      <c r="A496" s="15"/>
      <c r="B496" s="16"/>
      <c r="C496" s="24"/>
      <c r="D496" s="25"/>
      <c r="E496" s="25"/>
      <c r="F496" s="26"/>
    </row>
    <row r="497" spans="1:8" ht="24.95" customHeight="1" thickBot="1">
      <c r="A497" s="503" t="s">
        <v>1210</v>
      </c>
      <c r="B497" s="504"/>
      <c r="C497" s="504"/>
      <c r="D497" s="504"/>
      <c r="E497" s="505"/>
      <c r="F497" s="17">
        <f>SUM(F481:F495)</f>
        <v>138950</v>
      </c>
    </row>
    <row r="498" spans="1:8" ht="24.95" customHeight="1" thickBot="1">
      <c r="A498" s="241"/>
      <c r="B498" s="241"/>
      <c r="C498" s="241"/>
      <c r="D498" s="241"/>
      <c r="E498" s="241"/>
      <c r="F498" s="242"/>
    </row>
    <row r="499" spans="1:8" ht="24.95" customHeight="1" thickBot="1">
      <c r="A499" s="521" t="s">
        <v>234</v>
      </c>
      <c r="B499" s="522"/>
      <c r="C499" s="522"/>
      <c r="D499" s="522"/>
      <c r="E499" s="523"/>
      <c r="F499" s="104" t="e">
        <f>F497+F479+F472+F467+F455+F445</f>
        <v>#REF!</v>
      </c>
    </row>
    <row r="500" spans="1:8" ht="22.5" customHeight="1">
      <c r="A500" s="199"/>
      <c r="B500" s="531" t="s">
        <v>312</v>
      </c>
      <c r="C500" s="532"/>
      <c r="D500" s="532"/>
      <c r="E500" s="533"/>
      <c r="F500" s="115"/>
    </row>
    <row r="501" spans="1:8" ht="22.5" customHeight="1">
      <c r="A501" s="15"/>
      <c r="B501" s="16"/>
      <c r="C501" s="24"/>
      <c r="D501" s="25"/>
      <c r="E501" s="25"/>
      <c r="F501" s="26"/>
    </row>
    <row r="502" spans="1:8" ht="22.5" customHeight="1">
      <c r="A502" s="15">
        <v>701</v>
      </c>
      <c r="B502" s="112" t="s">
        <v>360</v>
      </c>
      <c r="C502" s="24"/>
      <c r="D502" s="25"/>
      <c r="E502" s="25"/>
      <c r="F502" s="26"/>
    </row>
    <row r="503" spans="1:8" ht="22.5" customHeight="1">
      <c r="A503" s="15" t="s">
        <v>361</v>
      </c>
      <c r="B503" s="16" t="s">
        <v>362</v>
      </c>
      <c r="C503" s="24" t="s">
        <v>259</v>
      </c>
      <c r="D503" s="25" t="e">
        <f>#REF!</f>
        <v>#REF!</v>
      </c>
      <c r="E503" s="25">
        <v>20</v>
      </c>
      <c r="F503" s="26" t="e">
        <f>E503*D503</f>
        <v>#REF!</v>
      </c>
    </row>
    <row r="504" spans="1:8" ht="22.5" customHeight="1">
      <c r="A504" s="15" t="s">
        <v>363</v>
      </c>
      <c r="B504" s="16" t="s">
        <v>364</v>
      </c>
      <c r="C504" s="24" t="s">
        <v>259</v>
      </c>
      <c r="D504" s="25" t="e">
        <f>#REF!</f>
        <v>#REF!</v>
      </c>
      <c r="E504" s="25">
        <v>20</v>
      </c>
      <c r="F504" s="26" t="e">
        <f>E504*D504</f>
        <v>#REF!</v>
      </c>
    </row>
    <row r="505" spans="1:8" ht="22.5" customHeight="1">
      <c r="A505" s="15" t="s">
        <v>1103</v>
      </c>
      <c r="B505" s="16" t="s">
        <v>1104</v>
      </c>
      <c r="C505" s="24" t="s">
        <v>259</v>
      </c>
      <c r="D505" s="25" t="e">
        <f>#REF!</f>
        <v>#REF!</v>
      </c>
      <c r="E505" s="25">
        <v>20</v>
      </c>
      <c r="F505" s="26" t="e">
        <f t="shared" ref="F505:F506" si="53">E505*D505</f>
        <v>#REF!</v>
      </c>
    </row>
    <row r="506" spans="1:8" ht="22.5" customHeight="1">
      <c r="A506" s="15" t="s">
        <v>1105</v>
      </c>
      <c r="B506" s="16" t="s">
        <v>1106</v>
      </c>
      <c r="C506" s="24" t="s">
        <v>259</v>
      </c>
      <c r="D506" s="25" t="e">
        <f>#REF!</f>
        <v>#REF!</v>
      </c>
      <c r="E506" s="25">
        <v>20</v>
      </c>
      <c r="F506" s="26" t="e">
        <f t="shared" si="53"/>
        <v>#REF!</v>
      </c>
    </row>
    <row r="507" spans="1:8" ht="22.5" customHeight="1" thickBot="1">
      <c r="A507" s="15"/>
      <c r="B507" s="16"/>
      <c r="C507" s="24"/>
      <c r="D507" s="25"/>
      <c r="E507" s="25"/>
      <c r="F507" s="26"/>
    </row>
    <row r="508" spans="1:8" ht="22.5" customHeight="1" thickBot="1">
      <c r="A508" s="503" t="s">
        <v>1211</v>
      </c>
      <c r="B508" s="504"/>
      <c r="C508" s="504"/>
      <c r="D508" s="504"/>
      <c r="E508" s="505"/>
      <c r="F508" s="17" t="e">
        <f>SUM(F503:F506)</f>
        <v>#REF!</v>
      </c>
    </row>
    <row r="509" spans="1:8" ht="22.5" customHeight="1">
      <c r="A509" s="15"/>
      <c r="B509" s="16"/>
      <c r="C509" s="24"/>
      <c r="D509" s="25"/>
      <c r="E509" s="25"/>
      <c r="F509" s="26"/>
    </row>
    <row r="510" spans="1:8" s="101" customFormat="1" ht="24.95" customHeight="1">
      <c r="A510" s="15">
        <v>702</v>
      </c>
      <c r="B510" s="112" t="s">
        <v>313</v>
      </c>
      <c r="C510" s="24"/>
      <c r="D510" s="25"/>
      <c r="E510" s="25"/>
      <c r="F510" s="26"/>
      <c r="G510"/>
      <c r="H510"/>
    </row>
    <row r="511" spans="1:8" s="101" customFormat="1" ht="24.95" customHeight="1">
      <c r="A511" s="15" t="s">
        <v>256</v>
      </c>
      <c r="B511" s="16" t="s">
        <v>314</v>
      </c>
      <c r="C511" s="24" t="s">
        <v>259</v>
      </c>
      <c r="D511" s="25" t="e">
        <f>#REF!</f>
        <v>#REF!</v>
      </c>
      <c r="E511" s="25">
        <v>130</v>
      </c>
      <c r="F511" s="26" t="e">
        <f>E511*D511</f>
        <v>#REF!</v>
      </c>
      <c r="G511"/>
      <c r="H511"/>
    </row>
    <row r="512" spans="1:8" s="101" customFormat="1" ht="15" customHeight="1" thickBot="1">
      <c r="A512" s="200"/>
      <c r="B512" s="16"/>
      <c r="C512" s="16"/>
      <c r="D512" s="16"/>
      <c r="E512" s="25"/>
      <c r="F512" s="26"/>
      <c r="G512"/>
      <c r="H512"/>
    </row>
    <row r="513" spans="1:8" s="101" customFormat="1" ht="24.95" customHeight="1" thickBot="1">
      <c r="A513" s="503" t="s">
        <v>1212</v>
      </c>
      <c r="B513" s="504"/>
      <c r="C513" s="504"/>
      <c r="D513" s="504"/>
      <c r="E513" s="505"/>
      <c r="F513" s="17" t="e">
        <f>SUM(F510:F512)</f>
        <v>#REF!</v>
      </c>
      <c r="G513"/>
      <c r="H513"/>
    </row>
    <row r="514" spans="1:8" s="101" customFormat="1" ht="24.95" customHeight="1" thickBot="1">
      <c r="A514" s="521" t="s">
        <v>315</v>
      </c>
      <c r="B514" s="522"/>
      <c r="C514" s="522"/>
      <c r="D514" s="522"/>
      <c r="E514" s="523"/>
      <c r="F514" s="104" t="e">
        <f>F513+F508</f>
        <v>#REF!</v>
      </c>
      <c r="G514"/>
      <c r="H514"/>
    </row>
    <row r="515" spans="1:8" s="101" customFormat="1" ht="24.95" customHeight="1" thickBot="1">
      <c r="A515" s="5"/>
      <c r="B515" s="5"/>
      <c r="C515" s="2"/>
      <c r="D515" s="6"/>
      <c r="E515" s="6"/>
      <c r="F515" s="1"/>
      <c r="G515"/>
      <c r="H515"/>
    </row>
    <row r="516" spans="1:8" ht="25.5" customHeight="1" thickBot="1">
      <c r="A516" s="22"/>
      <c r="B516" s="22"/>
      <c r="C516" s="22"/>
      <c r="D516" s="529" t="s">
        <v>29</v>
      </c>
      <c r="E516" s="530"/>
      <c r="F516" s="38" t="e">
        <f>F514+F499+F426+F242+F151+F129+F115+F28</f>
        <v>#REF!</v>
      </c>
    </row>
    <row r="517" spans="1:8" ht="25.5" customHeight="1" thickBot="1">
      <c r="A517" s="22"/>
      <c r="B517" s="22"/>
      <c r="C517" s="22"/>
      <c r="D517" s="529" t="s">
        <v>30</v>
      </c>
      <c r="E517" s="530"/>
      <c r="F517" s="38" t="e">
        <f>+F516*0.2</f>
        <v>#REF!</v>
      </c>
    </row>
    <row r="518" spans="1:8" ht="25.5" customHeight="1" thickBot="1">
      <c r="A518" s="22"/>
      <c r="B518" s="22"/>
      <c r="C518" s="22"/>
      <c r="D518" s="529" t="s">
        <v>31</v>
      </c>
      <c r="E518" s="530"/>
      <c r="F518" s="38" t="e">
        <f>+F516+F517</f>
        <v>#REF!</v>
      </c>
    </row>
    <row r="519" spans="1:8" ht="24.95" customHeight="1">
      <c r="A519" s="5"/>
      <c r="B519" s="5"/>
      <c r="C519" s="2"/>
      <c r="D519" s="6"/>
      <c r="E519" s="6"/>
      <c r="F519" s="1"/>
    </row>
    <row r="520" spans="1:8" ht="24.95" customHeight="1">
      <c r="A520" s="5"/>
      <c r="B520" s="5"/>
      <c r="C520" s="2"/>
      <c r="D520" s="6"/>
      <c r="E520" s="6"/>
      <c r="F520" s="1"/>
    </row>
    <row r="521" spans="1:8" ht="25.5" customHeight="1">
      <c r="A521" s="528" t="s">
        <v>180</v>
      </c>
      <c r="B521" s="528"/>
      <c r="C521" s="528" t="s">
        <v>179</v>
      </c>
      <c r="D521" s="528"/>
      <c r="E521" s="528"/>
      <c r="F521" s="528"/>
    </row>
    <row r="522" spans="1:8">
      <c r="A522" s="85"/>
      <c r="B522" s="85"/>
      <c r="C522" s="84"/>
      <c r="D522" s="84"/>
      <c r="E522" s="84"/>
      <c r="F522" s="84"/>
    </row>
    <row r="523" spans="1:8">
      <c r="A523" s="85"/>
      <c r="B523" s="85"/>
      <c r="C523" s="84"/>
      <c r="D523" s="84"/>
      <c r="E523" s="84"/>
      <c r="F523" s="84" t="s">
        <v>15</v>
      </c>
    </row>
    <row r="524" spans="1:8">
      <c r="A524" s="85"/>
      <c r="B524" s="85"/>
      <c r="C524" s="84"/>
      <c r="D524" s="84"/>
      <c r="E524" s="84"/>
      <c r="F524" s="84"/>
    </row>
    <row r="525" spans="1:8">
      <c r="A525" s="85"/>
      <c r="B525" s="85"/>
      <c r="C525" s="84"/>
      <c r="D525" s="84"/>
      <c r="E525" s="84"/>
      <c r="F525" s="84"/>
    </row>
    <row r="526" spans="1:8">
      <c r="A526" s="85"/>
      <c r="B526" s="85"/>
      <c r="C526" s="84"/>
      <c r="D526" s="84"/>
      <c r="E526" s="84"/>
      <c r="F526" s="84"/>
    </row>
    <row r="527" spans="1:8">
      <c r="A527" s="85"/>
      <c r="B527" s="85"/>
      <c r="C527" s="84"/>
      <c r="D527" s="84"/>
      <c r="E527" s="84"/>
      <c r="F527" s="84"/>
    </row>
    <row r="528" spans="1:8">
      <c r="A528" s="85"/>
      <c r="B528" s="85"/>
      <c r="C528" s="84"/>
      <c r="D528" s="84"/>
      <c r="E528" s="84"/>
      <c r="F528" s="84"/>
    </row>
    <row r="529" spans="1:6">
      <c r="A529" s="85"/>
      <c r="B529" s="85"/>
      <c r="C529" s="84"/>
      <c r="D529" s="84"/>
      <c r="E529" s="84"/>
      <c r="F529" s="84"/>
    </row>
    <row r="530" spans="1:6">
      <c r="A530" s="85"/>
      <c r="B530" s="85"/>
      <c r="C530" s="84"/>
      <c r="D530" s="84"/>
      <c r="E530" s="84"/>
      <c r="F530" s="84"/>
    </row>
    <row r="531" spans="1:6">
      <c r="A531" s="85"/>
      <c r="B531" s="85"/>
      <c r="C531" s="84"/>
      <c r="D531" s="84"/>
      <c r="E531" s="84"/>
      <c r="F531" s="84"/>
    </row>
    <row r="532" spans="1:6">
      <c r="A532" s="85"/>
      <c r="B532" s="85"/>
      <c r="C532" s="84"/>
      <c r="D532" s="84"/>
      <c r="E532" s="84"/>
      <c r="F532" s="84"/>
    </row>
    <row r="533" spans="1:6">
      <c r="A533" s="85"/>
      <c r="B533" s="85"/>
      <c r="C533" s="84"/>
      <c r="D533" s="84"/>
      <c r="E533" s="84"/>
      <c r="F533" s="84"/>
    </row>
    <row r="534" spans="1:6">
      <c r="A534" s="85"/>
      <c r="B534" s="85"/>
      <c r="C534" s="84"/>
      <c r="D534" s="84"/>
      <c r="E534" s="84"/>
      <c r="F534" s="84"/>
    </row>
    <row r="535" spans="1:6">
      <c r="A535" s="85"/>
      <c r="B535" s="85"/>
      <c r="C535" s="84"/>
      <c r="D535" s="84"/>
      <c r="E535" s="84"/>
      <c r="F535" s="84"/>
    </row>
    <row r="536" spans="1:6">
      <c r="A536" s="85"/>
      <c r="B536" s="85"/>
      <c r="C536" s="84"/>
      <c r="D536" s="84"/>
      <c r="E536" s="84"/>
      <c r="F536" s="84"/>
    </row>
    <row r="537" spans="1:6">
      <c r="A537" s="85"/>
      <c r="B537" s="85"/>
      <c r="C537" s="84"/>
      <c r="D537" s="84"/>
      <c r="E537" s="84"/>
      <c r="F537" s="84"/>
    </row>
    <row r="538" spans="1:6" ht="25.5" customHeight="1">
      <c r="A538" s="524" t="s">
        <v>181</v>
      </c>
      <c r="B538" s="524"/>
      <c r="C538" s="524" t="s">
        <v>182</v>
      </c>
      <c r="D538" s="524"/>
      <c r="E538" s="524"/>
      <c r="F538" s="524"/>
    </row>
    <row r="566" spans="4:4">
      <c r="D566">
        <v>21</v>
      </c>
    </row>
    <row r="567" spans="4:4">
      <c r="D567">
        <v>19</v>
      </c>
    </row>
    <row r="568" spans="4:4">
      <c r="D568">
        <v>21</v>
      </c>
    </row>
    <row r="569" spans="4:4">
      <c r="D569">
        <v>6</v>
      </c>
    </row>
    <row r="570" spans="4:4">
      <c r="D570">
        <v>13</v>
      </c>
    </row>
    <row r="571" spans="4:4">
      <c r="D571">
        <v>5</v>
      </c>
    </row>
    <row r="574" spans="4:4">
      <c r="D574">
        <f>SUM(D566:D571)</f>
        <v>85</v>
      </c>
    </row>
  </sheetData>
  <mergeCells count="2804">
    <mergeCell ref="XEC28:XEG28"/>
    <mergeCell ref="XEI28:XEM28"/>
    <mergeCell ref="XEO28:XES28"/>
    <mergeCell ref="XEU28:XEY28"/>
    <mergeCell ref="XFA28:XFD28"/>
    <mergeCell ref="XCY28:XDC28"/>
    <mergeCell ref="XDE28:XDI28"/>
    <mergeCell ref="XDK28:XDO28"/>
    <mergeCell ref="XDQ28:XDU28"/>
    <mergeCell ref="XDW28:XEA28"/>
    <mergeCell ref="XBU28:XBY28"/>
    <mergeCell ref="XCA28:XCE28"/>
    <mergeCell ref="XCG28:XCK28"/>
    <mergeCell ref="XCM28:XCQ28"/>
    <mergeCell ref="XCS28:XCW28"/>
    <mergeCell ref="XAQ28:XAU28"/>
    <mergeCell ref="XAW28:XBA28"/>
    <mergeCell ref="XBC28:XBG28"/>
    <mergeCell ref="XBI28:XBM28"/>
    <mergeCell ref="XBO28:XBS28"/>
    <mergeCell ref="WZM28:WZQ28"/>
    <mergeCell ref="WZS28:WZW28"/>
    <mergeCell ref="WZY28:XAC28"/>
    <mergeCell ref="XAE28:XAI28"/>
    <mergeCell ref="XAK28:XAO28"/>
    <mergeCell ref="WYI28:WYM28"/>
    <mergeCell ref="WYO28:WYS28"/>
    <mergeCell ref="WYU28:WYY28"/>
    <mergeCell ref="WZA28:WZE28"/>
    <mergeCell ref="WZG28:WZK28"/>
    <mergeCell ref="WXE28:WXI28"/>
    <mergeCell ref="WXK28:WXO28"/>
    <mergeCell ref="WXQ28:WXU28"/>
    <mergeCell ref="WXW28:WYA28"/>
    <mergeCell ref="WYC28:WYG28"/>
    <mergeCell ref="WWA28:WWE28"/>
    <mergeCell ref="WWG28:WWK28"/>
    <mergeCell ref="WWM28:WWQ28"/>
    <mergeCell ref="WWS28:WWW28"/>
    <mergeCell ref="WWY28:WXC28"/>
    <mergeCell ref="WUW28:WVA28"/>
    <mergeCell ref="WVC28:WVG28"/>
    <mergeCell ref="WVI28:WVM28"/>
    <mergeCell ref="WVO28:WVS28"/>
    <mergeCell ref="WVU28:WVY28"/>
    <mergeCell ref="WTS28:WTW28"/>
    <mergeCell ref="WTY28:WUC28"/>
    <mergeCell ref="WUE28:WUI28"/>
    <mergeCell ref="WUK28:WUO28"/>
    <mergeCell ref="WUQ28:WUU28"/>
    <mergeCell ref="WSO28:WSS28"/>
    <mergeCell ref="WSU28:WSY28"/>
    <mergeCell ref="WTA28:WTE28"/>
    <mergeCell ref="WTG28:WTK28"/>
    <mergeCell ref="WTM28:WTQ28"/>
    <mergeCell ref="WRK28:WRO28"/>
    <mergeCell ref="WRQ28:WRU28"/>
    <mergeCell ref="WRW28:WSA28"/>
    <mergeCell ref="WSC28:WSG28"/>
    <mergeCell ref="WSI28:WSM28"/>
    <mergeCell ref="WQG28:WQK28"/>
    <mergeCell ref="WQM28:WQQ28"/>
    <mergeCell ref="WQS28:WQW28"/>
    <mergeCell ref="WQY28:WRC28"/>
    <mergeCell ref="WRE28:WRI28"/>
    <mergeCell ref="WPC28:WPG28"/>
    <mergeCell ref="WPI28:WPM28"/>
    <mergeCell ref="WPO28:WPS28"/>
    <mergeCell ref="WPU28:WPY28"/>
    <mergeCell ref="WQA28:WQE28"/>
    <mergeCell ref="WNY28:WOC28"/>
    <mergeCell ref="WOE28:WOI28"/>
    <mergeCell ref="WOK28:WOO28"/>
    <mergeCell ref="WOQ28:WOU28"/>
    <mergeCell ref="WOW28:WPA28"/>
    <mergeCell ref="WMU28:WMY28"/>
    <mergeCell ref="WNA28:WNE28"/>
    <mergeCell ref="WNG28:WNK28"/>
    <mergeCell ref="WNM28:WNQ28"/>
    <mergeCell ref="WNS28:WNW28"/>
    <mergeCell ref="WLQ28:WLU28"/>
    <mergeCell ref="WLW28:WMA28"/>
    <mergeCell ref="WMC28:WMG28"/>
    <mergeCell ref="WMI28:WMM28"/>
    <mergeCell ref="WMO28:WMS28"/>
    <mergeCell ref="WKM28:WKQ28"/>
    <mergeCell ref="WKS28:WKW28"/>
    <mergeCell ref="WKY28:WLC28"/>
    <mergeCell ref="WLE28:WLI28"/>
    <mergeCell ref="WLK28:WLO28"/>
    <mergeCell ref="WJI28:WJM28"/>
    <mergeCell ref="WJO28:WJS28"/>
    <mergeCell ref="WJU28:WJY28"/>
    <mergeCell ref="WKA28:WKE28"/>
    <mergeCell ref="WKG28:WKK28"/>
    <mergeCell ref="WIE28:WII28"/>
    <mergeCell ref="WIK28:WIO28"/>
    <mergeCell ref="WIQ28:WIU28"/>
    <mergeCell ref="WIW28:WJA28"/>
    <mergeCell ref="WJC28:WJG28"/>
    <mergeCell ref="WHA28:WHE28"/>
    <mergeCell ref="WHG28:WHK28"/>
    <mergeCell ref="WHM28:WHQ28"/>
    <mergeCell ref="WHS28:WHW28"/>
    <mergeCell ref="WHY28:WIC28"/>
    <mergeCell ref="WFW28:WGA28"/>
    <mergeCell ref="WGC28:WGG28"/>
    <mergeCell ref="WGI28:WGM28"/>
    <mergeCell ref="WGO28:WGS28"/>
    <mergeCell ref="WGU28:WGY28"/>
    <mergeCell ref="WES28:WEW28"/>
    <mergeCell ref="WEY28:WFC28"/>
    <mergeCell ref="WFE28:WFI28"/>
    <mergeCell ref="WFK28:WFO28"/>
    <mergeCell ref="WFQ28:WFU28"/>
    <mergeCell ref="WDO28:WDS28"/>
    <mergeCell ref="WDU28:WDY28"/>
    <mergeCell ref="WEA28:WEE28"/>
    <mergeCell ref="WEG28:WEK28"/>
    <mergeCell ref="WEM28:WEQ28"/>
    <mergeCell ref="WCK28:WCO28"/>
    <mergeCell ref="WCQ28:WCU28"/>
    <mergeCell ref="WCW28:WDA28"/>
    <mergeCell ref="WDC28:WDG28"/>
    <mergeCell ref="WDI28:WDM28"/>
    <mergeCell ref="WBG28:WBK28"/>
    <mergeCell ref="WBM28:WBQ28"/>
    <mergeCell ref="WBS28:WBW28"/>
    <mergeCell ref="WBY28:WCC28"/>
    <mergeCell ref="WCE28:WCI28"/>
    <mergeCell ref="WAC28:WAG28"/>
    <mergeCell ref="WAI28:WAM28"/>
    <mergeCell ref="WAO28:WAS28"/>
    <mergeCell ref="WAU28:WAY28"/>
    <mergeCell ref="WBA28:WBE28"/>
    <mergeCell ref="VYY28:VZC28"/>
    <mergeCell ref="VZE28:VZI28"/>
    <mergeCell ref="VZK28:VZO28"/>
    <mergeCell ref="VZQ28:VZU28"/>
    <mergeCell ref="VZW28:WAA28"/>
    <mergeCell ref="VXU28:VXY28"/>
    <mergeCell ref="VYA28:VYE28"/>
    <mergeCell ref="VYG28:VYK28"/>
    <mergeCell ref="VYM28:VYQ28"/>
    <mergeCell ref="VYS28:VYW28"/>
    <mergeCell ref="VWQ28:VWU28"/>
    <mergeCell ref="VWW28:VXA28"/>
    <mergeCell ref="VXC28:VXG28"/>
    <mergeCell ref="VXI28:VXM28"/>
    <mergeCell ref="VXO28:VXS28"/>
    <mergeCell ref="VVM28:VVQ28"/>
    <mergeCell ref="VVS28:VVW28"/>
    <mergeCell ref="VVY28:VWC28"/>
    <mergeCell ref="VWE28:VWI28"/>
    <mergeCell ref="VWK28:VWO28"/>
    <mergeCell ref="VUI28:VUM28"/>
    <mergeCell ref="VUO28:VUS28"/>
    <mergeCell ref="VUU28:VUY28"/>
    <mergeCell ref="VVA28:VVE28"/>
    <mergeCell ref="VVG28:VVK28"/>
    <mergeCell ref="VTE28:VTI28"/>
    <mergeCell ref="VTK28:VTO28"/>
    <mergeCell ref="VTQ28:VTU28"/>
    <mergeCell ref="VTW28:VUA28"/>
    <mergeCell ref="VUC28:VUG28"/>
    <mergeCell ref="VSA28:VSE28"/>
    <mergeCell ref="VSG28:VSK28"/>
    <mergeCell ref="VSM28:VSQ28"/>
    <mergeCell ref="VSS28:VSW28"/>
    <mergeCell ref="VSY28:VTC28"/>
    <mergeCell ref="VQW28:VRA28"/>
    <mergeCell ref="VRC28:VRG28"/>
    <mergeCell ref="VRI28:VRM28"/>
    <mergeCell ref="VRO28:VRS28"/>
    <mergeCell ref="VRU28:VRY28"/>
    <mergeCell ref="VPS28:VPW28"/>
    <mergeCell ref="VPY28:VQC28"/>
    <mergeCell ref="VQE28:VQI28"/>
    <mergeCell ref="VQK28:VQO28"/>
    <mergeCell ref="VQQ28:VQU28"/>
    <mergeCell ref="VOO28:VOS28"/>
    <mergeCell ref="VOU28:VOY28"/>
    <mergeCell ref="VPA28:VPE28"/>
    <mergeCell ref="VPG28:VPK28"/>
    <mergeCell ref="VPM28:VPQ28"/>
    <mergeCell ref="VNK28:VNO28"/>
    <mergeCell ref="VNQ28:VNU28"/>
    <mergeCell ref="VNW28:VOA28"/>
    <mergeCell ref="VOC28:VOG28"/>
    <mergeCell ref="VOI28:VOM28"/>
    <mergeCell ref="VMG28:VMK28"/>
    <mergeCell ref="VMM28:VMQ28"/>
    <mergeCell ref="VMS28:VMW28"/>
    <mergeCell ref="VMY28:VNC28"/>
    <mergeCell ref="VNE28:VNI28"/>
    <mergeCell ref="VLC28:VLG28"/>
    <mergeCell ref="VLI28:VLM28"/>
    <mergeCell ref="VLO28:VLS28"/>
    <mergeCell ref="VLU28:VLY28"/>
    <mergeCell ref="VMA28:VME28"/>
    <mergeCell ref="VJY28:VKC28"/>
    <mergeCell ref="VKE28:VKI28"/>
    <mergeCell ref="VKK28:VKO28"/>
    <mergeCell ref="VKQ28:VKU28"/>
    <mergeCell ref="VKW28:VLA28"/>
    <mergeCell ref="VIU28:VIY28"/>
    <mergeCell ref="VJA28:VJE28"/>
    <mergeCell ref="VJG28:VJK28"/>
    <mergeCell ref="VJM28:VJQ28"/>
    <mergeCell ref="VJS28:VJW28"/>
    <mergeCell ref="VHQ28:VHU28"/>
    <mergeCell ref="VHW28:VIA28"/>
    <mergeCell ref="VIC28:VIG28"/>
    <mergeCell ref="VII28:VIM28"/>
    <mergeCell ref="VIO28:VIS28"/>
    <mergeCell ref="VGM28:VGQ28"/>
    <mergeCell ref="VGS28:VGW28"/>
    <mergeCell ref="VGY28:VHC28"/>
    <mergeCell ref="VHE28:VHI28"/>
    <mergeCell ref="VHK28:VHO28"/>
    <mergeCell ref="VFI28:VFM28"/>
    <mergeCell ref="VFO28:VFS28"/>
    <mergeCell ref="VFU28:VFY28"/>
    <mergeCell ref="VGA28:VGE28"/>
    <mergeCell ref="VGG28:VGK28"/>
    <mergeCell ref="VEE28:VEI28"/>
    <mergeCell ref="VEK28:VEO28"/>
    <mergeCell ref="VEQ28:VEU28"/>
    <mergeCell ref="VEW28:VFA28"/>
    <mergeCell ref="VFC28:VFG28"/>
    <mergeCell ref="VDA28:VDE28"/>
    <mergeCell ref="VDG28:VDK28"/>
    <mergeCell ref="VDM28:VDQ28"/>
    <mergeCell ref="VDS28:VDW28"/>
    <mergeCell ref="VDY28:VEC28"/>
    <mergeCell ref="VBW28:VCA28"/>
    <mergeCell ref="VCC28:VCG28"/>
    <mergeCell ref="VCI28:VCM28"/>
    <mergeCell ref="VCO28:VCS28"/>
    <mergeCell ref="VCU28:VCY28"/>
    <mergeCell ref="VAS28:VAW28"/>
    <mergeCell ref="VAY28:VBC28"/>
    <mergeCell ref="VBE28:VBI28"/>
    <mergeCell ref="VBK28:VBO28"/>
    <mergeCell ref="VBQ28:VBU28"/>
    <mergeCell ref="UZO28:UZS28"/>
    <mergeCell ref="UZU28:UZY28"/>
    <mergeCell ref="VAA28:VAE28"/>
    <mergeCell ref="VAG28:VAK28"/>
    <mergeCell ref="VAM28:VAQ28"/>
    <mergeCell ref="UYK28:UYO28"/>
    <mergeCell ref="UYQ28:UYU28"/>
    <mergeCell ref="UYW28:UZA28"/>
    <mergeCell ref="UZC28:UZG28"/>
    <mergeCell ref="UZI28:UZM28"/>
    <mergeCell ref="UXG28:UXK28"/>
    <mergeCell ref="UXM28:UXQ28"/>
    <mergeCell ref="UXS28:UXW28"/>
    <mergeCell ref="UXY28:UYC28"/>
    <mergeCell ref="UYE28:UYI28"/>
    <mergeCell ref="UWC28:UWG28"/>
    <mergeCell ref="UWI28:UWM28"/>
    <mergeCell ref="UWO28:UWS28"/>
    <mergeCell ref="UWU28:UWY28"/>
    <mergeCell ref="UXA28:UXE28"/>
    <mergeCell ref="UUY28:UVC28"/>
    <mergeCell ref="UVE28:UVI28"/>
    <mergeCell ref="UVK28:UVO28"/>
    <mergeCell ref="UVQ28:UVU28"/>
    <mergeCell ref="UVW28:UWA28"/>
    <mergeCell ref="UTU28:UTY28"/>
    <mergeCell ref="UUA28:UUE28"/>
    <mergeCell ref="UUG28:UUK28"/>
    <mergeCell ref="UUM28:UUQ28"/>
    <mergeCell ref="UUS28:UUW28"/>
    <mergeCell ref="USQ28:USU28"/>
    <mergeCell ref="USW28:UTA28"/>
    <mergeCell ref="UTC28:UTG28"/>
    <mergeCell ref="UTI28:UTM28"/>
    <mergeCell ref="UTO28:UTS28"/>
    <mergeCell ref="URM28:URQ28"/>
    <mergeCell ref="URS28:URW28"/>
    <mergeCell ref="URY28:USC28"/>
    <mergeCell ref="USE28:USI28"/>
    <mergeCell ref="USK28:USO28"/>
    <mergeCell ref="UQI28:UQM28"/>
    <mergeCell ref="UQO28:UQS28"/>
    <mergeCell ref="UQU28:UQY28"/>
    <mergeCell ref="URA28:URE28"/>
    <mergeCell ref="URG28:URK28"/>
    <mergeCell ref="UPE28:UPI28"/>
    <mergeCell ref="UPK28:UPO28"/>
    <mergeCell ref="UPQ28:UPU28"/>
    <mergeCell ref="UPW28:UQA28"/>
    <mergeCell ref="UQC28:UQG28"/>
    <mergeCell ref="UOA28:UOE28"/>
    <mergeCell ref="UOG28:UOK28"/>
    <mergeCell ref="UOM28:UOQ28"/>
    <mergeCell ref="UOS28:UOW28"/>
    <mergeCell ref="UOY28:UPC28"/>
    <mergeCell ref="UMW28:UNA28"/>
    <mergeCell ref="UNC28:UNG28"/>
    <mergeCell ref="UNI28:UNM28"/>
    <mergeCell ref="UNO28:UNS28"/>
    <mergeCell ref="UNU28:UNY28"/>
    <mergeCell ref="ULS28:ULW28"/>
    <mergeCell ref="ULY28:UMC28"/>
    <mergeCell ref="UME28:UMI28"/>
    <mergeCell ref="UMK28:UMO28"/>
    <mergeCell ref="UMQ28:UMU28"/>
    <mergeCell ref="UKO28:UKS28"/>
    <mergeCell ref="UKU28:UKY28"/>
    <mergeCell ref="ULA28:ULE28"/>
    <mergeCell ref="ULG28:ULK28"/>
    <mergeCell ref="ULM28:ULQ28"/>
    <mergeCell ref="UJK28:UJO28"/>
    <mergeCell ref="UJQ28:UJU28"/>
    <mergeCell ref="UJW28:UKA28"/>
    <mergeCell ref="UKC28:UKG28"/>
    <mergeCell ref="UKI28:UKM28"/>
    <mergeCell ref="UIG28:UIK28"/>
    <mergeCell ref="UIM28:UIQ28"/>
    <mergeCell ref="UIS28:UIW28"/>
    <mergeCell ref="UIY28:UJC28"/>
    <mergeCell ref="UJE28:UJI28"/>
    <mergeCell ref="UHC28:UHG28"/>
    <mergeCell ref="UHI28:UHM28"/>
    <mergeCell ref="UHO28:UHS28"/>
    <mergeCell ref="UHU28:UHY28"/>
    <mergeCell ref="UIA28:UIE28"/>
    <mergeCell ref="UFY28:UGC28"/>
    <mergeCell ref="UGE28:UGI28"/>
    <mergeCell ref="UGK28:UGO28"/>
    <mergeCell ref="UGQ28:UGU28"/>
    <mergeCell ref="UGW28:UHA28"/>
    <mergeCell ref="UEU28:UEY28"/>
    <mergeCell ref="UFA28:UFE28"/>
    <mergeCell ref="UFG28:UFK28"/>
    <mergeCell ref="UFM28:UFQ28"/>
    <mergeCell ref="UFS28:UFW28"/>
    <mergeCell ref="UDQ28:UDU28"/>
    <mergeCell ref="UDW28:UEA28"/>
    <mergeCell ref="UEC28:UEG28"/>
    <mergeCell ref="UEI28:UEM28"/>
    <mergeCell ref="UEO28:UES28"/>
    <mergeCell ref="UCM28:UCQ28"/>
    <mergeCell ref="UCS28:UCW28"/>
    <mergeCell ref="UCY28:UDC28"/>
    <mergeCell ref="UDE28:UDI28"/>
    <mergeCell ref="UDK28:UDO28"/>
    <mergeCell ref="UBI28:UBM28"/>
    <mergeCell ref="UBO28:UBS28"/>
    <mergeCell ref="UBU28:UBY28"/>
    <mergeCell ref="UCA28:UCE28"/>
    <mergeCell ref="UCG28:UCK28"/>
    <mergeCell ref="UAE28:UAI28"/>
    <mergeCell ref="UAK28:UAO28"/>
    <mergeCell ref="UAQ28:UAU28"/>
    <mergeCell ref="UAW28:UBA28"/>
    <mergeCell ref="UBC28:UBG28"/>
    <mergeCell ref="TZA28:TZE28"/>
    <mergeCell ref="TZG28:TZK28"/>
    <mergeCell ref="TZM28:TZQ28"/>
    <mergeCell ref="TZS28:TZW28"/>
    <mergeCell ref="TZY28:UAC28"/>
    <mergeCell ref="TXW28:TYA28"/>
    <mergeCell ref="TYC28:TYG28"/>
    <mergeCell ref="TYI28:TYM28"/>
    <mergeCell ref="TYO28:TYS28"/>
    <mergeCell ref="TYU28:TYY28"/>
    <mergeCell ref="TWS28:TWW28"/>
    <mergeCell ref="TWY28:TXC28"/>
    <mergeCell ref="TXE28:TXI28"/>
    <mergeCell ref="TXK28:TXO28"/>
    <mergeCell ref="TXQ28:TXU28"/>
    <mergeCell ref="TVO28:TVS28"/>
    <mergeCell ref="TVU28:TVY28"/>
    <mergeCell ref="TWA28:TWE28"/>
    <mergeCell ref="TWG28:TWK28"/>
    <mergeCell ref="TWM28:TWQ28"/>
    <mergeCell ref="TUK28:TUO28"/>
    <mergeCell ref="TUQ28:TUU28"/>
    <mergeCell ref="TUW28:TVA28"/>
    <mergeCell ref="TVC28:TVG28"/>
    <mergeCell ref="TVI28:TVM28"/>
    <mergeCell ref="TTG28:TTK28"/>
    <mergeCell ref="TTM28:TTQ28"/>
    <mergeCell ref="TTS28:TTW28"/>
    <mergeCell ref="TTY28:TUC28"/>
    <mergeCell ref="TUE28:TUI28"/>
    <mergeCell ref="TSC28:TSG28"/>
    <mergeCell ref="TSI28:TSM28"/>
    <mergeCell ref="TSO28:TSS28"/>
    <mergeCell ref="TSU28:TSY28"/>
    <mergeCell ref="TTA28:TTE28"/>
    <mergeCell ref="TQY28:TRC28"/>
    <mergeCell ref="TRE28:TRI28"/>
    <mergeCell ref="TRK28:TRO28"/>
    <mergeCell ref="TRQ28:TRU28"/>
    <mergeCell ref="TRW28:TSA28"/>
    <mergeCell ref="TPU28:TPY28"/>
    <mergeCell ref="TQA28:TQE28"/>
    <mergeCell ref="TQG28:TQK28"/>
    <mergeCell ref="TQM28:TQQ28"/>
    <mergeCell ref="TQS28:TQW28"/>
    <mergeCell ref="TOQ28:TOU28"/>
    <mergeCell ref="TOW28:TPA28"/>
    <mergeCell ref="TPC28:TPG28"/>
    <mergeCell ref="TPI28:TPM28"/>
    <mergeCell ref="TPO28:TPS28"/>
    <mergeCell ref="TNM28:TNQ28"/>
    <mergeCell ref="TNS28:TNW28"/>
    <mergeCell ref="TNY28:TOC28"/>
    <mergeCell ref="TOE28:TOI28"/>
    <mergeCell ref="TOK28:TOO28"/>
    <mergeCell ref="TMI28:TMM28"/>
    <mergeCell ref="TMO28:TMS28"/>
    <mergeCell ref="TMU28:TMY28"/>
    <mergeCell ref="TNA28:TNE28"/>
    <mergeCell ref="TNG28:TNK28"/>
    <mergeCell ref="TLE28:TLI28"/>
    <mergeCell ref="TLK28:TLO28"/>
    <mergeCell ref="TLQ28:TLU28"/>
    <mergeCell ref="TLW28:TMA28"/>
    <mergeCell ref="TMC28:TMG28"/>
    <mergeCell ref="TKA28:TKE28"/>
    <mergeCell ref="TKG28:TKK28"/>
    <mergeCell ref="TKM28:TKQ28"/>
    <mergeCell ref="TKS28:TKW28"/>
    <mergeCell ref="TKY28:TLC28"/>
    <mergeCell ref="TIW28:TJA28"/>
    <mergeCell ref="TJC28:TJG28"/>
    <mergeCell ref="TJI28:TJM28"/>
    <mergeCell ref="TJO28:TJS28"/>
    <mergeCell ref="TJU28:TJY28"/>
    <mergeCell ref="THS28:THW28"/>
    <mergeCell ref="THY28:TIC28"/>
    <mergeCell ref="TIE28:TII28"/>
    <mergeCell ref="TIK28:TIO28"/>
    <mergeCell ref="TIQ28:TIU28"/>
    <mergeCell ref="TGO28:TGS28"/>
    <mergeCell ref="TGU28:TGY28"/>
    <mergeCell ref="THA28:THE28"/>
    <mergeCell ref="THG28:THK28"/>
    <mergeCell ref="THM28:THQ28"/>
    <mergeCell ref="TFK28:TFO28"/>
    <mergeCell ref="TFQ28:TFU28"/>
    <mergeCell ref="TFW28:TGA28"/>
    <mergeCell ref="TGC28:TGG28"/>
    <mergeCell ref="TGI28:TGM28"/>
    <mergeCell ref="TEG28:TEK28"/>
    <mergeCell ref="TEM28:TEQ28"/>
    <mergeCell ref="TES28:TEW28"/>
    <mergeCell ref="TEY28:TFC28"/>
    <mergeCell ref="TFE28:TFI28"/>
    <mergeCell ref="TDC28:TDG28"/>
    <mergeCell ref="TDI28:TDM28"/>
    <mergeCell ref="TDO28:TDS28"/>
    <mergeCell ref="TDU28:TDY28"/>
    <mergeCell ref="TEA28:TEE28"/>
    <mergeCell ref="TBY28:TCC28"/>
    <mergeCell ref="TCE28:TCI28"/>
    <mergeCell ref="TCK28:TCO28"/>
    <mergeCell ref="TCQ28:TCU28"/>
    <mergeCell ref="TCW28:TDA28"/>
    <mergeCell ref="TAU28:TAY28"/>
    <mergeCell ref="TBA28:TBE28"/>
    <mergeCell ref="TBG28:TBK28"/>
    <mergeCell ref="TBM28:TBQ28"/>
    <mergeCell ref="TBS28:TBW28"/>
    <mergeCell ref="SZQ28:SZU28"/>
    <mergeCell ref="SZW28:TAA28"/>
    <mergeCell ref="TAC28:TAG28"/>
    <mergeCell ref="TAI28:TAM28"/>
    <mergeCell ref="TAO28:TAS28"/>
    <mergeCell ref="SYM28:SYQ28"/>
    <mergeCell ref="SYS28:SYW28"/>
    <mergeCell ref="SYY28:SZC28"/>
    <mergeCell ref="SZE28:SZI28"/>
    <mergeCell ref="SZK28:SZO28"/>
    <mergeCell ref="SXI28:SXM28"/>
    <mergeCell ref="SXO28:SXS28"/>
    <mergeCell ref="SXU28:SXY28"/>
    <mergeCell ref="SYA28:SYE28"/>
    <mergeCell ref="SYG28:SYK28"/>
    <mergeCell ref="SWE28:SWI28"/>
    <mergeCell ref="SWK28:SWO28"/>
    <mergeCell ref="SWQ28:SWU28"/>
    <mergeCell ref="SWW28:SXA28"/>
    <mergeCell ref="SXC28:SXG28"/>
    <mergeCell ref="SVA28:SVE28"/>
    <mergeCell ref="SVG28:SVK28"/>
    <mergeCell ref="SVM28:SVQ28"/>
    <mergeCell ref="SVS28:SVW28"/>
    <mergeCell ref="SVY28:SWC28"/>
    <mergeCell ref="STW28:SUA28"/>
    <mergeCell ref="SUC28:SUG28"/>
    <mergeCell ref="SUI28:SUM28"/>
    <mergeCell ref="SUO28:SUS28"/>
    <mergeCell ref="SUU28:SUY28"/>
    <mergeCell ref="SSS28:SSW28"/>
    <mergeCell ref="SSY28:STC28"/>
    <mergeCell ref="STE28:STI28"/>
    <mergeCell ref="STK28:STO28"/>
    <mergeCell ref="STQ28:STU28"/>
    <mergeCell ref="SRO28:SRS28"/>
    <mergeCell ref="SRU28:SRY28"/>
    <mergeCell ref="SSA28:SSE28"/>
    <mergeCell ref="SSG28:SSK28"/>
    <mergeCell ref="SSM28:SSQ28"/>
    <mergeCell ref="SQK28:SQO28"/>
    <mergeCell ref="SQQ28:SQU28"/>
    <mergeCell ref="SQW28:SRA28"/>
    <mergeCell ref="SRC28:SRG28"/>
    <mergeCell ref="SRI28:SRM28"/>
    <mergeCell ref="SPG28:SPK28"/>
    <mergeCell ref="SPM28:SPQ28"/>
    <mergeCell ref="SPS28:SPW28"/>
    <mergeCell ref="SPY28:SQC28"/>
    <mergeCell ref="SQE28:SQI28"/>
    <mergeCell ref="SOC28:SOG28"/>
    <mergeCell ref="SOI28:SOM28"/>
    <mergeCell ref="SOO28:SOS28"/>
    <mergeCell ref="SOU28:SOY28"/>
    <mergeCell ref="SPA28:SPE28"/>
    <mergeCell ref="SMY28:SNC28"/>
    <mergeCell ref="SNE28:SNI28"/>
    <mergeCell ref="SNK28:SNO28"/>
    <mergeCell ref="SNQ28:SNU28"/>
    <mergeCell ref="SNW28:SOA28"/>
    <mergeCell ref="SLU28:SLY28"/>
    <mergeCell ref="SMA28:SME28"/>
    <mergeCell ref="SMG28:SMK28"/>
    <mergeCell ref="SMM28:SMQ28"/>
    <mergeCell ref="SMS28:SMW28"/>
    <mergeCell ref="SKQ28:SKU28"/>
    <mergeCell ref="SKW28:SLA28"/>
    <mergeCell ref="SLC28:SLG28"/>
    <mergeCell ref="SLI28:SLM28"/>
    <mergeCell ref="SLO28:SLS28"/>
    <mergeCell ref="SJM28:SJQ28"/>
    <mergeCell ref="SJS28:SJW28"/>
    <mergeCell ref="SJY28:SKC28"/>
    <mergeCell ref="SKE28:SKI28"/>
    <mergeCell ref="SKK28:SKO28"/>
    <mergeCell ref="SII28:SIM28"/>
    <mergeCell ref="SIO28:SIS28"/>
    <mergeCell ref="SIU28:SIY28"/>
    <mergeCell ref="SJA28:SJE28"/>
    <mergeCell ref="SJG28:SJK28"/>
    <mergeCell ref="SHE28:SHI28"/>
    <mergeCell ref="SHK28:SHO28"/>
    <mergeCell ref="SHQ28:SHU28"/>
    <mergeCell ref="SHW28:SIA28"/>
    <mergeCell ref="SIC28:SIG28"/>
    <mergeCell ref="SGA28:SGE28"/>
    <mergeCell ref="SGG28:SGK28"/>
    <mergeCell ref="SGM28:SGQ28"/>
    <mergeCell ref="SGS28:SGW28"/>
    <mergeCell ref="SGY28:SHC28"/>
    <mergeCell ref="SEW28:SFA28"/>
    <mergeCell ref="SFC28:SFG28"/>
    <mergeCell ref="SFI28:SFM28"/>
    <mergeCell ref="SFO28:SFS28"/>
    <mergeCell ref="SFU28:SFY28"/>
    <mergeCell ref="SDS28:SDW28"/>
    <mergeCell ref="SDY28:SEC28"/>
    <mergeCell ref="SEE28:SEI28"/>
    <mergeCell ref="SEK28:SEO28"/>
    <mergeCell ref="SEQ28:SEU28"/>
    <mergeCell ref="SCO28:SCS28"/>
    <mergeCell ref="SCU28:SCY28"/>
    <mergeCell ref="SDA28:SDE28"/>
    <mergeCell ref="SDG28:SDK28"/>
    <mergeCell ref="SDM28:SDQ28"/>
    <mergeCell ref="SBK28:SBO28"/>
    <mergeCell ref="SBQ28:SBU28"/>
    <mergeCell ref="SBW28:SCA28"/>
    <mergeCell ref="SCC28:SCG28"/>
    <mergeCell ref="SCI28:SCM28"/>
    <mergeCell ref="SAG28:SAK28"/>
    <mergeCell ref="SAM28:SAQ28"/>
    <mergeCell ref="SAS28:SAW28"/>
    <mergeCell ref="SAY28:SBC28"/>
    <mergeCell ref="SBE28:SBI28"/>
    <mergeCell ref="RZC28:RZG28"/>
    <mergeCell ref="RZI28:RZM28"/>
    <mergeCell ref="RZO28:RZS28"/>
    <mergeCell ref="RZU28:RZY28"/>
    <mergeCell ref="SAA28:SAE28"/>
    <mergeCell ref="RXY28:RYC28"/>
    <mergeCell ref="RYE28:RYI28"/>
    <mergeCell ref="RYK28:RYO28"/>
    <mergeCell ref="RYQ28:RYU28"/>
    <mergeCell ref="RYW28:RZA28"/>
    <mergeCell ref="RWU28:RWY28"/>
    <mergeCell ref="RXA28:RXE28"/>
    <mergeCell ref="RXG28:RXK28"/>
    <mergeCell ref="RXM28:RXQ28"/>
    <mergeCell ref="RXS28:RXW28"/>
    <mergeCell ref="RVQ28:RVU28"/>
    <mergeCell ref="RVW28:RWA28"/>
    <mergeCell ref="RWC28:RWG28"/>
    <mergeCell ref="RWI28:RWM28"/>
    <mergeCell ref="RWO28:RWS28"/>
    <mergeCell ref="RUM28:RUQ28"/>
    <mergeCell ref="RUS28:RUW28"/>
    <mergeCell ref="RUY28:RVC28"/>
    <mergeCell ref="RVE28:RVI28"/>
    <mergeCell ref="RVK28:RVO28"/>
    <mergeCell ref="RTI28:RTM28"/>
    <mergeCell ref="RTO28:RTS28"/>
    <mergeCell ref="RTU28:RTY28"/>
    <mergeCell ref="RUA28:RUE28"/>
    <mergeCell ref="RUG28:RUK28"/>
    <mergeCell ref="RSE28:RSI28"/>
    <mergeCell ref="RSK28:RSO28"/>
    <mergeCell ref="RSQ28:RSU28"/>
    <mergeCell ref="RSW28:RTA28"/>
    <mergeCell ref="RTC28:RTG28"/>
    <mergeCell ref="RRA28:RRE28"/>
    <mergeCell ref="RRG28:RRK28"/>
    <mergeCell ref="RRM28:RRQ28"/>
    <mergeCell ref="RRS28:RRW28"/>
    <mergeCell ref="RRY28:RSC28"/>
    <mergeCell ref="RPW28:RQA28"/>
    <mergeCell ref="RQC28:RQG28"/>
    <mergeCell ref="RQI28:RQM28"/>
    <mergeCell ref="RQO28:RQS28"/>
    <mergeCell ref="RQU28:RQY28"/>
    <mergeCell ref="ROS28:ROW28"/>
    <mergeCell ref="ROY28:RPC28"/>
    <mergeCell ref="RPE28:RPI28"/>
    <mergeCell ref="RPK28:RPO28"/>
    <mergeCell ref="RPQ28:RPU28"/>
    <mergeCell ref="RNO28:RNS28"/>
    <mergeCell ref="RNU28:RNY28"/>
    <mergeCell ref="ROA28:ROE28"/>
    <mergeCell ref="ROG28:ROK28"/>
    <mergeCell ref="ROM28:ROQ28"/>
    <mergeCell ref="RMK28:RMO28"/>
    <mergeCell ref="RMQ28:RMU28"/>
    <mergeCell ref="RMW28:RNA28"/>
    <mergeCell ref="RNC28:RNG28"/>
    <mergeCell ref="RNI28:RNM28"/>
    <mergeCell ref="RLG28:RLK28"/>
    <mergeCell ref="RLM28:RLQ28"/>
    <mergeCell ref="RLS28:RLW28"/>
    <mergeCell ref="RLY28:RMC28"/>
    <mergeCell ref="RME28:RMI28"/>
    <mergeCell ref="RKC28:RKG28"/>
    <mergeCell ref="RKI28:RKM28"/>
    <mergeCell ref="RKO28:RKS28"/>
    <mergeCell ref="RKU28:RKY28"/>
    <mergeCell ref="RLA28:RLE28"/>
    <mergeCell ref="RIY28:RJC28"/>
    <mergeCell ref="RJE28:RJI28"/>
    <mergeCell ref="RJK28:RJO28"/>
    <mergeCell ref="RJQ28:RJU28"/>
    <mergeCell ref="RJW28:RKA28"/>
    <mergeCell ref="RHU28:RHY28"/>
    <mergeCell ref="RIA28:RIE28"/>
    <mergeCell ref="RIG28:RIK28"/>
    <mergeCell ref="RIM28:RIQ28"/>
    <mergeCell ref="RIS28:RIW28"/>
    <mergeCell ref="RGQ28:RGU28"/>
    <mergeCell ref="RGW28:RHA28"/>
    <mergeCell ref="RHC28:RHG28"/>
    <mergeCell ref="RHI28:RHM28"/>
    <mergeCell ref="RHO28:RHS28"/>
    <mergeCell ref="RFM28:RFQ28"/>
    <mergeCell ref="RFS28:RFW28"/>
    <mergeCell ref="RFY28:RGC28"/>
    <mergeCell ref="RGE28:RGI28"/>
    <mergeCell ref="RGK28:RGO28"/>
    <mergeCell ref="REI28:REM28"/>
    <mergeCell ref="REO28:RES28"/>
    <mergeCell ref="REU28:REY28"/>
    <mergeCell ref="RFA28:RFE28"/>
    <mergeCell ref="RFG28:RFK28"/>
    <mergeCell ref="RDE28:RDI28"/>
    <mergeCell ref="RDK28:RDO28"/>
    <mergeCell ref="RDQ28:RDU28"/>
    <mergeCell ref="RDW28:REA28"/>
    <mergeCell ref="REC28:REG28"/>
    <mergeCell ref="RCA28:RCE28"/>
    <mergeCell ref="RCG28:RCK28"/>
    <mergeCell ref="RCM28:RCQ28"/>
    <mergeCell ref="RCS28:RCW28"/>
    <mergeCell ref="RCY28:RDC28"/>
    <mergeCell ref="RAW28:RBA28"/>
    <mergeCell ref="RBC28:RBG28"/>
    <mergeCell ref="RBI28:RBM28"/>
    <mergeCell ref="RBO28:RBS28"/>
    <mergeCell ref="RBU28:RBY28"/>
    <mergeCell ref="QZS28:QZW28"/>
    <mergeCell ref="QZY28:RAC28"/>
    <mergeCell ref="RAE28:RAI28"/>
    <mergeCell ref="RAK28:RAO28"/>
    <mergeCell ref="RAQ28:RAU28"/>
    <mergeCell ref="QYO28:QYS28"/>
    <mergeCell ref="QYU28:QYY28"/>
    <mergeCell ref="QZA28:QZE28"/>
    <mergeCell ref="QZG28:QZK28"/>
    <mergeCell ref="QZM28:QZQ28"/>
    <mergeCell ref="QXK28:QXO28"/>
    <mergeCell ref="QXQ28:QXU28"/>
    <mergeCell ref="QXW28:QYA28"/>
    <mergeCell ref="QYC28:QYG28"/>
    <mergeCell ref="QYI28:QYM28"/>
    <mergeCell ref="QWG28:QWK28"/>
    <mergeCell ref="QWM28:QWQ28"/>
    <mergeCell ref="QWS28:QWW28"/>
    <mergeCell ref="QWY28:QXC28"/>
    <mergeCell ref="QXE28:QXI28"/>
    <mergeCell ref="QVC28:QVG28"/>
    <mergeCell ref="QVI28:QVM28"/>
    <mergeCell ref="QVO28:QVS28"/>
    <mergeCell ref="QVU28:QVY28"/>
    <mergeCell ref="QWA28:QWE28"/>
    <mergeCell ref="QTY28:QUC28"/>
    <mergeCell ref="QUE28:QUI28"/>
    <mergeCell ref="QUK28:QUO28"/>
    <mergeCell ref="QUQ28:QUU28"/>
    <mergeCell ref="QUW28:QVA28"/>
    <mergeCell ref="QSU28:QSY28"/>
    <mergeCell ref="QTA28:QTE28"/>
    <mergeCell ref="QTG28:QTK28"/>
    <mergeCell ref="QTM28:QTQ28"/>
    <mergeCell ref="QTS28:QTW28"/>
    <mergeCell ref="QRQ28:QRU28"/>
    <mergeCell ref="QRW28:QSA28"/>
    <mergeCell ref="QSC28:QSG28"/>
    <mergeCell ref="QSI28:QSM28"/>
    <mergeCell ref="QSO28:QSS28"/>
    <mergeCell ref="QQM28:QQQ28"/>
    <mergeCell ref="QQS28:QQW28"/>
    <mergeCell ref="QQY28:QRC28"/>
    <mergeCell ref="QRE28:QRI28"/>
    <mergeCell ref="QRK28:QRO28"/>
    <mergeCell ref="QPI28:QPM28"/>
    <mergeCell ref="QPO28:QPS28"/>
    <mergeCell ref="QPU28:QPY28"/>
    <mergeCell ref="QQA28:QQE28"/>
    <mergeCell ref="QQG28:QQK28"/>
    <mergeCell ref="QOE28:QOI28"/>
    <mergeCell ref="QOK28:QOO28"/>
    <mergeCell ref="QOQ28:QOU28"/>
    <mergeCell ref="QOW28:QPA28"/>
    <mergeCell ref="QPC28:QPG28"/>
    <mergeCell ref="QNA28:QNE28"/>
    <mergeCell ref="QNG28:QNK28"/>
    <mergeCell ref="QNM28:QNQ28"/>
    <mergeCell ref="QNS28:QNW28"/>
    <mergeCell ref="QNY28:QOC28"/>
    <mergeCell ref="QLW28:QMA28"/>
    <mergeCell ref="QMC28:QMG28"/>
    <mergeCell ref="QMI28:QMM28"/>
    <mergeCell ref="QMO28:QMS28"/>
    <mergeCell ref="QMU28:QMY28"/>
    <mergeCell ref="QKS28:QKW28"/>
    <mergeCell ref="QKY28:QLC28"/>
    <mergeCell ref="QLE28:QLI28"/>
    <mergeCell ref="QLK28:QLO28"/>
    <mergeCell ref="QLQ28:QLU28"/>
    <mergeCell ref="QJO28:QJS28"/>
    <mergeCell ref="QJU28:QJY28"/>
    <mergeCell ref="QKA28:QKE28"/>
    <mergeCell ref="QKG28:QKK28"/>
    <mergeCell ref="QKM28:QKQ28"/>
    <mergeCell ref="QIK28:QIO28"/>
    <mergeCell ref="QIQ28:QIU28"/>
    <mergeCell ref="QIW28:QJA28"/>
    <mergeCell ref="QJC28:QJG28"/>
    <mergeCell ref="QJI28:QJM28"/>
    <mergeCell ref="QHG28:QHK28"/>
    <mergeCell ref="QHM28:QHQ28"/>
    <mergeCell ref="QHS28:QHW28"/>
    <mergeCell ref="QHY28:QIC28"/>
    <mergeCell ref="QIE28:QII28"/>
    <mergeCell ref="QGC28:QGG28"/>
    <mergeCell ref="QGI28:QGM28"/>
    <mergeCell ref="QGO28:QGS28"/>
    <mergeCell ref="QGU28:QGY28"/>
    <mergeCell ref="QHA28:QHE28"/>
    <mergeCell ref="QEY28:QFC28"/>
    <mergeCell ref="QFE28:QFI28"/>
    <mergeCell ref="QFK28:QFO28"/>
    <mergeCell ref="QFQ28:QFU28"/>
    <mergeCell ref="QFW28:QGA28"/>
    <mergeCell ref="QDU28:QDY28"/>
    <mergeCell ref="QEA28:QEE28"/>
    <mergeCell ref="QEG28:QEK28"/>
    <mergeCell ref="QEM28:QEQ28"/>
    <mergeCell ref="QES28:QEW28"/>
    <mergeCell ref="QCQ28:QCU28"/>
    <mergeCell ref="QCW28:QDA28"/>
    <mergeCell ref="QDC28:QDG28"/>
    <mergeCell ref="QDI28:QDM28"/>
    <mergeCell ref="QDO28:QDS28"/>
    <mergeCell ref="QBM28:QBQ28"/>
    <mergeCell ref="QBS28:QBW28"/>
    <mergeCell ref="QBY28:QCC28"/>
    <mergeCell ref="QCE28:QCI28"/>
    <mergeCell ref="QCK28:QCO28"/>
    <mergeCell ref="QAI28:QAM28"/>
    <mergeCell ref="QAO28:QAS28"/>
    <mergeCell ref="QAU28:QAY28"/>
    <mergeCell ref="QBA28:QBE28"/>
    <mergeCell ref="QBG28:QBK28"/>
    <mergeCell ref="PZE28:PZI28"/>
    <mergeCell ref="PZK28:PZO28"/>
    <mergeCell ref="PZQ28:PZU28"/>
    <mergeCell ref="PZW28:QAA28"/>
    <mergeCell ref="QAC28:QAG28"/>
    <mergeCell ref="PYA28:PYE28"/>
    <mergeCell ref="PYG28:PYK28"/>
    <mergeCell ref="PYM28:PYQ28"/>
    <mergeCell ref="PYS28:PYW28"/>
    <mergeCell ref="PYY28:PZC28"/>
    <mergeCell ref="PWW28:PXA28"/>
    <mergeCell ref="PXC28:PXG28"/>
    <mergeCell ref="PXI28:PXM28"/>
    <mergeCell ref="PXO28:PXS28"/>
    <mergeCell ref="PXU28:PXY28"/>
    <mergeCell ref="PVS28:PVW28"/>
    <mergeCell ref="PVY28:PWC28"/>
    <mergeCell ref="PWE28:PWI28"/>
    <mergeCell ref="PWK28:PWO28"/>
    <mergeCell ref="PWQ28:PWU28"/>
    <mergeCell ref="PUO28:PUS28"/>
    <mergeCell ref="PUU28:PUY28"/>
    <mergeCell ref="PVA28:PVE28"/>
    <mergeCell ref="PVG28:PVK28"/>
    <mergeCell ref="PVM28:PVQ28"/>
    <mergeCell ref="PTK28:PTO28"/>
    <mergeCell ref="PTQ28:PTU28"/>
    <mergeCell ref="PTW28:PUA28"/>
    <mergeCell ref="PUC28:PUG28"/>
    <mergeCell ref="PUI28:PUM28"/>
    <mergeCell ref="PSG28:PSK28"/>
    <mergeCell ref="PSM28:PSQ28"/>
    <mergeCell ref="PSS28:PSW28"/>
    <mergeCell ref="PSY28:PTC28"/>
    <mergeCell ref="PTE28:PTI28"/>
    <mergeCell ref="PRC28:PRG28"/>
    <mergeCell ref="PRI28:PRM28"/>
    <mergeCell ref="PRO28:PRS28"/>
    <mergeCell ref="PRU28:PRY28"/>
    <mergeCell ref="PSA28:PSE28"/>
    <mergeCell ref="PPY28:PQC28"/>
    <mergeCell ref="PQE28:PQI28"/>
    <mergeCell ref="PQK28:PQO28"/>
    <mergeCell ref="PQQ28:PQU28"/>
    <mergeCell ref="PQW28:PRA28"/>
    <mergeCell ref="POU28:POY28"/>
    <mergeCell ref="PPA28:PPE28"/>
    <mergeCell ref="PPG28:PPK28"/>
    <mergeCell ref="PPM28:PPQ28"/>
    <mergeCell ref="PPS28:PPW28"/>
    <mergeCell ref="PNQ28:PNU28"/>
    <mergeCell ref="PNW28:POA28"/>
    <mergeCell ref="POC28:POG28"/>
    <mergeCell ref="POI28:POM28"/>
    <mergeCell ref="POO28:POS28"/>
    <mergeCell ref="PMM28:PMQ28"/>
    <mergeCell ref="PMS28:PMW28"/>
    <mergeCell ref="PMY28:PNC28"/>
    <mergeCell ref="PNE28:PNI28"/>
    <mergeCell ref="PNK28:PNO28"/>
    <mergeCell ref="PLI28:PLM28"/>
    <mergeCell ref="PLO28:PLS28"/>
    <mergeCell ref="PLU28:PLY28"/>
    <mergeCell ref="PMA28:PME28"/>
    <mergeCell ref="PMG28:PMK28"/>
    <mergeCell ref="PKE28:PKI28"/>
    <mergeCell ref="PKK28:PKO28"/>
    <mergeCell ref="PKQ28:PKU28"/>
    <mergeCell ref="PKW28:PLA28"/>
    <mergeCell ref="PLC28:PLG28"/>
    <mergeCell ref="PJA28:PJE28"/>
    <mergeCell ref="PJG28:PJK28"/>
    <mergeCell ref="PJM28:PJQ28"/>
    <mergeCell ref="PJS28:PJW28"/>
    <mergeCell ref="PJY28:PKC28"/>
    <mergeCell ref="PHW28:PIA28"/>
    <mergeCell ref="PIC28:PIG28"/>
    <mergeCell ref="PII28:PIM28"/>
    <mergeCell ref="PIO28:PIS28"/>
    <mergeCell ref="PIU28:PIY28"/>
    <mergeCell ref="PGS28:PGW28"/>
    <mergeCell ref="PGY28:PHC28"/>
    <mergeCell ref="PHE28:PHI28"/>
    <mergeCell ref="PHK28:PHO28"/>
    <mergeCell ref="PHQ28:PHU28"/>
    <mergeCell ref="PFO28:PFS28"/>
    <mergeCell ref="PFU28:PFY28"/>
    <mergeCell ref="PGA28:PGE28"/>
    <mergeCell ref="PGG28:PGK28"/>
    <mergeCell ref="PGM28:PGQ28"/>
    <mergeCell ref="PEK28:PEO28"/>
    <mergeCell ref="PEQ28:PEU28"/>
    <mergeCell ref="PEW28:PFA28"/>
    <mergeCell ref="PFC28:PFG28"/>
    <mergeCell ref="PFI28:PFM28"/>
    <mergeCell ref="PDG28:PDK28"/>
    <mergeCell ref="PDM28:PDQ28"/>
    <mergeCell ref="PDS28:PDW28"/>
    <mergeCell ref="PDY28:PEC28"/>
    <mergeCell ref="PEE28:PEI28"/>
    <mergeCell ref="PCC28:PCG28"/>
    <mergeCell ref="PCI28:PCM28"/>
    <mergeCell ref="PCO28:PCS28"/>
    <mergeCell ref="PCU28:PCY28"/>
    <mergeCell ref="PDA28:PDE28"/>
    <mergeCell ref="PAY28:PBC28"/>
    <mergeCell ref="PBE28:PBI28"/>
    <mergeCell ref="PBK28:PBO28"/>
    <mergeCell ref="PBQ28:PBU28"/>
    <mergeCell ref="PBW28:PCA28"/>
    <mergeCell ref="OZU28:OZY28"/>
    <mergeCell ref="PAA28:PAE28"/>
    <mergeCell ref="PAG28:PAK28"/>
    <mergeCell ref="PAM28:PAQ28"/>
    <mergeCell ref="PAS28:PAW28"/>
    <mergeCell ref="OYQ28:OYU28"/>
    <mergeCell ref="OYW28:OZA28"/>
    <mergeCell ref="OZC28:OZG28"/>
    <mergeCell ref="OZI28:OZM28"/>
    <mergeCell ref="OZO28:OZS28"/>
    <mergeCell ref="OXM28:OXQ28"/>
    <mergeCell ref="OXS28:OXW28"/>
    <mergeCell ref="OXY28:OYC28"/>
    <mergeCell ref="OYE28:OYI28"/>
    <mergeCell ref="OYK28:OYO28"/>
    <mergeCell ref="OWI28:OWM28"/>
    <mergeCell ref="OWO28:OWS28"/>
    <mergeCell ref="OWU28:OWY28"/>
    <mergeCell ref="OXA28:OXE28"/>
    <mergeCell ref="OXG28:OXK28"/>
    <mergeCell ref="OVE28:OVI28"/>
    <mergeCell ref="OVK28:OVO28"/>
    <mergeCell ref="OVQ28:OVU28"/>
    <mergeCell ref="OVW28:OWA28"/>
    <mergeCell ref="OWC28:OWG28"/>
    <mergeCell ref="OUA28:OUE28"/>
    <mergeCell ref="OUG28:OUK28"/>
    <mergeCell ref="OUM28:OUQ28"/>
    <mergeCell ref="OUS28:OUW28"/>
    <mergeCell ref="OUY28:OVC28"/>
    <mergeCell ref="OSW28:OTA28"/>
    <mergeCell ref="OTC28:OTG28"/>
    <mergeCell ref="OTI28:OTM28"/>
    <mergeCell ref="OTO28:OTS28"/>
    <mergeCell ref="OTU28:OTY28"/>
    <mergeCell ref="ORS28:ORW28"/>
    <mergeCell ref="ORY28:OSC28"/>
    <mergeCell ref="OSE28:OSI28"/>
    <mergeCell ref="OSK28:OSO28"/>
    <mergeCell ref="OSQ28:OSU28"/>
    <mergeCell ref="OQO28:OQS28"/>
    <mergeCell ref="OQU28:OQY28"/>
    <mergeCell ref="ORA28:ORE28"/>
    <mergeCell ref="ORG28:ORK28"/>
    <mergeCell ref="ORM28:ORQ28"/>
    <mergeCell ref="OPK28:OPO28"/>
    <mergeCell ref="OPQ28:OPU28"/>
    <mergeCell ref="OPW28:OQA28"/>
    <mergeCell ref="OQC28:OQG28"/>
    <mergeCell ref="OQI28:OQM28"/>
    <mergeCell ref="OOG28:OOK28"/>
    <mergeCell ref="OOM28:OOQ28"/>
    <mergeCell ref="OOS28:OOW28"/>
    <mergeCell ref="OOY28:OPC28"/>
    <mergeCell ref="OPE28:OPI28"/>
    <mergeCell ref="ONC28:ONG28"/>
    <mergeCell ref="ONI28:ONM28"/>
    <mergeCell ref="ONO28:ONS28"/>
    <mergeCell ref="ONU28:ONY28"/>
    <mergeCell ref="OOA28:OOE28"/>
    <mergeCell ref="OLY28:OMC28"/>
    <mergeCell ref="OME28:OMI28"/>
    <mergeCell ref="OMK28:OMO28"/>
    <mergeCell ref="OMQ28:OMU28"/>
    <mergeCell ref="OMW28:ONA28"/>
    <mergeCell ref="OKU28:OKY28"/>
    <mergeCell ref="OLA28:OLE28"/>
    <mergeCell ref="OLG28:OLK28"/>
    <mergeCell ref="OLM28:OLQ28"/>
    <mergeCell ref="OLS28:OLW28"/>
    <mergeCell ref="OJQ28:OJU28"/>
    <mergeCell ref="OJW28:OKA28"/>
    <mergeCell ref="OKC28:OKG28"/>
    <mergeCell ref="OKI28:OKM28"/>
    <mergeCell ref="OKO28:OKS28"/>
    <mergeCell ref="OIM28:OIQ28"/>
    <mergeCell ref="OIS28:OIW28"/>
    <mergeCell ref="OIY28:OJC28"/>
    <mergeCell ref="OJE28:OJI28"/>
    <mergeCell ref="OJK28:OJO28"/>
    <mergeCell ref="OHI28:OHM28"/>
    <mergeCell ref="OHO28:OHS28"/>
    <mergeCell ref="OHU28:OHY28"/>
    <mergeCell ref="OIA28:OIE28"/>
    <mergeCell ref="OIG28:OIK28"/>
    <mergeCell ref="OGE28:OGI28"/>
    <mergeCell ref="OGK28:OGO28"/>
    <mergeCell ref="OGQ28:OGU28"/>
    <mergeCell ref="OGW28:OHA28"/>
    <mergeCell ref="OHC28:OHG28"/>
    <mergeCell ref="OFA28:OFE28"/>
    <mergeCell ref="OFG28:OFK28"/>
    <mergeCell ref="OFM28:OFQ28"/>
    <mergeCell ref="OFS28:OFW28"/>
    <mergeCell ref="OFY28:OGC28"/>
    <mergeCell ref="ODW28:OEA28"/>
    <mergeCell ref="OEC28:OEG28"/>
    <mergeCell ref="OEI28:OEM28"/>
    <mergeCell ref="OEO28:OES28"/>
    <mergeCell ref="OEU28:OEY28"/>
    <mergeCell ref="OCS28:OCW28"/>
    <mergeCell ref="OCY28:ODC28"/>
    <mergeCell ref="ODE28:ODI28"/>
    <mergeCell ref="ODK28:ODO28"/>
    <mergeCell ref="ODQ28:ODU28"/>
    <mergeCell ref="OBO28:OBS28"/>
    <mergeCell ref="OBU28:OBY28"/>
    <mergeCell ref="OCA28:OCE28"/>
    <mergeCell ref="OCG28:OCK28"/>
    <mergeCell ref="OCM28:OCQ28"/>
    <mergeCell ref="OAK28:OAO28"/>
    <mergeCell ref="OAQ28:OAU28"/>
    <mergeCell ref="OAW28:OBA28"/>
    <mergeCell ref="OBC28:OBG28"/>
    <mergeCell ref="OBI28:OBM28"/>
    <mergeCell ref="NZG28:NZK28"/>
    <mergeCell ref="NZM28:NZQ28"/>
    <mergeCell ref="NZS28:NZW28"/>
    <mergeCell ref="NZY28:OAC28"/>
    <mergeCell ref="OAE28:OAI28"/>
    <mergeCell ref="NYC28:NYG28"/>
    <mergeCell ref="NYI28:NYM28"/>
    <mergeCell ref="NYO28:NYS28"/>
    <mergeCell ref="NYU28:NYY28"/>
    <mergeCell ref="NZA28:NZE28"/>
    <mergeCell ref="NWY28:NXC28"/>
    <mergeCell ref="NXE28:NXI28"/>
    <mergeCell ref="NXK28:NXO28"/>
    <mergeCell ref="NXQ28:NXU28"/>
    <mergeCell ref="NXW28:NYA28"/>
    <mergeCell ref="NVU28:NVY28"/>
    <mergeCell ref="NWA28:NWE28"/>
    <mergeCell ref="NWG28:NWK28"/>
    <mergeCell ref="NWM28:NWQ28"/>
    <mergeCell ref="NWS28:NWW28"/>
    <mergeCell ref="NUQ28:NUU28"/>
    <mergeCell ref="NUW28:NVA28"/>
    <mergeCell ref="NVC28:NVG28"/>
    <mergeCell ref="NVI28:NVM28"/>
    <mergeCell ref="NVO28:NVS28"/>
    <mergeCell ref="NTM28:NTQ28"/>
    <mergeCell ref="NTS28:NTW28"/>
    <mergeCell ref="NTY28:NUC28"/>
    <mergeCell ref="NUE28:NUI28"/>
    <mergeCell ref="NUK28:NUO28"/>
    <mergeCell ref="NSI28:NSM28"/>
    <mergeCell ref="NSO28:NSS28"/>
    <mergeCell ref="NSU28:NSY28"/>
    <mergeCell ref="NTA28:NTE28"/>
    <mergeCell ref="NTG28:NTK28"/>
    <mergeCell ref="NRE28:NRI28"/>
    <mergeCell ref="NRK28:NRO28"/>
    <mergeCell ref="NRQ28:NRU28"/>
    <mergeCell ref="NRW28:NSA28"/>
    <mergeCell ref="NSC28:NSG28"/>
    <mergeCell ref="NQA28:NQE28"/>
    <mergeCell ref="NQG28:NQK28"/>
    <mergeCell ref="NQM28:NQQ28"/>
    <mergeCell ref="NQS28:NQW28"/>
    <mergeCell ref="NQY28:NRC28"/>
    <mergeCell ref="NOW28:NPA28"/>
    <mergeCell ref="NPC28:NPG28"/>
    <mergeCell ref="NPI28:NPM28"/>
    <mergeCell ref="NPO28:NPS28"/>
    <mergeCell ref="NPU28:NPY28"/>
    <mergeCell ref="NNS28:NNW28"/>
    <mergeCell ref="NNY28:NOC28"/>
    <mergeCell ref="NOE28:NOI28"/>
    <mergeCell ref="NOK28:NOO28"/>
    <mergeCell ref="NOQ28:NOU28"/>
    <mergeCell ref="NMO28:NMS28"/>
    <mergeCell ref="NMU28:NMY28"/>
    <mergeCell ref="NNA28:NNE28"/>
    <mergeCell ref="NNG28:NNK28"/>
    <mergeCell ref="NNM28:NNQ28"/>
    <mergeCell ref="NLK28:NLO28"/>
    <mergeCell ref="NLQ28:NLU28"/>
    <mergeCell ref="NLW28:NMA28"/>
    <mergeCell ref="NMC28:NMG28"/>
    <mergeCell ref="NMI28:NMM28"/>
    <mergeCell ref="NKG28:NKK28"/>
    <mergeCell ref="NKM28:NKQ28"/>
    <mergeCell ref="NKS28:NKW28"/>
    <mergeCell ref="NKY28:NLC28"/>
    <mergeCell ref="NLE28:NLI28"/>
    <mergeCell ref="NJC28:NJG28"/>
    <mergeCell ref="NJI28:NJM28"/>
    <mergeCell ref="NJO28:NJS28"/>
    <mergeCell ref="NJU28:NJY28"/>
    <mergeCell ref="NKA28:NKE28"/>
    <mergeCell ref="NHY28:NIC28"/>
    <mergeCell ref="NIE28:NII28"/>
    <mergeCell ref="NIK28:NIO28"/>
    <mergeCell ref="NIQ28:NIU28"/>
    <mergeCell ref="NIW28:NJA28"/>
    <mergeCell ref="NGU28:NGY28"/>
    <mergeCell ref="NHA28:NHE28"/>
    <mergeCell ref="NHG28:NHK28"/>
    <mergeCell ref="NHM28:NHQ28"/>
    <mergeCell ref="NHS28:NHW28"/>
    <mergeCell ref="NFQ28:NFU28"/>
    <mergeCell ref="NFW28:NGA28"/>
    <mergeCell ref="NGC28:NGG28"/>
    <mergeCell ref="NGI28:NGM28"/>
    <mergeCell ref="NGO28:NGS28"/>
    <mergeCell ref="NEM28:NEQ28"/>
    <mergeCell ref="NES28:NEW28"/>
    <mergeCell ref="NEY28:NFC28"/>
    <mergeCell ref="NFE28:NFI28"/>
    <mergeCell ref="NFK28:NFO28"/>
    <mergeCell ref="NDI28:NDM28"/>
    <mergeCell ref="NDO28:NDS28"/>
    <mergeCell ref="NDU28:NDY28"/>
    <mergeCell ref="NEA28:NEE28"/>
    <mergeCell ref="NEG28:NEK28"/>
    <mergeCell ref="NCE28:NCI28"/>
    <mergeCell ref="NCK28:NCO28"/>
    <mergeCell ref="NCQ28:NCU28"/>
    <mergeCell ref="NCW28:NDA28"/>
    <mergeCell ref="NDC28:NDG28"/>
    <mergeCell ref="NBA28:NBE28"/>
    <mergeCell ref="NBG28:NBK28"/>
    <mergeCell ref="NBM28:NBQ28"/>
    <mergeCell ref="NBS28:NBW28"/>
    <mergeCell ref="NBY28:NCC28"/>
    <mergeCell ref="MZW28:NAA28"/>
    <mergeCell ref="NAC28:NAG28"/>
    <mergeCell ref="NAI28:NAM28"/>
    <mergeCell ref="NAO28:NAS28"/>
    <mergeCell ref="NAU28:NAY28"/>
    <mergeCell ref="MYS28:MYW28"/>
    <mergeCell ref="MYY28:MZC28"/>
    <mergeCell ref="MZE28:MZI28"/>
    <mergeCell ref="MZK28:MZO28"/>
    <mergeCell ref="MZQ28:MZU28"/>
    <mergeCell ref="MXO28:MXS28"/>
    <mergeCell ref="MXU28:MXY28"/>
    <mergeCell ref="MYA28:MYE28"/>
    <mergeCell ref="MYG28:MYK28"/>
    <mergeCell ref="MYM28:MYQ28"/>
    <mergeCell ref="MWK28:MWO28"/>
    <mergeCell ref="MWQ28:MWU28"/>
    <mergeCell ref="MWW28:MXA28"/>
    <mergeCell ref="MXC28:MXG28"/>
    <mergeCell ref="MXI28:MXM28"/>
    <mergeCell ref="MVG28:MVK28"/>
    <mergeCell ref="MVM28:MVQ28"/>
    <mergeCell ref="MVS28:MVW28"/>
    <mergeCell ref="MVY28:MWC28"/>
    <mergeCell ref="MWE28:MWI28"/>
    <mergeCell ref="MUC28:MUG28"/>
    <mergeCell ref="MUI28:MUM28"/>
    <mergeCell ref="MUO28:MUS28"/>
    <mergeCell ref="MUU28:MUY28"/>
    <mergeCell ref="MVA28:MVE28"/>
    <mergeCell ref="MSY28:MTC28"/>
    <mergeCell ref="MTE28:MTI28"/>
    <mergeCell ref="MTK28:MTO28"/>
    <mergeCell ref="MTQ28:MTU28"/>
    <mergeCell ref="MTW28:MUA28"/>
    <mergeCell ref="MRU28:MRY28"/>
    <mergeCell ref="MSA28:MSE28"/>
    <mergeCell ref="MSG28:MSK28"/>
    <mergeCell ref="MSM28:MSQ28"/>
    <mergeCell ref="MSS28:MSW28"/>
    <mergeCell ref="MQQ28:MQU28"/>
    <mergeCell ref="MQW28:MRA28"/>
    <mergeCell ref="MRC28:MRG28"/>
    <mergeCell ref="MRI28:MRM28"/>
    <mergeCell ref="MRO28:MRS28"/>
    <mergeCell ref="MPM28:MPQ28"/>
    <mergeCell ref="MPS28:MPW28"/>
    <mergeCell ref="MPY28:MQC28"/>
    <mergeCell ref="MQE28:MQI28"/>
    <mergeCell ref="MQK28:MQO28"/>
    <mergeCell ref="MOI28:MOM28"/>
    <mergeCell ref="MOO28:MOS28"/>
    <mergeCell ref="MOU28:MOY28"/>
    <mergeCell ref="MPA28:MPE28"/>
    <mergeCell ref="MPG28:MPK28"/>
    <mergeCell ref="MNE28:MNI28"/>
    <mergeCell ref="MNK28:MNO28"/>
    <mergeCell ref="MNQ28:MNU28"/>
    <mergeCell ref="MNW28:MOA28"/>
    <mergeCell ref="MOC28:MOG28"/>
    <mergeCell ref="MMA28:MME28"/>
    <mergeCell ref="MMG28:MMK28"/>
    <mergeCell ref="MMM28:MMQ28"/>
    <mergeCell ref="MMS28:MMW28"/>
    <mergeCell ref="MMY28:MNC28"/>
    <mergeCell ref="MKW28:MLA28"/>
    <mergeCell ref="MLC28:MLG28"/>
    <mergeCell ref="MLI28:MLM28"/>
    <mergeCell ref="MLO28:MLS28"/>
    <mergeCell ref="MLU28:MLY28"/>
    <mergeCell ref="MJS28:MJW28"/>
    <mergeCell ref="MJY28:MKC28"/>
    <mergeCell ref="MKE28:MKI28"/>
    <mergeCell ref="MKK28:MKO28"/>
    <mergeCell ref="MKQ28:MKU28"/>
    <mergeCell ref="MIO28:MIS28"/>
    <mergeCell ref="MIU28:MIY28"/>
    <mergeCell ref="MJA28:MJE28"/>
    <mergeCell ref="MJG28:MJK28"/>
    <mergeCell ref="MJM28:MJQ28"/>
    <mergeCell ref="MHK28:MHO28"/>
    <mergeCell ref="MHQ28:MHU28"/>
    <mergeCell ref="MHW28:MIA28"/>
    <mergeCell ref="MIC28:MIG28"/>
    <mergeCell ref="MII28:MIM28"/>
    <mergeCell ref="MGG28:MGK28"/>
    <mergeCell ref="MGM28:MGQ28"/>
    <mergeCell ref="MGS28:MGW28"/>
    <mergeCell ref="MGY28:MHC28"/>
    <mergeCell ref="MHE28:MHI28"/>
    <mergeCell ref="MFC28:MFG28"/>
    <mergeCell ref="MFI28:MFM28"/>
    <mergeCell ref="MFO28:MFS28"/>
    <mergeCell ref="MFU28:MFY28"/>
    <mergeCell ref="MGA28:MGE28"/>
    <mergeCell ref="MDY28:MEC28"/>
    <mergeCell ref="MEE28:MEI28"/>
    <mergeCell ref="MEK28:MEO28"/>
    <mergeCell ref="MEQ28:MEU28"/>
    <mergeCell ref="MEW28:MFA28"/>
    <mergeCell ref="MCU28:MCY28"/>
    <mergeCell ref="MDA28:MDE28"/>
    <mergeCell ref="MDG28:MDK28"/>
    <mergeCell ref="MDM28:MDQ28"/>
    <mergeCell ref="MDS28:MDW28"/>
    <mergeCell ref="MBQ28:MBU28"/>
    <mergeCell ref="MBW28:MCA28"/>
    <mergeCell ref="MCC28:MCG28"/>
    <mergeCell ref="MCI28:MCM28"/>
    <mergeCell ref="MCO28:MCS28"/>
    <mergeCell ref="MAM28:MAQ28"/>
    <mergeCell ref="MAS28:MAW28"/>
    <mergeCell ref="MAY28:MBC28"/>
    <mergeCell ref="MBE28:MBI28"/>
    <mergeCell ref="MBK28:MBO28"/>
    <mergeCell ref="LZI28:LZM28"/>
    <mergeCell ref="LZO28:LZS28"/>
    <mergeCell ref="LZU28:LZY28"/>
    <mergeCell ref="MAA28:MAE28"/>
    <mergeCell ref="MAG28:MAK28"/>
    <mergeCell ref="LYE28:LYI28"/>
    <mergeCell ref="LYK28:LYO28"/>
    <mergeCell ref="LYQ28:LYU28"/>
    <mergeCell ref="LYW28:LZA28"/>
    <mergeCell ref="LZC28:LZG28"/>
    <mergeCell ref="LXA28:LXE28"/>
    <mergeCell ref="LXG28:LXK28"/>
    <mergeCell ref="LXM28:LXQ28"/>
    <mergeCell ref="LXS28:LXW28"/>
    <mergeCell ref="LXY28:LYC28"/>
    <mergeCell ref="LVW28:LWA28"/>
    <mergeCell ref="LWC28:LWG28"/>
    <mergeCell ref="LWI28:LWM28"/>
    <mergeCell ref="LWO28:LWS28"/>
    <mergeCell ref="LWU28:LWY28"/>
    <mergeCell ref="LUS28:LUW28"/>
    <mergeCell ref="LUY28:LVC28"/>
    <mergeCell ref="LVE28:LVI28"/>
    <mergeCell ref="LVK28:LVO28"/>
    <mergeCell ref="LVQ28:LVU28"/>
    <mergeCell ref="LTO28:LTS28"/>
    <mergeCell ref="LTU28:LTY28"/>
    <mergeCell ref="LUA28:LUE28"/>
    <mergeCell ref="LUG28:LUK28"/>
    <mergeCell ref="LUM28:LUQ28"/>
    <mergeCell ref="LSK28:LSO28"/>
    <mergeCell ref="LSQ28:LSU28"/>
    <mergeCell ref="LSW28:LTA28"/>
    <mergeCell ref="LTC28:LTG28"/>
    <mergeCell ref="LTI28:LTM28"/>
    <mergeCell ref="LRG28:LRK28"/>
    <mergeCell ref="LRM28:LRQ28"/>
    <mergeCell ref="LRS28:LRW28"/>
    <mergeCell ref="LRY28:LSC28"/>
    <mergeCell ref="LSE28:LSI28"/>
    <mergeCell ref="LQC28:LQG28"/>
    <mergeCell ref="LQI28:LQM28"/>
    <mergeCell ref="LQO28:LQS28"/>
    <mergeCell ref="LQU28:LQY28"/>
    <mergeCell ref="LRA28:LRE28"/>
    <mergeCell ref="LOY28:LPC28"/>
    <mergeCell ref="LPE28:LPI28"/>
    <mergeCell ref="LPK28:LPO28"/>
    <mergeCell ref="LPQ28:LPU28"/>
    <mergeCell ref="LPW28:LQA28"/>
    <mergeCell ref="LNU28:LNY28"/>
    <mergeCell ref="LOA28:LOE28"/>
    <mergeCell ref="LOG28:LOK28"/>
    <mergeCell ref="LOM28:LOQ28"/>
    <mergeCell ref="LOS28:LOW28"/>
    <mergeCell ref="LMQ28:LMU28"/>
    <mergeCell ref="LMW28:LNA28"/>
    <mergeCell ref="LNC28:LNG28"/>
    <mergeCell ref="LNI28:LNM28"/>
    <mergeCell ref="LNO28:LNS28"/>
    <mergeCell ref="LLM28:LLQ28"/>
    <mergeCell ref="LLS28:LLW28"/>
    <mergeCell ref="LLY28:LMC28"/>
    <mergeCell ref="LME28:LMI28"/>
    <mergeCell ref="LMK28:LMO28"/>
    <mergeCell ref="LKI28:LKM28"/>
    <mergeCell ref="LKO28:LKS28"/>
    <mergeCell ref="LKU28:LKY28"/>
    <mergeCell ref="LLA28:LLE28"/>
    <mergeCell ref="LLG28:LLK28"/>
    <mergeCell ref="LJE28:LJI28"/>
    <mergeCell ref="LJK28:LJO28"/>
    <mergeCell ref="LJQ28:LJU28"/>
    <mergeCell ref="LJW28:LKA28"/>
    <mergeCell ref="LKC28:LKG28"/>
    <mergeCell ref="LIA28:LIE28"/>
    <mergeCell ref="LIG28:LIK28"/>
    <mergeCell ref="LIM28:LIQ28"/>
    <mergeCell ref="LIS28:LIW28"/>
    <mergeCell ref="LIY28:LJC28"/>
    <mergeCell ref="LGW28:LHA28"/>
    <mergeCell ref="LHC28:LHG28"/>
    <mergeCell ref="LHI28:LHM28"/>
    <mergeCell ref="LHO28:LHS28"/>
    <mergeCell ref="LHU28:LHY28"/>
    <mergeCell ref="LFS28:LFW28"/>
    <mergeCell ref="LFY28:LGC28"/>
    <mergeCell ref="LGE28:LGI28"/>
    <mergeCell ref="LGK28:LGO28"/>
    <mergeCell ref="LGQ28:LGU28"/>
    <mergeCell ref="LEO28:LES28"/>
    <mergeCell ref="LEU28:LEY28"/>
    <mergeCell ref="LFA28:LFE28"/>
    <mergeCell ref="LFG28:LFK28"/>
    <mergeCell ref="LFM28:LFQ28"/>
    <mergeCell ref="LDK28:LDO28"/>
    <mergeCell ref="LDQ28:LDU28"/>
    <mergeCell ref="LDW28:LEA28"/>
    <mergeCell ref="LEC28:LEG28"/>
    <mergeCell ref="LEI28:LEM28"/>
    <mergeCell ref="LCG28:LCK28"/>
    <mergeCell ref="LCM28:LCQ28"/>
    <mergeCell ref="LCS28:LCW28"/>
    <mergeCell ref="LCY28:LDC28"/>
    <mergeCell ref="LDE28:LDI28"/>
    <mergeCell ref="LBC28:LBG28"/>
    <mergeCell ref="LBI28:LBM28"/>
    <mergeCell ref="LBO28:LBS28"/>
    <mergeCell ref="LBU28:LBY28"/>
    <mergeCell ref="LCA28:LCE28"/>
    <mergeCell ref="KZY28:LAC28"/>
    <mergeCell ref="LAE28:LAI28"/>
    <mergeCell ref="LAK28:LAO28"/>
    <mergeCell ref="LAQ28:LAU28"/>
    <mergeCell ref="LAW28:LBA28"/>
    <mergeCell ref="KYU28:KYY28"/>
    <mergeCell ref="KZA28:KZE28"/>
    <mergeCell ref="KZG28:KZK28"/>
    <mergeCell ref="KZM28:KZQ28"/>
    <mergeCell ref="KZS28:KZW28"/>
    <mergeCell ref="KXQ28:KXU28"/>
    <mergeCell ref="KXW28:KYA28"/>
    <mergeCell ref="KYC28:KYG28"/>
    <mergeCell ref="KYI28:KYM28"/>
    <mergeCell ref="KYO28:KYS28"/>
    <mergeCell ref="KWM28:KWQ28"/>
    <mergeCell ref="KWS28:KWW28"/>
    <mergeCell ref="KWY28:KXC28"/>
    <mergeCell ref="KXE28:KXI28"/>
    <mergeCell ref="KXK28:KXO28"/>
    <mergeCell ref="KVI28:KVM28"/>
    <mergeCell ref="KVO28:KVS28"/>
    <mergeCell ref="KVU28:KVY28"/>
    <mergeCell ref="KWA28:KWE28"/>
    <mergeCell ref="KWG28:KWK28"/>
    <mergeCell ref="KUE28:KUI28"/>
    <mergeCell ref="KUK28:KUO28"/>
    <mergeCell ref="KUQ28:KUU28"/>
    <mergeCell ref="KUW28:KVA28"/>
    <mergeCell ref="KVC28:KVG28"/>
    <mergeCell ref="KTA28:KTE28"/>
    <mergeCell ref="KTG28:KTK28"/>
    <mergeCell ref="KTM28:KTQ28"/>
    <mergeCell ref="KTS28:KTW28"/>
    <mergeCell ref="KTY28:KUC28"/>
    <mergeCell ref="KRW28:KSA28"/>
    <mergeCell ref="KSC28:KSG28"/>
    <mergeCell ref="KSI28:KSM28"/>
    <mergeCell ref="KSO28:KSS28"/>
    <mergeCell ref="KSU28:KSY28"/>
    <mergeCell ref="KQS28:KQW28"/>
    <mergeCell ref="KQY28:KRC28"/>
    <mergeCell ref="KRE28:KRI28"/>
    <mergeCell ref="KRK28:KRO28"/>
    <mergeCell ref="KRQ28:KRU28"/>
    <mergeCell ref="KPO28:KPS28"/>
    <mergeCell ref="KPU28:KPY28"/>
    <mergeCell ref="KQA28:KQE28"/>
    <mergeCell ref="KQG28:KQK28"/>
    <mergeCell ref="KQM28:KQQ28"/>
    <mergeCell ref="KOK28:KOO28"/>
    <mergeCell ref="KOQ28:KOU28"/>
    <mergeCell ref="KOW28:KPA28"/>
    <mergeCell ref="KPC28:KPG28"/>
    <mergeCell ref="KPI28:KPM28"/>
    <mergeCell ref="KNG28:KNK28"/>
    <mergeCell ref="KNM28:KNQ28"/>
    <mergeCell ref="KNS28:KNW28"/>
    <mergeCell ref="KNY28:KOC28"/>
    <mergeCell ref="KOE28:KOI28"/>
    <mergeCell ref="KMC28:KMG28"/>
    <mergeCell ref="KMI28:KMM28"/>
    <mergeCell ref="KMO28:KMS28"/>
    <mergeCell ref="KMU28:KMY28"/>
    <mergeCell ref="KNA28:KNE28"/>
    <mergeCell ref="KKY28:KLC28"/>
    <mergeCell ref="KLE28:KLI28"/>
    <mergeCell ref="KLK28:KLO28"/>
    <mergeCell ref="KLQ28:KLU28"/>
    <mergeCell ref="KLW28:KMA28"/>
    <mergeCell ref="KJU28:KJY28"/>
    <mergeCell ref="KKA28:KKE28"/>
    <mergeCell ref="KKG28:KKK28"/>
    <mergeCell ref="KKM28:KKQ28"/>
    <mergeCell ref="KKS28:KKW28"/>
    <mergeCell ref="KIQ28:KIU28"/>
    <mergeCell ref="KIW28:KJA28"/>
    <mergeCell ref="KJC28:KJG28"/>
    <mergeCell ref="KJI28:KJM28"/>
    <mergeCell ref="KJO28:KJS28"/>
    <mergeCell ref="KHM28:KHQ28"/>
    <mergeCell ref="KHS28:KHW28"/>
    <mergeCell ref="KHY28:KIC28"/>
    <mergeCell ref="KIE28:KII28"/>
    <mergeCell ref="KIK28:KIO28"/>
    <mergeCell ref="KGI28:KGM28"/>
    <mergeCell ref="KGO28:KGS28"/>
    <mergeCell ref="KGU28:KGY28"/>
    <mergeCell ref="KHA28:KHE28"/>
    <mergeCell ref="KHG28:KHK28"/>
    <mergeCell ref="KFE28:KFI28"/>
    <mergeCell ref="KFK28:KFO28"/>
    <mergeCell ref="KFQ28:KFU28"/>
    <mergeCell ref="KFW28:KGA28"/>
    <mergeCell ref="KGC28:KGG28"/>
    <mergeCell ref="KEA28:KEE28"/>
    <mergeCell ref="KEG28:KEK28"/>
    <mergeCell ref="KEM28:KEQ28"/>
    <mergeCell ref="KES28:KEW28"/>
    <mergeCell ref="KEY28:KFC28"/>
    <mergeCell ref="KCW28:KDA28"/>
    <mergeCell ref="KDC28:KDG28"/>
    <mergeCell ref="KDI28:KDM28"/>
    <mergeCell ref="KDO28:KDS28"/>
    <mergeCell ref="KDU28:KDY28"/>
    <mergeCell ref="KBS28:KBW28"/>
    <mergeCell ref="KBY28:KCC28"/>
    <mergeCell ref="KCE28:KCI28"/>
    <mergeCell ref="KCK28:KCO28"/>
    <mergeCell ref="KCQ28:KCU28"/>
    <mergeCell ref="KAO28:KAS28"/>
    <mergeCell ref="KAU28:KAY28"/>
    <mergeCell ref="KBA28:KBE28"/>
    <mergeCell ref="KBG28:KBK28"/>
    <mergeCell ref="KBM28:KBQ28"/>
    <mergeCell ref="JZK28:JZO28"/>
    <mergeCell ref="JZQ28:JZU28"/>
    <mergeCell ref="JZW28:KAA28"/>
    <mergeCell ref="KAC28:KAG28"/>
    <mergeCell ref="KAI28:KAM28"/>
    <mergeCell ref="JYG28:JYK28"/>
    <mergeCell ref="JYM28:JYQ28"/>
    <mergeCell ref="JYS28:JYW28"/>
    <mergeCell ref="JYY28:JZC28"/>
    <mergeCell ref="JZE28:JZI28"/>
    <mergeCell ref="JXC28:JXG28"/>
    <mergeCell ref="JXI28:JXM28"/>
    <mergeCell ref="JXO28:JXS28"/>
    <mergeCell ref="JXU28:JXY28"/>
    <mergeCell ref="JYA28:JYE28"/>
    <mergeCell ref="JVY28:JWC28"/>
    <mergeCell ref="JWE28:JWI28"/>
    <mergeCell ref="JWK28:JWO28"/>
    <mergeCell ref="JWQ28:JWU28"/>
    <mergeCell ref="JWW28:JXA28"/>
    <mergeCell ref="JUU28:JUY28"/>
    <mergeCell ref="JVA28:JVE28"/>
    <mergeCell ref="JVG28:JVK28"/>
    <mergeCell ref="JVM28:JVQ28"/>
    <mergeCell ref="JVS28:JVW28"/>
    <mergeCell ref="JTQ28:JTU28"/>
    <mergeCell ref="JTW28:JUA28"/>
    <mergeCell ref="JUC28:JUG28"/>
    <mergeCell ref="JUI28:JUM28"/>
    <mergeCell ref="JUO28:JUS28"/>
    <mergeCell ref="JSM28:JSQ28"/>
    <mergeCell ref="JSS28:JSW28"/>
    <mergeCell ref="JSY28:JTC28"/>
    <mergeCell ref="JTE28:JTI28"/>
    <mergeCell ref="JTK28:JTO28"/>
    <mergeCell ref="JRI28:JRM28"/>
    <mergeCell ref="JRO28:JRS28"/>
    <mergeCell ref="JRU28:JRY28"/>
    <mergeCell ref="JSA28:JSE28"/>
    <mergeCell ref="JSG28:JSK28"/>
    <mergeCell ref="JQE28:JQI28"/>
    <mergeCell ref="JQK28:JQO28"/>
    <mergeCell ref="JQQ28:JQU28"/>
    <mergeCell ref="JQW28:JRA28"/>
    <mergeCell ref="JRC28:JRG28"/>
    <mergeCell ref="JPA28:JPE28"/>
    <mergeCell ref="JPG28:JPK28"/>
    <mergeCell ref="JPM28:JPQ28"/>
    <mergeCell ref="JPS28:JPW28"/>
    <mergeCell ref="JPY28:JQC28"/>
    <mergeCell ref="JNW28:JOA28"/>
    <mergeCell ref="JOC28:JOG28"/>
    <mergeCell ref="JOI28:JOM28"/>
    <mergeCell ref="JOO28:JOS28"/>
    <mergeCell ref="JOU28:JOY28"/>
    <mergeCell ref="JMS28:JMW28"/>
    <mergeCell ref="JMY28:JNC28"/>
    <mergeCell ref="JNE28:JNI28"/>
    <mergeCell ref="JNK28:JNO28"/>
    <mergeCell ref="JNQ28:JNU28"/>
    <mergeCell ref="JLO28:JLS28"/>
    <mergeCell ref="JLU28:JLY28"/>
    <mergeCell ref="JMA28:JME28"/>
    <mergeCell ref="JMG28:JMK28"/>
    <mergeCell ref="JMM28:JMQ28"/>
    <mergeCell ref="JKK28:JKO28"/>
    <mergeCell ref="JKQ28:JKU28"/>
    <mergeCell ref="JKW28:JLA28"/>
    <mergeCell ref="JLC28:JLG28"/>
    <mergeCell ref="JLI28:JLM28"/>
    <mergeCell ref="JJG28:JJK28"/>
    <mergeCell ref="JJM28:JJQ28"/>
    <mergeCell ref="JJS28:JJW28"/>
    <mergeCell ref="JJY28:JKC28"/>
    <mergeCell ref="JKE28:JKI28"/>
    <mergeCell ref="JIC28:JIG28"/>
    <mergeCell ref="JII28:JIM28"/>
    <mergeCell ref="JIO28:JIS28"/>
    <mergeCell ref="JIU28:JIY28"/>
    <mergeCell ref="JJA28:JJE28"/>
    <mergeCell ref="JGY28:JHC28"/>
    <mergeCell ref="JHE28:JHI28"/>
    <mergeCell ref="JHK28:JHO28"/>
    <mergeCell ref="JHQ28:JHU28"/>
    <mergeCell ref="JHW28:JIA28"/>
    <mergeCell ref="JFU28:JFY28"/>
    <mergeCell ref="JGA28:JGE28"/>
    <mergeCell ref="JGG28:JGK28"/>
    <mergeCell ref="JGM28:JGQ28"/>
    <mergeCell ref="JGS28:JGW28"/>
    <mergeCell ref="JEQ28:JEU28"/>
    <mergeCell ref="JEW28:JFA28"/>
    <mergeCell ref="JFC28:JFG28"/>
    <mergeCell ref="JFI28:JFM28"/>
    <mergeCell ref="JFO28:JFS28"/>
    <mergeCell ref="JDM28:JDQ28"/>
    <mergeCell ref="JDS28:JDW28"/>
    <mergeCell ref="JDY28:JEC28"/>
    <mergeCell ref="JEE28:JEI28"/>
    <mergeCell ref="JEK28:JEO28"/>
    <mergeCell ref="JCI28:JCM28"/>
    <mergeCell ref="JCO28:JCS28"/>
    <mergeCell ref="JCU28:JCY28"/>
    <mergeCell ref="JDA28:JDE28"/>
    <mergeCell ref="JDG28:JDK28"/>
    <mergeCell ref="JBE28:JBI28"/>
    <mergeCell ref="JBK28:JBO28"/>
    <mergeCell ref="JBQ28:JBU28"/>
    <mergeCell ref="JBW28:JCA28"/>
    <mergeCell ref="JCC28:JCG28"/>
    <mergeCell ref="JAA28:JAE28"/>
    <mergeCell ref="JAG28:JAK28"/>
    <mergeCell ref="JAM28:JAQ28"/>
    <mergeCell ref="JAS28:JAW28"/>
    <mergeCell ref="JAY28:JBC28"/>
    <mergeCell ref="IYW28:IZA28"/>
    <mergeCell ref="IZC28:IZG28"/>
    <mergeCell ref="IZI28:IZM28"/>
    <mergeCell ref="IZO28:IZS28"/>
    <mergeCell ref="IZU28:IZY28"/>
    <mergeCell ref="IXS28:IXW28"/>
    <mergeCell ref="IXY28:IYC28"/>
    <mergeCell ref="IYE28:IYI28"/>
    <mergeCell ref="IYK28:IYO28"/>
    <mergeCell ref="IYQ28:IYU28"/>
    <mergeCell ref="IWO28:IWS28"/>
    <mergeCell ref="IWU28:IWY28"/>
    <mergeCell ref="IXA28:IXE28"/>
    <mergeCell ref="IXG28:IXK28"/>
    <mergeCell ref="IXM28:IXQ28"/>
    <mergeCell ref="IVK28:IVO28"/>
    <mergeCell ref="IVQ28:IVU28"/>
    <mergeCell ref="IVW28:IWA28"/>
    <mergeCell ref="IWC28:IWG28"/>
    <mergeCell ref="IWI28:IWM28"/>
    <mergeCell ref="IUG28:IUK28"/>
    <mergeCell ref="IUM28:IUQ28"/>
    <mergeCell ref="IUS28:IUW28"/>
    <mergeCell ref="IUY28:IVC28"/>
    <mergeCell ref="IVE28:IVI28"/>
    <mergeCell ref="ITC28:ITG28"/>
    <mergeCell ref="ITI28:ITM28"/>
    <mergeCell ref="ITO28:ITS28"/>
    <mergeCell ref="ITU28:ITY28"/>
    <mergeCell ref="IUA28:IUE28"/>
    <mergeCell ref="IRY28:ISC28"/>
    <mergeCell ref="ISE28:ISI28"/>
    <mergeCell ref="ISK28:ISO28"/>
    <mergeCell ref="ISQ28:ISU28"/>
    <mergeCell ref="ISW28:ITA28"/>
    <mergeCell ref="IQU28:IQY28"/>
    <mergeCell ref="IRA28:IRE28"/>
    <mergeCell ref="IRG28:IRK28"/>
    <mergeCell ref="IRM28:IRQ28"/>
    <mergeCell ref="IRS28:IRW28"/>
    <mergeCell ref="IPQ28:IPU28"/>
    <mergeCell ref="IPW28:IQA28"/>
    <mergeCell ref="IQC28:IQG28"/>
    <mergeCell ref="IQI28:IQM28"/>
    <mergeCell ref="IQO28:IQS28"/>
    <mergeCell ref="IOM28:IOQ28"/>
    <mergeCell ref="IOS28:IOW28"/>
    <mergeCell ref="IOY28:IPC28"/>
    <mergeCell ref="IPE28:IPI28"/>
    <mergeCell ref="IPK28:IPO28"/>
    <mergeCell ref="INI28:INM28"/>
    <mergeCell ref="INO28:INS28"/>
    <mergeCell ref="INU28:INY28"/>
    <mergeCell ref="IOA28:IOE28"/>
    <mergeCell ref="IOG28:IOK28"/>
    <mergeCell ref="IME28:IMI28"/>
    <mergeCell ref="IMK28:IMO28"/>
    <mergeCell ref="IMQ28:IMU28"/>
    <mergeCell ref="IMW28:INA28"/>
    <mergeCell ref="INC28:ING28"/>
    <mergeCell ref="ILA28:ILE28"/>
    <mergeCell ref="ILG28:ILK28"/>
    <mergeCell ref="ILM28:ILQ28"/>
    <mergeCell ref="ILS28:ILW28"/>
    <mergeCell ref="ILY28:IMC28"/>
    <mergeCell ref="IJW28:IKA28"/>
    <mergeCell ref="IKC28:IKG28"/>
    <mergeCell ref="IKI28:IKM28"/>
    <mergeCell ref="IKO28:IKS28"/>
    <mergeCell ref="IKU28:IKY28"/>
    <mergeCell ref="IIS28:IIW28"/>
    <mergeCell ref="IIY28:IJC28"/>
    <mergeCell ref="IJE28:IJI28"/>
    <mergeCell ref="IJK28:IJO28"/>
    <mergeCell ref="IJQ28:IJU28"/>
    <mergeCell ref="IHO28:IHS28"/>
    <mergeCell ref="IHU28:IHY28"/>
    <mergeCell ref="IIA28:IIE28"/>
    <mergeCell ref="IIG28:IIK28"/>
    <mergeCell ref="IIM28:IIQ28"/>
    <mergeCell ref="IGK28:IGO28"/>
    <mergeCell ref="IGQ28:IGU28"/>
    <mergeCell ref="IGW28:IHA28"/>
    <mergeCell ref="IHC28:IHG28"/>
    <mergeCell ref="IHI28:IHM28"/>
    <mergeCell ref="IFG28:IFK28"/>
    <mergeCell ref="IFM28:IFQ28"/>
    <mergeCell ref="IFS28:IFW28"/>
    <mergeCell ref="IFY28:IGC28"/>
    <mergeCell ref="IGE28:IGI28"/>
    <mergeCell ref="IEC28:IEG28"/>
    <mergeCell ref="IEI28:IEM28"/>
    <mergeCell ref="IEO28:IES28"/>
    <mergeCell ref="IEU28:IEY28"/>
    <mergeCell ref="IFA28:IFE28"/>
    <mergeCell ref="ICY28:IDC28"/>
    <mergeCell ref="IDE28:IDI28"/>
    <mergeCell ref="IDK28:IDO28"/>
    <mergeCell ref="IDQ28:IDU28"/>
    <mergeCell ref="IDW28:IEA28"/>
    <mergeCell ref="IBU28:IBY28"/>
    <mergeCell ref="ICA28:ICE28"/>
    <mergeCell ref="ICG28:ICK28"/>
    <mergeCell ref="ICM28:ICQ28"/>
    <mergeCell ref="ICS28:ICW28"/>
    <mergeCell ref="IAQ28:IAU28"/>
    <mergeCell ref="IAW28:IBA28"/>
    <mergeCell ref="IBC28:IBG28"/>
    <mergeCell ref="IBI28:IBM28"/>
    <mergeCell ref="IBO28:IBS28"/>
    <mergeCell ref="HZM28:HZQ28"/>
    <mergeCell ref="HZS28:HZW28"/>
    <mergeCell ref="HZY28:IAC28"/>
    <mergeCell ref="IAE28:IAI28"/>
    <mergeCell ref="IAK28:IAO28"/>
    <mergeCell ref="HYI28:HYM28"/>
    <mergeCell ref="HYO28:HYS28"/>
    <mergeCell ref="HYU28:HYY28"/>
    <mergeCell ref="HZA28:HZE28"/>
    <mergeCell ref="HZG28:HZK28"/>
    <mergeCell ref="HXE28:HXI28"/>
    <mergeCell ref="HXK28:HXO28"/>
    <mergeCell ref="HXQ28:HXU28"/>
    <mergeCell ref="HXW28:HYA28"/>
    <mergeCell ref="HYC28:HYG28"/>
    <mergeCell ref="HWA28:HWE28"/>
    <mergeCell ref="HWG28:HWK28"/>
    <mergeCell ref="HWM28:HWQ28"/>
    <mergeCell ref="HWS28:HWW28"/>
    <mergeCell ref="HWY28:HXC28"/>
    <mergeCell ref="HUW28:HVA28"/>
    <mergeCell ref="HVC28:HVG28"/>
    <mergeCell ref="HVI28:HVM28"/>
    <mergeCell ref="HVO28:HVS28"/>
    <mergeCell ref="HVU28:HVY28"/>
    <mergeCell ref="HTS28:HTW28"/>
    <mergeCell ref="HTY28:HUC28"/>
    <mergeCell ref="HUE28:HUI28"/>
    <mergeCell ref="HUK28:HUO28"/>
    <mergeCell ref="HUQ28:HUU28"/>
    <mergeCell ref="HSO28:HSS28"/>
    <mergeCell ref="HSU28:HSY28"/>
    <mergeCell ref="HTA28:HTE28"/>
    <mergeCell ref="HTG28:HTK28"/>
    <mergeCell ref="HTM28:HTQ28"/>
    <mergeCell ref="HRK28:HRO28"/>
    <mergeCell ref="HRQ28:HRU28"/>
    <mergeCell ref="HRW28:HSA28"/>
    <mergeCell ref="HSC28:HSG28"/>
    <mergeCell ref="HSI28:HSM28"/>
    <mergeCell ref="HQG28:HQK28"/>
    <mergeCell ref="HQM28:HQQ28"/>
    <mergeCell ref="HQS28:HQW28"/>
    <mergeCell ref="HQY28:HRC28"/>
    <mergeCell ref="HRE28:HRI28"/>
    <mergeCell ref="HPC28:HPG28"/>
    <mergeCell ref="HPI28:HPM28"/>
    <mergeCell ref="HPO28:HPS28"/>
    <mergeCell ref="HPU28:HPY28"/>
    <mergeCell ref="HQA28:HQE28"/>
    <mergeCell ref="HNY28:HOC28"/>
    <mergeCell ref="HOE28:HOI28"/>
    <mergeCell ref="HOK28:HOO28"/>
    <mergeCell ref="HOQ28:HOU28"/>
    <mergeCell ref="HOW28:HPA28"/>
    <mergeCell ref="HMU28:HMY28"/>
    <mergeCell ref="HNA28:HNE28"/>
    <mergeCell ref="HNG28:HNK28"/>
    <mergeCell ref="HNM28:HNQ28"/>
    <mergeCell ref="HNS28:HNW28"/>
    <mergeCell ref="HLQ28:HLU28"/>
    <mergeCell ref="HLW28:HMA28"/>
    <mergeCell ref="HMC28:HMG28"/>
    <mergeCell ref="HMI28:HMM28"/>
    <mergeCell ref="HMO28:HMS28"/>
    <mergeCell ref="HKM28:HKQ28"/>
    <mergeCell ref="HKS28:HKW28"/>
    <mergeCell ref="HKY28:HLC28"/>
    <mergeCell ref="HLE28:HLI28"/>
    <mergeCell ref="HLK28:HLO28"/>
    <mergeCell ref="HJI28:HJM28"/>
    <mergeCell ref="HJO28:HJS28"/>
    <mergeCell ref="HJU28:HJY28"/>
    <mergeCell ref="HKA28:HKE28"/>
    <mergeCell ref="HKG28:HKK28"/>
    <mergeCell ref="HIE28:HII28"/>
    <mergeCell ref="HIK28:HIO28"/>
    <mergeCell ref="HIQ28:HIU28"/>
    <mergeCell ref="HIW28:HJA28"/>
    <mergeCell ref="HJC28:HJG28"/>
    <mergeCell ref="HHA28:HHE28"/>
    <mergeCell ref="HHG28:HHK28"/>
    <mergeCell ref="HHM28:HHQ28"/>
    <mergeCell ref="HHS28:HHW28"/>
    <mergeCell ref="HHY28:HIC28"/>
    <mergeCell ref="HFW28:HGA28"/>
    <mergeCell ref="HGC28:HGG28"/>
    <mergeCell ref="HGI28:HGM28"/>
    <mergeCell ref="HGO28:HGS28"/>
    <mergeCell ref="HGU28:HGY28"/>
    <mergeCell ref="HES28:HEW28"/>
    <mergeCell ref="HEY28:HFC28"/>
    <mergeCell ref="HFE28:HFI28"/>
    <mergeCell ref="HFK28:HFO28"/>
    <mergeCell ref="HFQ28:HFU28"/>
    <mergeCell ref="HDO28:HDS28"/>
    <mergeCell ref="HDU28:HDY28"/>
    <mergeCell ref="HEA28:HEE28"/>
    <mergeCell ref="HEG28:HEK28"/>
    <mergeCell ref="HEM28:HEQ28"/>
    <mergeCell ref="HCK28:HCO28"/>
    <mergeCell ref="HCQ28:HCU28"/>
    <mergeCell ref="HCW28:HDA28"/>
    <mergeCell ref="HDC28:HDG28"/>
    <mergeCell ref="HDI28:HDM28"/>
    <mergeCell ref="HBG28:HBK28"/>
    <mergeCell ref="HBM28:HBQ28"/>
    <mergeCell ref="HBS28:HBW28"/>
    <mergeCell ref="HBY28:HCC28"/>
    <mergeCell ref="HCE28:HCI28"/>
    <mergeCell ref="HAC28:HAG28"/>
    <mergeCell ref="HAI28:HAM28"/>
    <mergeCell ref="HAO28:HAS28"/>
    <mergeCell ref="HAU28:HAY28"/>
    <mergeCell ref="HBA28:HBE28"/>
    <mergeCell ref="GYY28:GZC28"/>
    <mergeCell ref="GZE28:GZI28"/>
    <mergeCell ref="GZK28:GZO28"/>
    <mergeCell ref="GZQ28:GZU28"/>
    <mergeCell ref="GZW28:HAA28"/>
    <mergeCell ref="GXU28:GXY28"/>
    <mergeCell ref="GYA28:GYE28"/>
    <mergeCell ref="GYG28:GYK28"/>
    <mergeCell ref="GYM28:GYQ28"/>
    <mergeCell ref="GYS28:GYW28"/>
    <mergeCell ref="GWQ28:GWU28"/>
    <mergeCell ref="GWW28:GXA28"/>
    <mergeCell ref="GXC28:GXG28"/>
    <mergeCell ref="GXI28:GXM28"/>
    <mergeCell ref="GXO28:GXS28"/>
    <mergeCell ref="GVM28:GVQ28"/>
    <mergeCell ref="GVS28:GVW28"/>
    <mergeCell ref="GVY28:GWC28"/>
    <mergeCell ref="GWE28:GWI28"/>
    <mergeCell ref="GWK28:GWO28"/>
    <mergeCell ref="GUI28:GUM28"/>
    <mergeCell ref="GUO28:GUS28"/>
    <mergeCell ref="GUU28:GUY28"/>
    <mergeCell ref="GVA28:GVE28"/>
    <mergeCell ref="GVG28:GVK28"/>
    <mergeCell ref="GTE28:GTI28"/>
    <mergeCell ref="GTK28:GTO28"/>
    <mergeCell ref="GTQ28:GTU28"/>
    <mergeCell ref="GTW28:GUA28"/>
    <mergeCell ref="GUC28:GUG28"/>
    <mergeCell ref="GSA28:GSE28"/>
    <mergeCell ref="GSG28:GSK28"/>
    <mergeCell ref="GSM28:GSQ28"/>
    <mergeCell ref="GSS28:GSW28"/>
    <mergeCell ref="GSY28:GTC28"/>
    <mergeCell ref="GQW28:GRA28"/>
    <mergeCell ref="GRC28:GRG28"/>
    <mergeCell ref="GRI28:GRM28"/>
    <mergeCell ref="GRO28:GRS28"/>
    <mergeCell ref="GRU28:GRY28"/>
    <mergeCell ref="GPS28:GPW28"/>
    <mergeCell ref="GPY28:GQC28"/>
    <mergeCell ref="GQE28:GQI28"/>
    <mergeCell ref="GQK28:GQO28"/>
    <mergeCell ref="GQQ28:GQU28"/>
    <mergeCell ref="GOO28:GOS28"/>
    <mergeCell ref="GOU28:GOY28"/>
    <mergeCell ref="GPA28:GPE28"/>
    <mergeCell ref="GPG28:GPK28"/>
    <mergeCell ref="GPM28:GPQ28"/>
    <mergeCell ref="GNK28:GNO28"/>
    <mergeCell ref="GNQ28:GNU28"/>
    <mergeCell ref="GNW28:GOA28"/>
    <mergeCell ref="GOC28:GOG28"/>
    <mergeCell ref="GOI28:GOM28"/>
    <mergeCell ref="GMG28:GMK28"/>
    <mergeCell ref="GMM28:GMQ28"/>
    <mergeCell ref="GMS28:GMW28"/>
    <mergeCell ref="GMY28:GNC28"/>
    <mergeCell ref="GNE28:GNI28"/>
    <mergeCell ref="GLC28:GLG28"/>
    <mergeCell ref="GLI28:GLM28"/>
    <mergeCell ref="GLO28:GLS28"/>
    <mergeCell ref="GLU28:GLY28"/>
    <mergeCell ref="GMA28:GME28"/>
    <mergeCell ref="GJY28:GKC28"/>
    <mergeCell ref="GKE28:GKI28"/>
    <mergeCell ref="GKK28:GKO28"/>
    <mergeCell ref="GKQ28:GKU28"/>
    <mergeCell ref="GKW28:GLA28"/>
    <mergeCell ref="GIU28:GIY28"/>
    <mergeCell ref="GJA28:GJE28"/>
    <mergeCell ref="GJG28:GJK28"/>
    <mergeCell ref="GJM28:GJQ28"/>
    <mergeCell ref="GJS28:GJW28"/>
    <mergeCell ref="GHQ28:GHU28"/>
    <mergeCell ref="GHW28:GIA28"/>
    <mergeCell ref="GIC28:GIG28"/>
    <mergeCell ref="GII28:GIM28"/>
    <mergeCell ref="GIO28:GIS28"/>
    <mergeCell ref="GGM28:GGQ28"/>
    <mergeCell ref="GGS28:GGW28"/>
    <mergeCell ref="GGY28:GHC28"/>
    <mergeCell ref="GHE28:GHI28"/>
    <mergeCell ref="GHK28:GHO28"/>
    <mergeCell ref="GFI28:GFM28"/>
    <mergeCell ref="GFO28:GFS28"/>
    <mergeCell ref="GFU28:GFY28"/>
    <mergeCell ref="GGA28:GGE28"/>
    <mergeCell ref="GGG28:GGK28"/>
    <mergeCell ref="GEE28:GEI28"/>
    <mergeCell ref="GEK28:GEO28"/>
    <mergeCell ref="GEQ28:GEU28"/>
    <mergeCell ref="GEW28:GFA28"/>
    <mergeCell ref="GFC28:GFG28"/>
    <mergeCell ref="GDA28:GDE28"/>
    <mergeCell ref="GDG28:GDK28"/>
    <mergeCell ref="GDM28:GDQ28"/>
    <mergeCell ref="GDS28:GDW28"/>
    <mergeCell ref="GDY28:GEC28"/>
    <mergeCell ref="GBW28:GCA28"/>
    <mergeCell ref="GCC28:GCG28"/>
    <mergeCell ref="GCI28:GCM28"/>
    <mergeCell ref="GCO28:GCS28"/>
    <mergeCell ref="GCU28:GCY28"/>
    <mergeCell ref="GAS28:GAW28"/>
    <mergeCell ref="GAY28:GBC28"/>
    <mergeCell ref="GBE28:GBI28"/>
    <mergeCell ref="GBK28:GBO28"/>
    <mergeCell ref="GBQ28:GBU28"/>
    <mergeCell ref="FZO28:FZS28"/>
    <mergeCell ref="FZU28:FZY28"/>
    <mergeCell ref="GAA28:GAE28"/>
    <mergeCell ref="GAG28:GAK28"/>
    <mergeCell ref="GAM28:GAQ28"/>
    <mergeCell ref="FYK28:FYO28"/>
    <mergeCell ref="FYQ28:FYU28"/>
    <mergeCell ref="FYW28:FZA28"/>
    <mergeCell ref="FZC28:FZG28"/>
    <mergeCell ref="FZI28:FZM28"/>
    <mergeCell ref="FXG28:FXK28"/>
    <mergeCell ref="FXM28:FXQ28"/>
    <mergeCell ref="FXS28:FXW28"/>
    <mergeCell ref="FXY28:FYC28"/>
    <mergeCell ref="FYE28:FYI28"/>
    <mergeCell ref="FWC28:FWG28"/>
    <mergeCell ref="FWI28:FWM28"/>
    <mergeCell ref="FWO28:FWS28"/>
    <mergeCell ref="FWU28:FWY28"/>
    <mergeCell ref="FXA28:FXE28"/>
    <mergeCell ref="FUY28:FVC28"/>
    <mergeCell ref="FVE28:FVI28"/>
    <mergeCell ref="FVK28:FVO28"/>
    <mergeCell ref="FVQ28:FVU28"/>
    <mergeCell ref="FVW28:FWA28"/>
    <mergeCell ref="FTU28:FTY28"/>
    <mergeCell ref="FUA28:FUE28"/>
    <mergeCell ref="FUG28:FUK28"/>
    <mergeCell ref="FUM28:FUQ28"/>
    <mergeCell ref="FUS28:FUW28"/>
    <mergeCell ref="FSQ28:FSU28"/>
    <mergeCell ref="FSW28:FTA28"/>
    <mergeCell ref="FTC28:FTG28"/>
    <mergeCell ref="FTI28:FTM28"/>
    <mergeCell ref="FTO28:FTS28"/>
    <mergeCell ref="FRM28:FRQ28"/>
    <mergeCell ref="FRS28:FRW28"/>
    <mergeCell ref="FRY28:FSC28"/>
    <mergeCell ref="FSE28:FSI28"/>
    <mergeCell ref="FSK28:FSO28"/>
    <mergeCell ref="FQI28:FQM28"/>
    <mergeCell ref="FQO28:FQS28"/>
    <mergeCell ref="FQU28:FQY28"/>
    <mergeCell ref="FRA28:FRE28"/>
    <mergeCell ref="FRG28:FRK28"/>
    <mergeCell ref="FPE28:FPI28"/>
    <mergeCell ref="FPK28:FPO28"/>
    <mergeCell ref="FPQ28:FPU28"/>
    <mergeCell ref="FPW28:FQA28"/>
    <mergeCell ref="FQC28:FQG28"/>
    <mergeCell ref="FOA28:FOE28"/>
    <mergeCell ref="FOG28:FOK28"/>
    <mergeCell ref="FOM28:FOQ28"/>
    <mergeCell ref="FOS28:FOW28"/>
    <mergeCell ref="FOY28:FPC28"/>
    <mergeCell ref="FMW28:FNA28"/>
    <mergeCell ref="FNC28:FNG28"/>
    <mergeCell ref="FNI28:FNM28"/>
    <mergeCell ref="FNO28:FNS28"/>
    <mergeCell ref="FNU28:FNY28"/>
    <mergeCell ref="FLS28:FLW28"/>
    <mergeCell ref="FLY28:FMC28"/>
    <mergeCell ref="FME28:FMI28"/>
    <mergeCell ref="FMK28:FMO28"/>
    <mergeCell ref="FMQ28:FMU28"/>
    <mergeCell ref="FKO28:FKS28"/>
    <mergeCell ref="FKU28:FKY28"/>
    <mergeCell ref="FLA28:FLE28"/>
    <mergeCell ref="FLG28:FLK28"/>
    <mergeCell ref="FLM28:FLQ28"/>
    <mergeCell ref="FJK28:FJO28"/>
    <mergeCell ref="FJQ28:FJU28"/>
    <mergeCell ref="FJW28:FKA28"/>
    <mergeCell ref="FKC28:FKG28"/>
    <mergeCell ref="FKI28:FKM28"/>
    <mergeCell ref="FIG28:FIK28"/>
    <mergeCell ref="FIM28:FIQ28"/>
    <mergeCell ref="FIS28:FIW28"/>
    <mergeCell ref="FIY28:FJC28"/>
    <mergeCell ref="FJE28:FJI28"/>
    <mergeCell ref="FHC28:FHG28"/>
    <mergeCell ref="FHI28:FHM28"/>
    <mergeCell ref="FHO28:FHS28"/>
    <mergeCell ref="FHU28:FHY28"/>
    <mergeCell ref="FIA28:FIE28"/>
    <mergeCell ref="FFY28:FGC28"/>
    <mergeCell ref="FGE28:FGI28"/>
    <mergeCell ref="FGK28:FGO28"/>
    <mergeCell ref="FGQ28:FGU28"/>
    <mergeCell ref="FGW28:FHA28"/>
    <mergeCell ref="FEU28:FEY28"/>
    <mergeCell ref="FFA28:FFE28"/>
    <mergeCell ref="FFG28:FFK28"/>
    <mergeCell ref="FFM28:FFQ28"/>
    <mergeCell ref="FFS28:FFW28"/>
    <mergeCell ref="FDQ28:FDU28"/>
    <mergeCell ref="FDW28:FEA28"/>
    <mergeCell ref="FEC28:FEG28"/>
    <mergeCell ref="FEI28:FEM28"/>
    <mergeCell ref="FEO28:FES28"/>
    <mergeCell ref="FCM28:FCQ28"/>
    <mergeCell ref="FCS28:FCW28"/>
    <mergeCell ref="FCY28:FDC28"/>
    <mergeCell ref="FDE28:FDI28"/>
    <mergeCell ref="FDK28:FDO28"/>
    <mergeCell ref="FBI28:FBM28"/>
    <mergeCell ref="FBO28:FBS28"/>
    <mergeCell ref="FBU28:FBY28"/>
    <mergeCell ref="FCA28:FCE28"/>
    <mergeCell ref="FCG28:FCK28"/>
    <mergeCell ref="FAE28:FAI28"/>
    <mergeCell ref="FAK28:FAO28"/>
    <mergeCell ref="FAQ28:FAU28"/>
    <mergeCell ref="FAW28:FBA28"/>
    <mergeCell ref="FBC28:FBG28"/>
    <mergeCell ref="EZA28:EZE28"/>
    <mergeCell ref="EZG28:EZK28"/>
    <mergeCell ref="EZM28:EZQ28"/>
    <mergeCell ref="EZS28:EZW28"/>
    <mergeCell ref="EZY28:FAC28"/>
    <mergeCell ref="EXW28:EYA28"/>
    <mergeCell ref="EYC28:EYG28"/>
    <mergeCell ref="EYI28:EYM28"/>
    <mergeCell ref="EYO28:EYS28"/>
    <mergeCell ref="EYU28:EYY28"/>
    <mergeCell ref="EWS28:EWW28"/>
    <mergeCell ref="EWY28:EXC28"/>
    <mergeCell ref="EXE28:EXI28"/>
    <mergeCell ref="EXK28:EXO28"/>
    <mergeCell ref="EXQ28:EXU28"/>
    <mergeCell ref="EVO28:EVS28"/>
    <mergeCell ref="EVU28:EVY28"/>
    <mergeCell ref="EWA28:EWE28"/>
    <mergeCell ref="EWG28:EWK28"/>
    <mergeCell ref="EWM28:EWQ28"/>
    <mergeCell ref="EUK28:EUO28"/>
    <mergeCell ref="EUQ28:EUU28"/>
    <mergeCell ref="EUW28:EVA28"/>
    <mergeCell ref="EVC28:EVG28"/>
    <mergeCell ref="EVI28:EVM28"/>
    <mergeCell ref="ETG28:ETK28"/>
    <mergeCell ref="ETM28:ETQ28"/>
    <mergeCell ref="ETS28:ETW28"/>
    <mergeCell ref="ETY28:EUC28"/>
    <mergeCell ref="EUE28:EUI28"/>
    <mergeCell ref="ESC28:ESG28"/>
    <mergeCell ref="ESI28:ESM28"/>
    <mergeCell ref="ESO28:ESS28"/>
    <mergeCell ref="ESU28:ESY28"/>
    <mergeCell ref="ETA28:ETE28"/>
    <mergeCell ref="EQY28:ERC28"/>
    <mergeCell ref="ERE28:ERI28"/>
    <mergeCell ref="ERK28:ERO28"/>
    <mergeCell ref="ERQ28:ERU28"/>
    <mergeCell ref="ERW28:ESA28"/>
    <mergeCell ref="EPU28:EPY28"/>
    <mergeCell ref="EQA28:EQE28"/>
    <mergeCell ref="EQG28:EQK28"/>
    <mergeCell ref="EQM28:EQQ28"/>
    <mergeCell ref="EQS28:EQW28"/>
    <mergeCell ref="EOQ28:EOU28"/>
    <mergeCell ref="EOW28:EPA28"/>
    <mergeCell ref="EPC28:EPG28"/>
    <mergeCell ref="EPI28:EPM28"/>
    <mergeCell ref="EPO28:EPS28"/>
    <mergeCell ref="ENM28:ENQ28"/>
    <mergeCell ref="ENS28:ENW28"/>
    <mergeCell ref="ENY28:EOC28"/>
    <mergeCell ref="EOE28:EOI28"/>
    <mergeCell ref="EOK28:EOO28"/>
    <mergeCell ref="EMI28:EMM28"/>
    <mergeCell ref="EMO28:EMS28"/>
    <mergeCell ref="EMU28:EMY28"/>
    <mergeCell ref="ENA28:ENE28"/>
    <mergeCell ref="ENG28:ENK28"/>
    <mergeCell ref="ELE28:ELI28"/>
    <mergeCell ref="ELK28:ELO28"/>
    <mergeCell ref="ELQ28:ELU28"/>
    <mergeCell ref="ELW28:EMA28"/>
    <mergeCell ref="EMC28:EMG28"/>
    <mergeCell ref="EKA28:EKE28"/>
    <mergeCell ref="EKG28:EKK28"/>
    <mergeCell ref="EKM28:EKQ28"/>
    <mergeCell ref="EKS28:EKW28"/>
    <mergeCell ref="EKY28:ELC28"/>
    <mergeCell ref="EIW28:EJA28"/>
    <mergeCell ref="EJC28:EJG28"/>
    <mergeCell ref="EJI28:EJM28"/>
    <mergeCell ref="EJO28:EJS28"/>
    <mergeCell ref="EJU28:EJY28"/>
    <mergeCell ref="EHS28:EHW28"/>
    <mergeCell ref="EHY28:EIC28"/>
    <mergeCell ref="EIE28:EII28"/>
    <mergeCell ref="EIK28:EIO28"/>
    <mergeCell ref="EIQ28:EIU28"/>
    <mergeCell ref="EGO28:EGS28"/>
    <mergeCell ref="EGU28:EGY28"/>
    <mergeCell ref="EHA28:EHE28"/>
    <mergeCell ref="EHG28:EHK28"/>
    <mergeCell ref="EHM28:EHQ28"/>
    <mergeCell ref="EFK28:EFO28"/>
    <mergeCell ref="EFQ28:EFU28"/>
    <mergeCell ref="EFW28:EGA28"/>
    <mergeCell ref="EGC28:EGG28"/>
    <mergeCell ref="EGI28:EGM28"/>
    <mergeCell ref="EEG28:EEK28"/>
    <mergeCell ref="EEM28:EEQ28"/>
    <mergeCell ref="EES28:EEW28"/>
    <mergeCell ref="EEY28:EFC28"/>
    <mergeCell ref="EFE28:EFI28"/>
    <mergeCell ref="EDC28:EDG28"/>
    <mergeCell ref="EDI28:EDM28"/>
    <mergeCell ref="EDO28:EDS28"/>
    <mergeCell ref="EDU28:EDY28"/>
    <mergeCell ref="EEA28:EEE28"/>
    <mergeCell ref="EBY28:ECC28"/>
    <mergeCell ref="ECE28:ECI28"/>
    <mergeCell ref="ECK28:ECO28"/>
    <mergeCell ref="ECQ28:ECU28"/>
    <mergeCell ref="ECW28:EDA28"/>
    <mergeCell ref="EAU28:EAY28"/>
    <mergeCell ref="EBA28:EBE28"/>
    <mergeCell ref="EBG28:EBK28"/>
    <mergeCell ref="EBM28:EBQ28"/>
    <mergeCell ref="EBS28:EBW28"/>
    <mergeCell ref="DZQ28:DZU28"/>
    <mergeCell ref="DZW28:EAA28"/>
    <mergeCell ref="EAC28:EAG28"/>
    <mergeCell ref="EAI28:EAM28"/>
    <mergeCell ref="EAO28:EAS28"/>
    <mergeCell ref="DYM28:DYQ28"/>
    <mergeCell ref="DYS28:DYW28"/>
    <mergeCell ref="DYY28:DZC28"/>
    <mergeCell ref="DZE28:DZI28"/>
    <mergeCell ref="DZK28:DZO28"/>
    <mergeCell ref="DXI28:DXM28"/>
    <mergeCell ref="DXO28:DXS28"/>
    <mergeCell ref="DXU28:DXY28"/>
    <mergeCell ref="DYA28:DYE28"/>
    <mergeCell ref="DYG28:DYK28"/>
    <mergeCell ref="DWE28:DWI28"/>
    <mergeCell ref="DWK28:DWO28"/>
    <mergeCell ref="DWQ28:DWU28"/>
    <mergeCell ref="DWW28:DXA28"/>
    <mergeCell ref="DXC28:DXG28"/>
    <mergeCell ref="DVA28:DVE28"/>
    <mergeCell ref="DVG28:DVK28"/>
    <mergeCell ref="DVM28:DVQ28"/>
    <mergeCell ref="DVS28:DVW28"/>
    <mergeCell ref="DVY28:DWC28"/>
    <mergeCell ref="DTW28:DUA28"/>
    <mergeCell ref="DUC28:DUG28"/>
    <mergeCell ref="DUI28:DUM28"/>
    <mergeCell ref="DUO28:DUS28"/>
    <mergeCell ref="DUU28:DUY28"/>
    <mergeCell ref="DSS28:DSW28"/>
    <mergeCell ref="DSY28:DTC28"/>
    <mergeCell ref="DTE28:DTI28"/>
    <mergeCell ref="DTK28:DTO28"/>
    <mergeCell ref="DTQ28:DTU28"/>
    <mergeCell ref="DRO28:DRS28"/>
    <mergeCell ref="DRU28:DRY28"/>
    <mergeCell ref="DSA28:DSE28"/>
    <mergeCell ref="DSG28:DSK28"/>
    <mergeCell ref="DSM28:DSQ28"/>
    <mergeCell ref="DQK28:DQO28"/>
    <mergeCell ref="DQQ28:DQU28"/>
    <mergeCell ref="DQW28:DRA28"/>
    <mergeCell ref="DRC28:DRG28"/>
    <mergeCell ref="DRI28:DRM28"/>
    <mergeCell ref="DPG28:DPK28"/>
    <mergeCell ref="DPM28:DPQ28"/>
    <mergeCell ref="DPS28:DPW28"/>
    <mergeCell ref="DPY28:DQC28"/>
    <mergeCell ref="DQE28:DQI28"/>
    <mergeCell ref="DOC28:DOG28"/>
    <mergeCell ref="DOI28:DOM28"/>
    <mergeCell ref="DOO28:DOS28"/>
    <mergeCell ref="DOU28:DOY28"/>
    <mergeCell ref="DPA28:DPE28"/>
    <mergeCell ref="DMY28:DNC28"/>
    <mergeCell ref="DNE28:DNI28"/>
    <mergeCell ref="DNK28:DNO28"/>
    <mergeCell ref="DNQ28:DNU28"/>
    <mergeCell ref="DNW28:DOA28"/>
    <mergeCell ref="DLU28:DLY28"/>
    <mergeCell ref="DMA28:DME28"/>
    <mergeCell ref="DMG28:DMK28"/>
    <mergeCell ref="DMM28:DMQ28"/>
    <mergeCell ref="DMS28:DMW28"/>
    <mergeCell ref="DKQ28:DKU28"/>
    <mergeCell ref="DKW28:DLA28"/>
    <mergeCell ref="DLC28:DLG28"/>
    <mergeCell ref="DLI28:DLM28"/>
    <mergeCell ref="DLO28:DLS28"/>
    <mergeCell ref="DJM28:DJQ28"/>
    <mergeCell ref="DJS28:DJW28"/>
    <mergeCell ref="DJY28:DKC28"/>
    <mergeCell ref="DKE28:DKI28"/>
    <mergeCell ref="DKK28:DKO28"/>
    <mergeCell ref="DII28:DIM28"/>
    <mergeCell ref="DIO28:DIS28"/>
    <mergeCell ref="DIU28:DIY28"/>
    <mergeCell ref="DJA28:DJE28"/>
    <mergeCell ref="DJG28:DJK28"/>
    <mergeCell ref="DHE28:DHI28"/>
    <mergeCell ref="DHK28:DHO28"/>
    <mergeCell ref="DHQ28:DHU28"/>
    <mergeCell ref="DHW28:DIA28"/>
    <mergeCell ref="DIC28:DIG28"/>
    <mergeCell ref="DGA28:DGE28"/>
    <mergeCell ref="DGG28:DGK28"/>
    <mergeCell ref="DGM28:DGQ28"/>
    <mergeCell ref="DGS28:DGW28"/>
    <mergeCell ref="DGY28:DHC28"/>
    <mergeCell ref="DEW28:DFA28"/>
    <mergeCell ref="DFC28:DFG28"/>
    <mergeCell ref="DFI28:DFM28"/>
    <mergeCell ref="DFO28:DFS28"/>
    <mergeCell ref="DFU28:DFY28"/>
    <mergeCell ref="DDS28:DDW28"/>
    <mergeCell ref="DDY28:DEC28"/>
    <mergeCell ref="DEE28:DEI28"/>
    <mergeCell ref="DEK28:DEO28"/>
    <mergeCell ref="DEQ28:DEU28"/>
    <mergeCell ref="DCO28:DCS28"/>
    <mergeCell ref="DCU28:DCY28"/>
    <mergeCell ref="DDA28:DDE28"/>
    <mergeCell ref="DDG28:DDK28"/>
    <mergeCell ref="DDM28:DDQ28"/>
    <mergeCell ref="DBK28:DBO28"/>
    <mergeCell ref="DBQ28:DBU28"/>
    <mergeCell ref="DBW28:DCA28"/>
    <mergeCell ref="DCC28:DCG28"/>
    <mergeCell ref="DCI28:DCM28"/>
    <mergeCell ref="DAG28:DAK28"/>
    <mergeCell ref="DAM28:DAQ28"/>
    <mergeCell ref="DAS28:DAW28"/>
    <mergeCell ref="DAY28:DBC28"/>
    <mergeCell ref="DBE28:DBI28"/>
    <mergeCell ref="CZC28:CZG28"/>
    <mergeCell ref="CZI28:CZM28"/>
    <mergeCell ref="CZO28:CZS28"/>
    <mergeCell ref="CZU28:CZY28"/>
    <mergeCell ref="DAA28:DAE28"/>
    <mergeCell ref="CXY28:CYC28"/>
    <mergeCell ref="CYE28:CYI28"/>
    <mergeCell ref="CYK28:CYO28"/>
    <mergeCell ref="CYQ28:CYU28"/>
    <mergeCell ref="CYW28:CZA28"/>
    <mergeCell ref="CWU28:CWY28"/>
    <mergeCell ref="CXA28:CXE28"/>
    <mergeCell ref="CXG28:CXK28"/>
    <mergeCell ref="CXM28:CXQ28"/>
    <mergeCell ref="CXS28:CXW28"/>
    <mergeCell ref="CVQ28:CVU28"/>
    <mergeCell ref="CVW28:CWA28"/>
    <mergeCell ref="CWC28:CWG28"/>
    <mergeCell ref="CWI28:CWM28"/>
    <mergeCell ref="CWO28:CWS28"/>
    <mergeCell ref="CUM28:CUQ28"/>
    <mergeCell ref="CUS28:CUW28"/>
    <mergeCell ref="CUY28:CVC28"/>
    <mergeCell ref="CVE28:CVI28"/>
    <mergeCell ref="CVK28:CVO28"/>
    <mergeCell ref="CTI28:CTM28"/>
    <mergeCell ref="CTO28:CTS28"/>
    <mergeCell ref="CTU28:CTY28"/>
    <mergeCell ref="CUA28:CUE28"/>
    <mergeCell ref="CUG28:CUK28"/>
    <mergeCell ref="CSE28:CSI28"/>
    <mergeCell ref="CSK28:CSO28"/>
    <mergeCell ref="CSQ28:CSU28"/>
    <mergeCell ref="CSW28:CTA28"/>
    <mergeCell ref="CTC28:CTG28"/>
    <mergeCell ref="CRA28:CRE28"/>
    <mergeCell ref="CRG28:CRK28"/>
    <mergeCell ref="CRM28:CRQ28"/>
    <mergeCell ref="CRS28:CRW28"/>
    <mergeCell ref="CRY28:CSC28"/>
    <mergeCell ref="CPW28:CQA28"/>
    <mergeCell ref="CQC28:CQG28"/>
    <mergeCell ref="CQI28:CQM28"/>
    <mergeCell ref="CQO28:CQS28"/>
    <mergeCell ref="CQU28:CQY28"/>
    <mergeCell ref="COS28:COW28"/>
    <mergeCell ref="COY28:CPC28"/>
    <mergeCell ref="CPE28:CPI28"/>
    <mergeCell ref="CPK28:CPO28"/>
    <mergeCell ref="CPQ28:CPU28"/>
    <mergeCell ref="CNO28:CNS28"/>
    <mergeCell ref="CNU28:CNY28"/>
    <mergeCell ref="COA28:COE28"/>
    <mergeCell ref="COG28:COK28"/>
    <mergeCell ref="COM28:COQ28"/>
    <mergeCell ref="CMK28:CMO28"/>
    <mergeCell ref="CMQ28:CMU28"/>
    <mergeCell ref="CMW28:CNA28"/>
    <mergeCell ref="CNC28:CNG28"/>
    <mergeCell ref="CNI28:CNM28"/>
    <mergeCell ref="CLG28:CLK28"/>
    <mergeCell ref="CLM28:CLQ28"/>
    <mergeCell ref="CLS28:CLW28"/>
    <mergeCell ref="CLY28:CMC28"/>
    <mergeCell ref="CME28:CMI28"/>
    <mergeCell ref="CKC28:CKG28"/>
    <mergeCell ref="CKI28:CKM28"/>
    <mergeCell ref="CKO28:CKS28"/>
    <mergeCell ref="CKU28:CKY28"/>
    <mergeCell ref="CLA28:CLE28"/>
    <mergeCell ref="CIY28:CJC28"/>
    <mergeCell ref="CJE28:CJI28"/>
    <mergeCell ref="CJK28:CJO28"/>
    <mergeCell ref="CJQ28:CJU28"/>
    <mergeCell ref="CJW28:CKA28"/>
    <mergeCell ref="CHU28:CHY28"/>
    <mergeCell ref="CIA28:CIE28"/>
    <mergeCell ref="CIG28:CIK28"/>
    <mergeCell ref="CIM28:CIQ28"/>
    <mergeCell ref="CIS28:CIW28"/>
    <mergeCell ref="CGQ28:CGU28"/>
    <mergeCell ref="CGW28:CHA28"/>
    <mergeCell ref="CHC28:CHG28"/>
    <mergeCell ref="CHI28:CHM28"/>
    <mergeCell ref="CHO28:CHS28"/>
    <mergeCell ref="CFM28:CFQ28"/>
    <mergeCell ref="CFS28:CFW28"/>
    <mergeCell ref="CFY28:CGC28"/>
    <mergeCell ref="CGE28:CGI28"/>
    <mergeCell ref="CGK28:CGO28"/>
    <mergeCell ref="CEI28:CEM28"/>
    <mergeCell ref="CEO28:CES28"/>
    <mergeCell ref="CEU28:CEY28"/>
    <mergeCell ref="CFA28:CFE28"/>
    <mergeCell ref="CFG28:CFK28"/>
    <mergeCell ref="CDE28:CDI28"/>
    <mergeCell ref="CDK28:CDO28"/>
    <mergeCell ref="CDQ28:CDU28"/>
    <mergeCell ref="CDW28:CEA28"/>
    <mergeCell ref="CEC28:CEG28"/>
    <mergeCell ref="CCA28:CCE28"/>
    <mergeCell ref="CCG28:CCK28"/>
    <mergeCell ref="CCM28:CCQ28"/>
    <mergeCell ref="CCS28:CCW28"/>
    <mergeCell ref="CCY28:CDC28"/>
    <mergeCell ref="CAW28:CBA28"/>
    <mergeCell ref="CBC28:CBG28"/>
    <mergeCell ref="CBI28:CBM28"/>
    <mergeCell ref="CBO28:CBS28"/>
    <mergeCell ref="CBU28:CBY28"/>
    <mergeCell ref="BZS28:BZW28"/>
    <mergeCell ref="BZY28:CAC28"/>
    <mergeCell ref="CAE28:CAI28"/>
    <mergeCell ref="CAK28:CAO28"/>
    <mergeCell ref="CAQ28:CAU28"/>
    <mergeCell ref="BYO28:BYS28"/>
    <mergeCell ref="BYU28:BYY28"/>
    <mergeCell ref="BZA28:BZE28"/>
    <mergeCell ref="BZG28:BZK28"/>
    <mergeCell ref="BZM28:BZQ28"/>
    <mergeCell ref="BXK28:BXO28"/>
    <mergeCell ref="BXQ28:BXU28"/>
    <mergeCell ref="BXW28:BYA28"/>
    <mergeCell ref="BYC28:BYG28"/>
    <mergeCell ref="BYI28:BYM28"/>
    <mergeCell ref="BWG28:BWK28"/>
    <mergeCell ref="BWM28:BWQ28"/>
    <mergeCell ref="BWS28:BWW28"/>
    <mergeCell ref="BWY28:BXC28"/>
    <mergeCell ref="BXE28:BXI28"/>
    <mergeCell ref="BVC28:BVG28"/>
    <mergeCell ref="BVI28:BVM28"/>
    <mergeCell ref="BVO28:BVS28"/>
    <mergeCell ref="BVU28:BVY28"/>
    <mergeCell ref="BWA28:BWE28"/>
    <mergeCell ref="BTY28:BUC28"/>
    <mergeCell ref="BUE28:BUI28"/>
    <mergeCell ref="BUK28:BUO28"/>
    <mergeCell ref="BUQ28:BUU28"/>
    <mergeCell ref="BUW28:BVA28"/>
    <mergeCell ref="BSU28:BSY28"/>
    <mergeCell ref="BTA28:BTE28"/>
    <mergeCell ref="BTG28:BTK28"/>
    <mergeCell ref="BTM28:BTQ28"/>
    <mergeCell ref="BTS28:BTW28"/>
    <mergeCell ref="BRQ28:BRU28"/>
    <mergeCell ref="BRW28:BSA28"/>
    <mergeCell ref="BSC28:BSG28"/>
    <mergeCell ref="BSI28:BSM28"/>
    <mergeCell ref="BSO28:BSS28"/>
    <mergeCell ref="BQM28:BQQ28"/>
    <mergeCell ref="BQS28:BQW28"/>
    <mergeCell ref="BQY28:BRC28"/>
    <mergeCell ref="BRE28:BRI28"/>
    <mergeCell ref="BRK28:BRO28"/>
    <mergeCell ref="BPI28:BPM28"/>
    <mergeCell ref="BPO28:BPS28"/>
    <mergeCell ref="BPU28:BPY28"/>
    <mergeCell ref="BQA28:BQE28"/>
    <mergeCell ref="BQG28:BQK28"/>
    <mergeCell ref="BOE28:BOI28"/>
    <mergeCell ref="BOK28:BOO28"/>
    <mergeCell ref="BOQ28:BOU28"/>
    <mergeCell ref="BOW28:BPA28"/>
    <mergeCell ref="BPC28:BPG28"/>
    <mergeCell ref="BNA28:BNE28"/>
    <mergeCell ref="BNG28:BNK28"/>
    <mergeCell ref="BNM28:BNQ28"/>
    <mergeCell ref="BNS28:BNW28"/>
    <mergeCell ref="BNY28:BOC28"/>
    <mergeCell ref="BLW28:BMA28"/>
    <mergeCell ref="BMC28:BMG28"/>
    <mergeCell ref="BMI28:BMM28"/>
    <mergeCell ref="BMO28:BMS28"/>
    <mergeCell ref="BMU28:BMY28"/>
    <mergeCell ref="BKS28:BKW28"/>
    <mergeCell ref="BKY28:BLC28"/>
    <mergeCell ref="BLE28:BLI28"/>
    <mergeCell ref="BLK28:BLO28"/>
    <mergeCell ref="BLQ28:BLU28"/>
    <mergeCell ref="BJO28:BJS28"/>
    <mergeCell ref="BJU28:BJY28"/>
    <mergeCell ref="BKA28:BKE28"/>
    <mergeCell ref="BKG28:BKK28"/>
    <mergeCell ref="BKM28:BKQ28"/>
    <mergeCell ref="BIK28:BIO28"/>
    <mergeCell ref="BIQ28:BIU28"/>
    <mergeCell ref="BIW28:BJA28"/>
    <mergeCell ref="BJC28:BJG28"/>
    <mergeCell ref="BJI28:BJM28"/>
    <mergeCell ref="BHG28:BHK28"/>
    <mergeCell ref="BHM28:BHQ28"/>
    <mergeCell ref="BHS28:BHW28"/>
    <mergeCell ref="BHY28:BIC28"/>
    <mergeCell ref="BIE28:BII28"/>
    <mergeCell ref="BGC28:BGG28"/>
    <mergeCell ref="BGI28:BGM28"/>
    <mergeCell ref="BGO28:BGS28"/>
    <mergeCell ref="BGU28:BGY28"/>
    <mergeCell ref="BHA28:BHE28"/>
    <mergeCell ref="BEY28:BFC28"/>
    <mergeCell ref="BFE28:BFI28"/>
    <mergeCell ref="BFK28:BFO28"/>
    <mergeCell ref="BFQ28:BFU28"/>
    <mergeCell ref="BFW28:BGA28"/>
    <mergeCell ref="BDU28:BDY28"/>
    <mergeCell ref="BEA28:BEE28"/>
    <mergeCell ref="BEG28:BEK28"/>
    <mergeCell ref="BEM28:BEQ28"/>
    <mergeCell ref="BES28:BEW28"/>
    <mergeCell ref="BCQ28:BCU28"/>
    <mergeCell ref="BCW28:BDA28"/>
    <mergeCell ref="BDC28:BDG28"/>
    <mergeCell ref="BDI28:BDM28"/>
    <mergeCell ref="BDO28:BDS28"/>
    <mergeCell ref="BBM28:BBQ28"/>
    <mergeCell ref="BBS28:BBW28"/>
    <mergeCell ref="BBY28:BCC28"/>
    <mergeCell ref="BCE28:BCI28"/>
    <mergeCell ref="BCK28:BCO28"/>
    <mergeCell ref="BAI28:BAM28"/>
    <mergeCell ref="BAO28:BAS28"/>
    <mergeCell ref="BAU28:BAY28"/>
    <mergeCell ref="BBA28:BBE28"/>
    <mergeCell ref="BBG28:BBK28"/>
    <mergeCell ref="AZE28:AZI28"/>
    <mergeCell ref="AZK28:AZO28"/>
    <mergeCell ref="AZQ28:AZU28"/>
    <mergeCell ref="AZW28:BAA28"/>
    <mergeCell ref="BAC28:BAG28"/>
    <mergeCell ref="AYA28:AYE28"/>
    <mergeCell ref="AYG28:AYK28"/>
    <mergeCell ref="AYM28:AYQ28"/>
    <mergeCell ref="AYS28:AYW28"/>
    <mergeCell ref="AYY28:AZC28"/>
    <mergeCell ref="AWW28:AXA28"/>
    <mergeCell ref="AXC28:AXG28"/>
    <mergeCell ref="AXI28:AXM28"/>
    <mergeCell ref="AXO28:AXS28"/>
    <mergeCell ref="AXU28:AXY28"/>
    <mergeCell ref="AVS28:AVW28"/>
    <mergeCell ref="AVY28:AWC28"/>
    <mergeCell ref="AWE28:AWI28"/>
    <mergeCell ref="AWK28:AWO28"/>
    <mergeCell ref="AWQ28:AWU28"/>
    <mergeCell ref="AUO28:AUS28"/>
    <mergeCell ref="AUU28:AUY28"/>
    <mergeCell ref="AVA28:AVE28"/>
    <mergeCell ref="AVG28:AVK28"/>
    <mergeCell ref="AVM28:AVQ28"/>
    <mergeCell ref="ATK28:ATO28"/>
    <mergeCell ref="ATQ28:ATU28"/>
    <mergeCell ref="ATW28:AUA28"/>
    <mergeCell ref="AUC28:AUG28"/>
    <mergeCell ref="AUI28:AUM28"/>
    <mergeCell ref="ASG28:ASK28"/>
    <mergeCell ref="ASM28:ASQ28"/>
    <mergeCell ref="ASS28:ASW28"/>
    <mergeCell ref="ASY28:ATC28"/>
    <mergeCell ref="ATE28:ATI28"/>
    <mergeCell ref="ARC28:ARG28"/>
    <mergeCell ref="ARI28:ARM28"/>
    <mergeCell ref="ARO28:ARS28"/>
    <mergeCell ref="ARU28:ARY28"/>
    <mergeCell ref="ASA28:ASE28"/>
    <mergeCell ref="APY28:AQC28"/>
    <mergeCell ref="AQE28:AQI28"/>
    <mergeCell ref="AQK28:AQO28"/>
    <mergeCell ref="AQQ28:AQU28"/>
    <mergeCell ref="AQW28:ARA28"/>
    <mergeCell ref="AOU28:AOY28"/>
    <mergeCell ref="APA28:APE28"/>
    <mergeCell ref="APG28:APK28"/>
    <mergeCell ref="APM28:APQ28"/>
    <mergeCell ref="APS28:APW28"/>
    <mergeCell ref="ANQ28:ANU28"/>
    <mergeCell ref="ANW28:AOA28"/>
    <mergeCell ref="AOC28:AOG28"/>
    <mergeCell ref="AOI28:AOM28"/>
    <mergeCell ref="AOO28:AOS28"/>
    <mergeCell ref="AMM28:AMQ28"/>
    <mergeCell ref="AMS28:AMW28"/>
    <mergeCell ref="AMY28:ANC28"/>
    <mergeCell ref="ANE28:ANI28"/>
    <mergeCell ref="ANK28:ANO28"/>
    <mergeCell ref="ALI28:ALM28"/>
    <mergeCell ref="ALO28:ALS28"/>
    <mergeCell ref="ALU28:ALY28"/>
    <mergeCell ref="AMA28:AME28"/>
    <mergeCell ref="AMG28:AMK28"/>
    <mergeCell ref="AKE28:AKI28"/>
    <mergeCell ref="AKK28:AKO28"/>
    <mergeCell ref="AKQ28:AKU28"/>
    <mergeCell ref="AKW28:ALA28"/>
    <mergeCell ref="ALC28:ALG28"/>
    <mergeCell ref="AJA28:AJE28"/>
    <mergeCell ref="AJG28:AJK28"/>
    <mergeCell ref="AJM28:AJQ28"/>
    <mergeCell ref="AJS28:AJW28"/>
    <mergeCell ref="AJY28:AKC28"/>
    <mergeCell ref="AHW28:AIA28"/>
    <mergeCell ref="AIC28:AIG28"/>
    <mergeCell ref="AII28:AIM28"/>
    <mergeCell ref="AIO28:AIS28"/>
    <mergeCell ref="AIU28:AIY28"/>
    <mergeCell ref="AGS28:AGW28"/>
    <mergeCell ref="AGY28:AHC28"/>
    <mergeCell ref="AHE28:AHI28"/>
    <mergeCell ref="AHK28:AHO28"/>
    <mergeCell ref="AHQ28:AHU28"/>
    <mergeCell ref="AFO28:AFS28"/>
    <mergeCell ref="AFU28:AFY28"/>
    <mergeCell ref="AGA28:AGE28"/>
    <mergeCell ref="AGG28:AGK28"/>
    <mergeCell ref="AGM28:AGQ28"/>
    <mergeCell ref="AEK28:AEO28"/>
    <mergeCell ref="AEQ28:AEU28"/>
    <mergeCell ref="AEW28:AFA28"/>
    <mergeCell ref="AFC28:AFG28"/>
    <mergeCell ref="AFI28:AFM28"/>
    <mergeCell ref="ADG28:ADK28"/>
    <mergeCell ref="ADM28:ADQ28"/>
    <mergeCell ref="ADS28:ADW28"/>
    <mergeCell ref="ADY28:AEC28"/>
    <mergeCell ref="AEE28:AEI28"/>
    <mergeCell ref="ACC28:ACG28"/>
    <mergeCell ref="ACI28:ACM28"/>
    <mergeCell ref="ACO28:ACS28"/>
    <mergeCell ref="ACU28:ACY28"/>
    <mergeCell ref="ADA28:ADE28"/>
    <mergeCell ref="AAY28:ABC28"/>
    <mergeCell ref="ABE28:ABI28"/>
    <mergeCell ref="ABK28:ABO28"/>
    <mergeCell ref="ABQ28:ABU28"/>
    <mergeCell ref="ABW28:ACA28"/>
    <mergeCell ref="ZU28:ZY28"/>
    <mergeCell ref="AAA28:AAE28"/>
    <mergeCell ref="AAG28:AAK28"/>
    <mergeCell ref="AAM28:AAQ28"/>
    <mergeCell ref="AAS28:AAW28"/>
    <mergeCell ref="YQ28:YU28"/>
    <mergeCell ref="YW28:ZA28"/>
    <mergeCell ref="ZC28:ZG28"/>
    <mergeCell ref="ZI28:ZM28"/>
    <mergeCell ref="ZO28:ZS28"/>
    <mergeCell ref="XM28:XQ28"/>
    <mergeCell ref="XS28:XW28"/>
    <mergeCell ref="XY28:YC28"/>
    <mergeCell ref="YE28:YI28"/>
    <mergeCell ref="YK28:YO28"/>
    <mergeCell ref="WI28:WM28"/>
    <mergeCell ref="WO28:WS28"/>
    <mergeCell ref="WU28:WY28"/>
    <mergeCell ref="XA28:XE28"/>
    <mergeCell ref="XG28:XK28"/>
    <mergeCell ref="VE28:VI28"/>
    <mergeCell ref="VK28:VO28"/>
    <mergeCell ref="VQ28:VU28"/>
    <mergeCell ref="VW28:WA28"/>
    <mergeCell ref="WC28:WG28"/>
    <mergeCell ref="UA28:UE28"/>
    <mergeCell ref="UG28:UK28"/>
    <mergeCell ref="UM28:UQ28"/>
    <mergeCell ref="US28:UW28"/>
    <mergeCell ref="UY28:VC28"/>
    <mergeCell ref="SW28:TA28"/>
    <mergeCell ref="TC28:TG28"/>
    <mergeCell ref="TI28:TM28"/>
    <mergeCell ref="TO28:TS28"/>
    <mergeCell ref="TU28:TY28"/>
    <mergeCell ref="RS28:RW28"/>
    <mergeCell ref="RY28:SC28"/>
    <mergeCell ref="SE28:SI28"/>
    <mergeCell ref="SK28:SO28"/>
    <mergeCell ref="SQ28:SU28"/>
    <mergeCell ref="QO28:QS28"/>
    <mergeCell ref="QU28:QY28"/>
    <mergeCell ref="RA28:RE28"/>
    <mergeCell ref="RG28:RK28"/>
    <mergeCell ref="RM28:RQ28"/>
    <mergeCell ref="PK28:PO28"/>
    <mergeCell ref="PQ28:PU28"/>
    <mergeCell ref="PW28:QA28"/>
    <mergeCell ref="QC28:QG28"/>
    <mergeCell ref="QI28:QM28"/>
    <mergeCell ref="OG28:OK28"/>
    <mergeCell ref="OM28:OQ28"/>
    <mergeCell ref="OS28:OW28"/>
    <mergeCell ref="OY28:PC28"/>
    <mergeCell ref="PE28:PI28"/>
    <mergeCell ref="NC28:NG28"/>
    <mergeCell ref="NI28:NM28"/>
    <mergeCell ref="NO28:NS28"/>
    <mergeCell ref="NU28:NY28"/>
    <mergeCell ref="OA28:OE28"/>
    <mergeCell ref="LY28:MC28"/>
    <mergeCell ref="ME28:MI28"/>
    <mergeCell ref="MK28:MO28"/>
    <mergeCell ref="MQ28:MU28"/>
    <mergeCell ref="MW28:NA28"/>
    <mergeCell ref="KU28:KY28"/>
    <mergeCell ref="LA28:LE28"/>
    <mergeCell ref="LG28:LK28"/>
    <mergeCell ref="LM28:LQ28"/>
    <mergeCell ref="LS28:LW28"/>
    <mergeCell ref="JW28:KA28"/>
    <mergeCell ref="KC28:KG28"/>
    <mergeCell ref="KI28:KM28"/>
    <mergeCell ref="KO28:KS28"/>
    <mergeCell ref="IM28:IQ28"/>
    <mergeCell ref="IS28:IW28"/>
    <mergeCell ref="IY28:JC28"/>
    <mergeCell ref="JE28:JI28"/>
    <mergeCell ref="JK28:JO28"/>
    <mergeCell ref="HO28:HS28"/>
    <mergeCell ref="HU28:HY28"/>
    <mergeCell ref="IA28:IE28"/>
    <mergeCell ref="IG28:IK28"/>
    <mergeCell ref="GE28:GI28"/>
    <mergeCell ref="GK28:GO28"/>
    <mergeCell ref="GQ28:GU28"/>
    <mergeCell ref="GW28:HA28"/>
    <mergeCell ref="HC28:HG28"/>
    <mergeCell ref="FG28:FK28"/>
    <mergeCell ref="FM28:FQ28"/>
    <mergeCell ref="FS28:FW28"/>
    <mergeCell ref="FY28:GC28"/>
    <mergeCell ref="DW28:EA28"/>
    <mergeCell ref="EC28:EG28"/>
    <mergeCell ref="EI28:EM28"/>
    <mergeCell ref="EO28:ES28"/>
    <mergeCell ref="EU28:EY28"/>
    <mergeCell ref="DK28:DO28"/>
    <mergeCell ref="DQ28:DU28"/>
    <mergeCell ref="BO28:BS28"/>
    <mergeCell ref="BU28:BY28"/>
    <mergeCell ref="CA28:CE28"/>
    <mergeCell ref="CG28:CK28"/>
    <mergeCell ref="CM28:CQ28"/>
    <mergeCell ref="JQ28:JU28"/>
    <mergeCell ref="AK28:AO28"/>
    <mergeCell ref="AQ28:AU28"/>
    <mergeCell ref="AW28:BA28"/>
    <mergeCell ref="BC28:BG28"/>
    <mergeCell ref="BI28:BM28"/>
    <mergeCell ref="M28:Q28"/>
    <mergeCell ref="S28:W28"/>
    <mergeCell ref="Y28:AC28"/>
    <mergeCell ref="AE28:AI28"/>
    <mergeCell ref="HI28:HM28"/>
    <mergeCell ref="B117:E117"/>
    <mergeCell ref="B131:E131"/>
    <mergeCell ref="A151:E151"/>
    <mergeCell ref="B428:F428"/>
    <mergeCell ref="A253:E253"/>
    <mergeCell ref="A274:E274"/>
    <mergeCell ref="A330:E330"/>
    <mergeCell ref="B153:E153"/>
    <mergeCell ref="A226:E226"/>
    <mergeCell ref="B244:E244"/>
    <mergeCell ref="A242:E242"/>
    <mergeCell ref="A177:E177"/>
    <mergeCell ref="B29:D29"/>
    <mergeCell ref="CS28:CW28"/>
    <mergeCell ref="CY28:DC28"/>
    <mergeCell ref="DE28:DI28"/>
    <mergeCell ref="A129:E129"/>
    <mergeCell ref="A115:E115"/>
    <mergeCell ref="A113:E113"/>
    <mergeCell ref="A101:E101"/>
    <mergeCell ref="A65:E65"/>
    <mergeCell ref="FA28:FE28"/>
    <mergeCell ref="A230:E230"/>
    <mergeCell ref="A240:E240"/>
    <mergeCell ref="A538:B538"/>
    <mergeCell ref="C538:F538"/>
    <mergeCell ref="A426:E426"/>
    <mergeCell ref="A521:B521"/>
    <mergeCell ref="C521:F521"/>
    <mergeCell ref="D518:E518"/>
    <mergeCell ref="D516:E516"/>
    <mergeCell ref="D517:E517"/>
    <mergeCell ref="A455:E455"/>
    <mergeCell ref="A445:E445"/>
    <mergeCell ref="A499:E499"/>
    <mergeCell ref="B500:E500"/>
    <mergeCell ref="A513:E513"/>
    <mergeCell ref="A514:E514"/>
    <mergeCell ref="A497:E497"/>
    <mergeCell ref="A508:E508"/>
    <mergeCell ref="A294:E294"/>
    <mergeCell ref="A467:E467"/>
    <mergeCell ref="A472:E472"/>
    <mergeCell ref="A479:E479"/>
    <mergeCell ref="A303:E303"/>
    <mergeCell ref="A315:E315"/>
    <mergeCell ref="A336:E336"/>
    <mergeCell ref="A355:E355"/>
    <mergeCell ref="A361:E361"/>
    <mergeCell ref="A372:E372"/>
    <mergeCell ref="A377:E377"/>
    <mergeCell ref="A403:E403"/>
    <mergeCell ref="A417:E417"/>
    <mergeCell ref="A424:E424"/>
    <mergeCell ref="A1:F1"/>
    <mergeCell ref="A2:F2"/>
    <mergeCell ref="A3:F3"/>
    <mergeCell ref="A4:F4"/>
    <mergeCell ref="A5:F5"/>
    <mergeCell ref="A9:F9"/>
    <mergeCell ref="A13:F13"/>
    <mergeCell ref="A6:F6"/>
    <mergeCell ref="A7:F7"/>
    <mergeCell ref="A11:F11"/>
    <mergeCell ref="A12:F12"/>
    <mergeCell ref="A15:F15"/>
    <mergeCell ref="A87:E87"/>
    <mergeCell ref="A95:E95"/>
    <mergeCell ref="A17:A18"/>
    <mergeCell ref="B17:B18"/>
    <mergeCell ref="C17:C18"/>
    <mergeCell ref="D17:D18"/>
    <mergeCell ref="F17:F18"/>
    <mergeCell ref="B19:D19"/>
    <mergeCell ref="A72:E72"/>
    <mergeCell ref="A38:E38"/>
    <mergeCell ref="B40:D40"/>
    <mergeCell ref="A52:E52"/>
    <mergeCell ref="A28:E28"/>
  </mergeCells>
  <printOptions horizontalCentered="1"/>
  <pageMargins left="0.23622047244094491" right="0.23622047244094491" top="0.19685039370078741" bottom="0.43307086614173229" header="0.31496062992125984" footer="0.31496062992125984"/>
  <pageSetup paperSize="9" scale="58" orientation="portrait" r:id="rId1"/>
  <headerFooter>
    <oddFooter>Page &amp;P</oddFooter>
  </headerFooter>
  <rowBreaks count="3" manualBreakCount="3">
    <brk id="318" max="7" man="1"/>
    <brk id="479" max="7" man="1"/>
    <brk id="547" max="7" man="1"/>
  </rowBreaks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opLeftCell="A7" workbookViewId="0">
      <selection activeCell="A20" sqref="A20:F20"/>
    </sheetView>
  </sheetViews>
  <sheetFormatPr baseColWidth="10" defaultColWidth="11.42578125" defaultRowHeight="15"/>
  <cols>
    <col min="1" max="1" width="26.140625" customWidth="1"/>
    <col min="2" max="2" width="11.42578125" hidden="1" customWidth="1"/>
    <col min="3" max="3" width="23.42578125" customWidth="1"/>
    <col min="4" max="4" width="25.5703125" hidden="1" customWidth="1"/>
    <col min="5" max="5" width="24.28515625" customWidth="1"/>
    <col min="6" max="6" width="23.7109375" customWidth="1"/>
    <col min="8" max="8" width="22" customWidth="1"/>
  </cols>
  <sheetData>
    <row r="1" spans="1:9" ht="18.75">
      <c r="A1" s="544" t="s">
        <v>1121</v>
      </c>
      <c r="B1" s="544"/>
      <c r="C1" s="544"/>
      <c r="D1" s="544"/>
      <c r="E1" s="544"/>
      <c r="F1" s="544"/>
    </row>
    <row r="2" spans="1:9" ht="15.75">
      <c r="A2" s="43"/>
      <c r="B2" s="44"/>
      <c r="C2" s="44"/>
      <c r="D2" s="44"/>
      <c r="E2" s="44"/>
      <c r="F2" s="44"/>
    </row>
    <row r="3" spans="1:9" ht="15.75">
      <c r="A3" s="43"/>
      <c r="B3" s="44"/>
      <c r="C3" s="44"/>
      <c r="D3" s="44"/>
      <c r="E3" s="44"/>
      <c r="F3" s="44"/>
    </row>
    <row r="4" spans="1:9" ht="15.75">
      <c r="A4" s="43"/>
      <c r="B4" s="44"/>
      <c r="C4" s="44"/>
      <c r="D4" s="44"/>
      <c r="E4" s="44"/>
      <c r="F4" s="44"/>
    </row>
    <row r="5" spans="1:9" ht="15.75">
      <c r="A5" s="545" t="s">
        <v>32</v>
      </c>
      <c r="B5" s="545"/>
      <c r="C5" s="545"/>
      <c r="D5" s="545"/>
      <c r="E5" s="545"/>
      <c r="F5" s="545"/>
    </row>
    <row r="6" spans="1:9" ht="15.75">
      <c r="A6" s="45"/>
      <c r="B6" s="45"/>
      <c r="C6" s="45"/>
      <c r="D6" s="45"/>
      <c r="E6" s="45"/>
      <c r="F6" s="45"/>
    </row>
    <row r="7" spans="1:9" ht="15.75">
      <c r="A7" s="546" t="s">
        <v>74</v>
      </c>
      <c r="B7" s="546"/>
      <c r="C7" s="546"/>
      <c r="D7" s="546"/>
      <c r="E7" s="546"/>
      <c r="F7" s="546"/>
    </row>
    <row r="8" spans="1:9" ht="15.75">
      <c r="A8" s="547" t="s">
        <v>75</v>
      </c>
      <c r="B8" s="547"/>
      <c r="C8" s="547"/>
      <c r="D8" s="547"/>
      <c r="E8" s="547"/>
      <c r="F8" s="547"/>
    </row>
    <row r="9" spans="1:9" ht="18.75" thickBot="1">
      <c r="C9" s="46"/>
    </row>
    <row r="10" spans="1:9" ht="15.75" thickBot="1">
      <c r="A10" s="47" t="s">
        <v>76</v>
      </c>
      <c r="B10" s="47"/>
      <c r="C10" s="47" t="s">
        <v>77</v>
      </c>
      <c r="D10" s="47"/>
      <c r="E10" s="47" t="s">
        <v>78</v>
      </c>
      <c r="F10" s="47" t="s">
        <v>79</v>
      </c>
      <c r="H10" s="201" t="s">
        <v>1213</v>
      </c>
    </row>
    <row r="11" spans="1:9" ht="16.5" thickBot="1">
      <c r="A11" s="48" t="s">
        <v>80</v>
      </c>
      <c r="B11" s="49"/>
      <c r="C11" s="50" t="s">
        <v>81</v>
      </c>
      <c r="D11" s="51"/>
      <c r="E11" s="50" t="s">
        <v>82</v>
      </c>
      <c r="F11" s="52" t="s">
        <v>83</v>
      </c>
      <c r="H11" s="202" t="e">
        <f>H13-C12</f>
        <v>#REF!</v>
      </c>
    </row>
    <row r="12" spans="1:9" ht="16.5" thickBot="1">
      <c r="A12" s="48" t="s">
        <v>84</v>
      </c>
      <c r="B12" s="49"/>
      <c r="C12" s="53" t="e">
        <f>recapitulatif!F518</f>
        <v>#REF!</v>
      </c>
      <c r="D12" s="51"/>
      <c r="E12" s="53">
        <v>2237687.34</v>
      </c>
      <c r="F12" s="54" t="e">
        <f>SUM(C12-E12)</f>
        <v>#REF!</v>
      </c>
      <c r="H12" s="192"/>
    </row>
    <row r="13" spans="1:9" ht="16.5" thickBot="1">
      <c r="A13" s="48" t="s">
        <v>85</v>
      </c>
      <c r="B13" s="49"/>
      <c r="C13" s="53"/>
      <c r="D13" s="51"/>
      <c r="E13" s="50" t="s">
        <v>82</v>
      </c>
      <c r="F13" s="53"/>
      <c r="H13" s="192">
        <v>31966962</v>
      </c>
      <c r="I13" s="189">
        <v>7.0000000000000007E-2</v>
      </c>
    </row>
    <row r="14" spans="1:9" ht="16.5" thickBot="1">
      <c r="A14" s="55" t="s">
        <v>86</v>
      </c>
      <c r="C14" s="56" t="e">
        <f>SUM(C12:C13)</f>
        <v>#REF!</v>
      </c>
      <c r="D14" s="57"/>
      <c r="E14" s="53">
        <f>SUM(E12)</f>
        <v>2237687.34</v>
      </c>
      <c r="F14" s="56" t="e">
        <f>C14-E14</f>
        <v>#REF!</v>
      </c>
    </row>
    <row r="15" spans="1:9" ht="16.5" thickBot="1">
      <c r="A15" s="58" t="s">
        <v>87</v>
      </c>
      <c r="B15" s="59"/>
      <c r="C15" s="59"/>
      <c r="D15" s="59"/>
      <c r="E15" s="59"/>
      <c r="F15" s="54"/>
      <c r="H15" s="192">
        <f>H13*I13</f>
        <v>2237687.34</v>
      </c>
    </row>
    <row r="16" spans="1:9" ht="16.5" thickBot="1">
      <c r="A16" s="58" t="s">
        <v>88</v>
      </c>
      <c r="B16" s="59"/>
      <c r="C16" s="59"/>
      <c r="D16" s="59"/>
      <c r="E16" s="59"/>
      <c r="F16" s="53" t="e">
        <f>F14</f>
        <v>#REF!</v>
      </c>
    </row>
    <row r="17" spans="1:6" ht="16.5" thickBot="1">
      <c r="A17" s="58" t="s">
        <v>89</v>
      </c>
      <c r="B17" s="59"/>
      <c r="C17" s="59"/>
      <c r="D17" s="59"/>
      <c r="E17" s="59"/>
      <c r="F17" s="54">
        <f>4715895.15+5529383.18+3406640.41+4509536.93</f>
        <v>18161455.670000002</v>
      </c>
    </row>
    <row r="18" spans="1:6" ht="16.5" thickBot="1">
      <c r="A18" s="58" t="s">
        <v>90</v>
      </c>
      <c r="B18" s="59"/>
      <c r="C18" s="59"/>
      <c r="D18" s="59"/>
      <c r="E18" s="59"/>
      <c r="F18" s="60" t="e">
        <f>F16-F17</f>
        <v>#REF!</v>
      </c>
    </row>
    <row r="20" spans="1:6">
      <c r="A20" s="548" t="s">
        <v>91</v>
      </c>
      <c r="B20" s="549"/>
      <c r="C20" s="549"/>
      <c r="D20" s="549"/>
      <c r="E20" s="549"/>
      <c r="F20" s="549"/>
    </row>
    <row r="21" spans="1:6" ht="15.75">
      <c r="A21" s="43"/>
      <c r="B21" s="44"/>
      <c r="C21" s="44"/>
      <c r="D21" s="44"/>
      <c r="E21" s="44"/>
      <c r="F21" s="44"/>
    </row>
    <row r="22" spans="1:6" ht="15.75">
      <c r="A22" s="541" t="s">
        <v>92</v>
      </c>
      <c r="B22" s="542"/>
      <c r="C22" s="542"/>
      <c r="D22" s="542"/>
      <c r="E22" s="542"/>
      <c r="F22" s="542"/>
    </row>
    <row r="26" spans="1:6" ht="15.75">
      <c r="A26" s="542" t="s">
        <v>93</v>
      </c>
      <c r="B26" s="542"/>
      <c r="C26" s="542"/>
      <c r="E26" s="542" t="s">
        <v>94</v>
      </c>
      <c r="F26" s="542"/>
    </row>
    <row r="27" spans="1:6">
      <c r="A27" s="543"/>
      <c r="B27" s="543"/>
      <c r="E27" s="2"/>
    </row>
    <row r="28" spans="1:6">
      <c r="A28" s="6"/>
      <c r="B28" s="6"/>
      <c r="E28" s="2"/>
    </row>
    <row r="29" spans="1:6">
      <c r="A29" s="6"/>
      <c r="B29" s="6"/>
      <c r="E29" s="2"/>
    </row>
    <row r="30" spans="1:6">
      <c r="A30" s="6"/>
      <c r="B30" s="6"/>
      <c r="E30" s="2"/>
    </row>
    <row r="31" spans="1:6">
      <c r="A31" s="6"/>
      <c r="B31" s="6"/>
      <c r="E31" s="2"/>
    </row>
    <row r="36" spans="1:6" ht="15.75">
      <c r="A36" s="61" t="s">
        <v>95</v>
      </c>
      <c r="C36" s="61"/>
      <c r="D36" s="61"/>
      <c r="E36" s="542" t="s">
        <v>96</v>
      </c>
      <c r="F36" s="542"/>
    </row>
    <row r="37" spans="1:6" ht="15.75">
      <c r="C37" s="542"/>
      <c r="D37" s="542"/>
      <c r="E37" s="542"/>
    </row>
    <row r="38" spans="1:6" ht="15.75">
      <c r="A38" s="62"/>
      <c r="C38" s="542"/>
      <c r="D38" s="542"/>
      <c r="E38" s="542"/>
    </row>
    <row r="39" spans="1:6">
      <c r="A39" s="62"/>
    </row>
    <row r="47" spans="1:6">
      <c r="A47" s="541" t="s">
        <v>97</v>
      </c>
      <c r="B47" s="541"/>
      <c r="C47" s="541"/>
      <c r="D47" s="541"/>
      <c r="E47" s="541"/>
      <c r="F47" s="541"/>
    </row>
    <row r="48" spans="1:6" ht="15.75">
      <c r="A48" s="541" t="s">
        <v>92</v>
      </c>
      <c r="B48" s="542"/>
      <c r="C48" s="542"/>
      <c r="D48" s="542"/>
      <c r="E48" s="542"/>
      <c r="F48" s="542"/>
    </row>
    <row r="70" spans="9:13">
      <c r="I70">
        <v>-20</v>
      </c>
      <c r="J70">
        <v>2.2000000000000002</v>
      </c>
      <c r="K70">
        <v>1</v>
      </c>
      <c r="M70">
        <f>K70*J70*I70</f>
        <v>-44</v>
      </c>
    </row>
    <row r="71" spans="9:13">
      <c r="I71">
        <v>-2</v>
      </c>
      <c r="J71">
        <v>2.27</v>
      </c>
      <c r="K71">
        <v>1.4</v>
      </c>
      <c r="M71">
        <f t="shared" ref="M71:M74" si="0">K71*J71*I71</f>
        <v>-6.3559999999999999</v>
      </c>
    </row>
    <row r="72" spans="9:13">
      <c r="I72">
        <v>-2</v>
      </c>
      <c r="J72">
        <v>2.27</v>
      </c>
      <c r="K72">
        <v>1.18</v>
      </c>
      <c r="M72">
        <f t="shared" si="0"/>
        <v>-5.3571999999999997</v>
      </c>
    </row>
    <row r="73" spans="9:13">
      <c r="I73">
        <v>-2</v>
      </c>
      <c r="J73">
        <v>2.2000000000000002</v>
      </c>
      <c r="K73">
        <v>1.4</v>
      </c>
      <c r="M73">
        <f t="shared" si="0"/>
        <v>-6.16</v>
      </c>
    </row>
    <row r="74" spans="9:13">
      <c r="I74">
        <v>-2</v>
      </c>
      <c r="J74">
        <v>2.25</v>
      </c>
      <c r="K74">
        <v>1.2</v>
      </c>
      <c r="M74">
        <f t="shared" si="0"/>
        <v>-5.4</v>
      </c>
    </row>
    <row r="77" spans="9:13">
      <c r="M77">
        <f>SUM(M70:M74)</f>
        <v>-67.273200000000003</v>
      </c>
    </row>
  </sheetData>
  <mergeCells count="14">
    <mergeCell ref="A22:F22"/>
    <mergeCell ref="A1:F1"/>
    <mergeCell ref="A5:F5"/>
    <mergeCell ref="A7:F7"/>
    <mergeCell ref="A8:F8"/>
    <mergeCell ref="A20:F20"/>
    <mergeCell ref="A47:F47"/>
    <mergeCell ref="A48:F48"/>
    <mergeCell ref="A26:C26"/>
    <mergeCell ref="E26:F26"/>
    <mergeCell ref="A27:B27"/>
    <mergeCell ref="E36:F36"/>
    <mergeCell ref="C37:E37"/>
    <mergeCell ref="C38:E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83"/>
  <sheetViews>
    <sheetView topLeftCell="A446" workbookViewId="0">
      <selection activeCell="D453" sqref="D453"/>
    </sheetView>
  </sheetViews>
  <sheetFormatPr baseColWidth="10" defaultColWidth="11.42578125" defaultRowHeight="15"/>
  <cols>
    <col min="1" max="1" width="11.7109375" customWidth="1"/>
    <col min="2" max="2" width="56.7109375" customWidth="1"/>
    <col min="4" max="4" width="14.7109375" customWidth="1"/>
    <col min="5" max="5" width="16.42578125" customWidth="1"/>
    <col min="6" max="6" width="14.5703125" customWidth="1"/>
    <col min="7" max="7" width="19.5703125" customWidth="1"/>
    <col min="8" max="8" width="24.42578125" customWidth="1"/>
  </cols>
  <sheetData>
    <row r="3" spans="1:8">
      <c r="A3" s="119" t="s">
        <v>21</v>
      </c>
      <c r="B3" s="1"/>
      <c r="C3" s="120"/>
      <c r="D3" s="1"/>
      <c r="E3" s="1"/>
      <c r="F3" s="1"/>
      <c r="G3" s="1"/>
    </row>
    <row r="4" spans="1:8">
      <c r="A4" s="119" t="s">
        <v>365</v>
      </c>
      <c r="B4" s="1"/>
      <c r="C4" s="2"/>
      <c r="D4" s="1"/>
      <c r="E4" s="1"/>
      <c r="F4" s="1"/>
      <c r="G4" s="1"/>
    </row>
    <row r="5" spans="1:8">
      <c r="A5" s="119" t="s">
        <v>366</v>
      </c>
      <c r="B5" s="1"/>
      <c r="C5" s="2"/>
      <c r="D5" s="1"/>
      <c r="E5" s="1"/>
      <c r="F5" s="1"/>
      <c r="G5" s="1"/>
    </row>
    <row r="6" spans="1:8">
      <c r="A6" s="549" t="s">
        <v>367</v>
      </c>
      <c r="B6" s="549"/>
      <c r="C6" s="2"/>
      <c r="D6" s="1"/>
      <c r="E6" s="1"/>
      <c r="F6" s="1"/>
      <c r="G6" s="1"/>
    </row>
    <row r="7" spans="1:8">
      <c r="A7" s="119" t="s">
        <v>32</v>
      </c>
      <c r="B7" s="1"/>
      <c r="C7" s="2"/>
      <c r="D7" s="1"/>
      <c r="E7" s="1"/>
      <c r="F7" s="1"/>
      <c r="G7" s="1"/>
    </row>
    <row r="8" spans="1:8">
      <c r="A8" s="579" t="s">
        <v>368</v>
      </c>
      <c r="B8" s="579"/>
      <c r="C8" s="579"/>
      <c r="D8" s="579"/>
      <c r="E8" s="579"/>
      <c r="F8" s="579"/>
      <c r="G8" s="579"/>
    </row>
    <row r="9" spans="1:8">
      <c r="A9" s="121"/>
      <c r="B9" s="122"/>
      <c r="C9" s="2"/>
      <c r="D9" s="1"/>
      <c r="E9" s="1"/>
      <c r="F9" s="1"/>
      <c r="G9" s="1"/>
    </row>
    <row r="10" spans="1:8">
      <c r="A10" s="3" t="s">
        <v>369</v>
      </c>
      <c r="B10" s="1"/>
      <c r="C10" s="4"/>
      <c r="D10" s="1"/>
      <c r="E10" s="1"/>
      <c r="F10" s="1"/>
      <c r="G10" s="1"/>
    </row>
    <row r="11" spans="1:8" ht="15.75" thickBot="1">
      <c r="A11" s="4"/>
      <c r="B11" s="3"/>
      <c r="C11" s="4"/>
      <c r="D11" s="1"/>
      <c r="E11" s="1"/>
      <c r="F11" s="1"/>
      <c r="G11" s="1"/>
    </row>
    <row r="12" spans="1:8" ht="15.75" thickTop="1">
      <c r="A12" s="580" t="s">
        <v>22</v>
      </c>
      <c r="B12" s="582" t="s">
        <v>23</v>
      </c>
      <c r="C12" s="584" t="s">
        <v>16</v>
      </c>
      <c r="D12" s="123" t="s">
        <v>24</v>
      </c>
      <c r="E12" s="123" t="s">
        <v>24</v>
      </c>
      <c r="F12" s="124" t="s">
        <v>25</v>
      </c>
      <c r="G12" s="577" t="s">
        <v>370</v>
      </c>
      <c r="H12" s="577" t="s">
        <v>371</v>
      </c>
    </row>
    <row r="13" spans="1:8" ht="15.75" thickBot="1">
      <c r="A13" s="581"/>
      <c r="B13" s="583"/>
      <c r="C13" s="585"/>
      <c r="D13" s="125" t="s">
        <v>372</v>
      </c>
      <c r="E13" s="125" t="s">
        <v>373</v>
      </c>
      <c r="F13" s="214" t="s">
        <v>27</v>
      </c>
      <c r="G13" s="578"/>
      <c r="H13" s="578"/>
    </row>
    <row r="14" spans="1:8" ht="20.100000000000001" customHeight="1" thickTop="1">
      <c r="A14" s="215"/>
      <c r="B14" s="216" t="s">
        <v>374</v>
      </c>
      <c r="C14" s="215"/>
      <c r="D14" s="215"/>
      <c r="E14" s="215"/>
      <c r="F14" s="217"/>
      <c r="G14" s="126"/>
      <c r="H14" s="127"/>
    </row>
    <row r="15" spans="1:8" ht="20.100000000000001" customHeight="1">
      <c r="A15" s="152" t="s">
        <v>375</v>
      </c>
      <c r="B15" s="164" t="s">
        <v>376</v>
      </c>
      <c r="C15" s="156" t="s">
        <v>264</v>
      </c>
      <c r="D15" s="218" t="e">
        <f>recapitulatif!D20</f>
        <v>#REF!</v>
      </c>
      <c r="E15" s="218">
        <v>1</v>
      </c>
      <c r="F15" s="218">
        <v>50000</v>
      </c>
      <c r="G15" s="130" t="e">
        <f>F15*D15</f>
        <v>#REF!</v>
      </c>
      <c r="H15" s="131">
        <f>F15*E15</f>
        <v>50000</v>
      </c>
    </row>
    <row r="16" spans="1:8" ht="20.100000000000001" customHeight="1">
      <c r="A16" s="152" t="s">
        <v>377</v>
      </c>
      <c r="B16" s="164" t="s">
        <v>378</v>
      </c>
      <c r="C16" s="156" t="s">
        <v>379</v>
      </c>
      <c r="D16" s="218" t="e">
        <f>recapitulatif!D21</f>
        <v>#REF!</v>
      </c>
      <c r="E16" s="218">
        <v>1360</v>
      </c>
      <c r="F16" s="218">
        <v>15</v>
      </c>
      <c r="G16" s="130" t="e">
        <f t="shared" ref="G16:G26" si="0">F16*D16</f>
        <v>#REF!</v>
      </c>
      <c r="H16" s="131">
        <f t="shared" ref="H16:H25" si="1">F16*E16</f>
        <v>20400</v>
      </c>
    </row>
    <row r="17" spans="1:8" ht="20.100000000000001" customHeight="1">
      <c r="A17" s="152" t="s">
        <v>380</v>
      </c>
      <c r="B17" s="164" t="s">
        <v>381</v>
      </c>
      <c r="C17" s="156" t="s">
        <v>16</v>
      </c>
      <c r="D17" s="218" t="e">
        <f>recapitulatif!D22</f>
        <v>#REF!</v>
      </c>
      <c r="E17" s="218">
        <v>35</v>
      </c>
      <c r="F17" s="218">
        <v>100</v>
      </c>
      <c r="G17" s="130" t="e">
        <f t="shared" si="0"/>
        <v>#REF!</v>
      </c>
      <c r="H17" s="131">
        <f t="shared" si="1"/>
        <v>3500</v>
      </c>
    </row>
    <row r="18" spans="1:8" ht="20.100000000000001" customHeight="1">
      <c r="A18" s="152" t="s">
        <v>382</v>
      </c>
      <c r="B18" s="164" t="s">
        <v>383</v>
      </c>
      <c r="C18" s="156" t="s">
        <v>16</v>
      </c>
      <c r="D18" s="218" t="e">
        <f>recapitulatif!D23</f>
        <v>#REF!</v>
      </c>
      <c r="E18" s="218">
        <v>50</v>
      </c>
      <c r="F18" s="218">
        <v>50</v>
      </c>
      <c r="G18" s="130" t="e">
        <f t="shared" si="0"/>
        <v>#REF!</v>
      </c>
      <c r="H18" s="131">
        <f t="shared" si="1"/>
        <v>2500</v>
      </c>
    </row>
    <row r="19" spans="1:8" ht="20.100000000000001" customHeight="1">
      <c r="A19" s="152" t="s">
        <v>384</v>
      </c>
      <c r="B19" s="164" t="s">
        <v>385</v>
      </c>
      <c r="C19" s="156" t="s">
        <v>16</v>
      </c>
      <c r="D19" s="218" t="e">
        <f>recapitulatif!D24</f>
        <v>#REF!</v>
      </c>
      <c r="E19" s="218">
        <v>33</v>
      </c>
      <c r="F19" s="218">
        <v>100</v>
      </c>
      <c r="G19" s="130" t="e">
        <f t="shared" si="0"/>
        <v>#REF!</v>
      </c>
      <c r="H19" s="131">
        <f t="shared" si="1"/>
        <v>3300</v>
      </c>
    </row>
    <row r="20" spans="1:8" ht="20.100000000000001" customHeight="1">
      <c r="A20" s="152" t="s">
        <v>386</v>
      </c>
      <c r="B20" s="164" t="s">
        <v>387</v>
      </c>
      <c r="C20" s="156" t="s">
        <v>264</v>
      </c>
      <c r="D20" s="218">
        <f>recapitulatif!D25</f>
        <v>1</v>
      </c>
      <c r="E20" s="218">
        <v>1</v>
      </c>
      <c r="F20" s="218">
        <v>30000</v>
      </c>
      <c r="G20" s="130">
        <f t="shared" si="0"/>
        <v>30000</v>
      </c>
      <c r="H20" s="131">
        <f t="shared" si="1"/>
        <v>30000</v>
      </c>
    </row>
    <row r="21" spans="1:8" ht="20.100000000000001" customHeight="1">
      <c r="A21" s="152" t="s">
        <v>388</v>
      </c>
      <c r="B21" s="164" t="s">
        <v>389</v>
      </c>
      <c r="C21" s="156" t="s">
        <v>16</v>
      </c>
      <c r="D21" s="218" t="e">
        <f>recapitulatif!D26</f>
        <v>#REF!</v>
      </c>
      <c r="E21" s="218">
        <v>24</v>
      </c>
      <c r="F21" s="218">
        <v>400</v>
      </c>
      <c r="G21" s="130" t="e">
        <f t="shared" si="0"/>
        <v>#REF!</v>
      </c>
      <c r="H21" s="131">
        <f t="shared" si="1"/>
        <v>9600</v>
      </c>
    </row>
    <row r="22" spans="1:8" ht="20.100000000000001" customHeight="1">
      <c r="A22" s="152" t="s">
        <v>390</v>
      </c>
      <c r="B22" s="164" t="s">
        <v>391</v>
      </c>
      <c r="C22" s="156" t="s">
        <v>16</v>
      </c>
      <c r="D22" s="218"/>
      <c r="E22" s="218">
        <v>26</v>
      </c>
      <c r="F22" s="218">
        <v>400</v>
      </c>
      <c r="G22" s="130">
        <f t="shared" si="0"/>
        <v>0</v>
      </c>
      <c r="H22" s="131">
        <f t="shared" si="1"/>
        <v>10400</v>
      </c>
    </row>
    <row r="23" spans="1:8" ht="20.100000000000001" customHeight="1">
      <c r="A23" s="152" t="s">
        <v>392</v>
      </c>
      <c r="B23" s="164" t="s">
        <v>393</v>
      </c>
      <c r="C23" s="156" t="s">
        <v>16</v>
      </c>
      <c r="D23" s="218"/>
      <c r="E23" s="218">
        <v>26</v>
      </c>
      <c r="F23" s="218">
        <v>400</v>
      </c>
      <c r="G23" s="130">
        <f t="shared" si="0"/>
        <v>0</v>
      </c>
      <c r="H23" s="131">
        <f t="shared" si="1"/>
        <v>10400</v>
      </c>
    </row>
    <row r="24" spans="1:8" ht="20.100000000000001" customHeight="1">
      <c r="A24" s="152" t="s">
        <v>394</v>
      </c>
      <c r="B24" s="164" t="s">
        <v>395</v>
      </c>
      <c r="C24" s="156" t="s">
        <v>264</v>
      </c>
      <c r="D24" s="218"/>
      <c r="E24" s="218">
        <v>1</v>
      </c>
      <c r="F24" s="218">
        <v>30000</v>
      </c>
      <c r="G24" s="130">
        <f t="shared" si="0"/>
        <v>0</v>
      </c>
      <c r="H24" s="131">
        <f t="shared" si="1"/>
        <v>30000</v>
      </c>
    </row>
    <row r="25" spans="1:8" ht="20.100000000000001" customHeight="1">
      <c r="A25" s="152" t="s">
        <v>396</v>
      </c>
      <c r="B25" s="164" t="s">
        <v>397</v>
      </c>
      <c r="C25" s="156" t="s">
        <v>16</v>
      </c>
      <c r="D25" s="218"/>
      <c r="E25" s="218">
        <v>8</v>
      </c>
      <c r="F25" s="218">
        <v>150</v>
      </c>
      <c r="G25" s="130">
        <f t="shared" si="0"/>
        <v>0</v>
      </c>
      <c r="H25" s="131">
        <f t="shared" si="1"/>
        <v>1200</v>
      </c>
    </row>
    <row r="26" spans="1:8" ht="20.100000000000001" customHeight="1" thickBot="1">
      <c r="A26" s="152" t="s">
        <v>398</v>
      </c>
      <c r="B26" s="164" t="s">
        <v>399</v>
      </c>
      <c r="C26" s="156" t="s">
        <v>379</v>
      </c>
      <c r="D26" s="218" t="e">
        <f>recapitulatif!D27</f>
        <v>#REF!</v>
      </c>
      <c r="E26" s="218">
        <v>250</v>
      </c>
      <c r="F26" s="218">
        <v>15</v>
      </c>
      <c r="G26" s="130" t="e">
        <f t="shared" si="0"/>
        <v>#REF!</v>
      </c>
      <c r="H26" s="131">
        <f>F26*E26</f>
        <v>3750</v>
      </c>
    </row>
    <row r="27" spans="1:8" ht="20.100000000000001" customHeight="1" thickBot="1">
      <c r="A27" s="553" t="s">
        <v>400</v>
      </c>
      <c r="B27" s="554"/>
      <c r="C27" s="554"/>
      <c r="D27" s="554"/>
      <c r="E27" s="554"/>
      <c r="F27" s="555"/>
      <c r="G27" s="133" t="e">
        <f>SUM(G15:G26)</f>
        <v>#REF!</v>
      </c>
      <c r="H27" s="133">
        <f>SUM(H15:H26)</f>
        <v>175050</v>
      </c>
    </row>
    <row r="28" spans="1:8" ht="20.100000000000001" customHeight="1">
      <c r="A28" s="219"/>
      <c r="B28" s="216" t="s">
        <v>18</v>
      </c>
      <c r="C28" s="213"/>
      <c r="D28" s="220"/>
      <c r="E28" s="220"/>
      <c r="F28" s="220"/>
      <c r="G28" s="134"/>
      <c r="H28" s="135"/>
    </row>
    <row r="29" spans="1:8" ht="20.100000000000001" customHeight="1">
      <c r="A29" s="221"/>
      <c r="B29" s="222" t="s">
        <v>401</v>
      </c>
      <c r="C29" s="213"/>
      <c r="D29" s="220"/>
      <c r="E29" s="220"/>
      <c r="F29" s="220"/>
      <c r="G29" s="136"/>
      <c r="H29" s="137"/>
    </row>
    <row r="30" spans="1:8" ht="20.100000000000001" customHeight="1">
      <c r="A30" s="152">
        <v>101</v>
      </c>
      <c r="B30" s="164" t="s">
        <v>402</v>
      </c>
      <c r="C30" s="156" t="s">
        <v>403</v>
      </c>
      <c r="D30" s="218" t="e">
        <f>recapitulatif!D31</f>
        <v>#REF!</v>
      </c>
      <c r="E30" s="218">
        <v>3650</v>
      </c>
      <c r="F30" s="218">
        <v>40</v>
      </c>
      <c r="G30" s="130" t="e">
        <f>F30*D30</f>
        <v>#REF!</v>
      </c>
      <c r="H30" s="131">
        <v>146000</v>
      </c>
    </row>
    <row r="31" spans="1:8" ht="26.25" customHeight="1">
      <c r="A31" s="152">
        <v>102</v>
      </c>
      <c r="B31" s="164" t="s">
        <v>107</v>
      </c>
      <c r="C31" s="156"/>
      <c r="D31" s="218"/>
      <c r="E31" s="218"/>
      <c r="F31" s="218"/>
      <c r="G31" s="130">
        <f t="shared" ref="G31:G36" si="2">F31*D31</f>
        <v>0</v>
      </c>
      <c r="H31" s="131"/>
    </row>
    <row r="32" spans="1:8" ht="20.100000000000001" customHeight="1">
      <c r="A32" s="152" t="s">
        <v>42</v>
      </c>
      <c r="B32" s="164" t="s">
        <v>404</v>
      </c>
      <c r="C32" s="156" t="s">
        <v>403</v>
      </c>
      <c r="D32" s="218" t="e">
        <f>recapitulatif!D33</f>
        <v>#REF!</v>
      </c>
      <c r="E32" s="218">
        <v>3104</v>
      </c>
      <c r="F32" s="218">
        <v>70</v>
      </c>
      <c r="G32" s="130" t="e">
        <f t="shared" si="2"/>
        <v>#REF!</v>
      </c>
      <c r="H32" s="131">
        <v>217280</v>
      </c>
    </row>
    <row r="33" spans="1:8" ht="20.100000000000001" customHeight="1">
      <c r="A33" s="152" t="s">
        <v>405</v>
      </c>
      <c r="B33" s="223" t="s">
        <v>406</v>
      </c>
      <c r="C33" s="156" t="s">
        <v>403</v>
      </c>
      <c r="D33" s="218">
        <v>0</v>
      </c>
      <c r="E33" s="218">
        <v>1023</v>
      </c>
      <c r="F33" s="218">
        <v>90</v>
      </c>
      <c r="G33" s="130">
        <f t="shared" si="2"/>
        <v>0</v>
      </c>
      <c r="H33" s="131">
        <v>92070</v>
      </c>
    </row>
    <row r="34" spans="1:8" ht="20.100000000000001" customHeight="1">
      <c r="A34" s="152">
        <v>103</v>
      </c>
      <c r="B34" s="164" t="s">
        <v>407</v>
      </c>
      <c r="C34" s="156"/>
      <c r="D34" s="218"/>
      <c r="E34" s="218"/>
      <c r="F34" s="218"/>
      <c r="G34" s="130">
        <f t="shared" si="2"/>
        <v>0</v>
      </c>
      <c r="H34" s="131"/>
    </row>
    <row r="35" spans="1:8" ht="20.100000000000001" customHeight="1">
      <c r="A35" s="152" t="s">
        <v>109</v>
      </c>
      <c r="B35" s="223" t="s">
        <v>408</v>
      </c>
      <c r="C35" s="156" t="s">
        <v>403</v>
      </c>
      <c r="D35" s="218" t="e">
        <f>recapitulatif!D35</f>
        <v>#REF!</v>
      </c>
      <c r="E35" s="218">
        <v>2255</v>
      </c>
      <c r="F35" s="218">
        <v>100</v>
      </c>
      <c r="G35" s="130" t="e">
        <f t="shared" si="2"/>
        <v>#REF!</v>
      </c>
      <c r="H35" s="131">
        <v>225500</v>
      </c>
    </row>
    <row r="36" spans="1:8" ht="20.100000000000001" customHeight="1" thickBot="1">
      <c r="A36" s="152" t="s">
        <v>41</v>
      </c>
      <c r="B36" s="223" t="s">
        <v>409</v>
      </c>
      <c r="C36" s="156" t="s">
        <v>403</v>
      </c>
      <c r="D36" s="218" t="e">
        <f>recapitulatif!D36</f>
        <v>#REF!</v>
      </c>
      <c r="E36" s="218">
        <v>4554</v>
      </c>
      <c r="F36" s="218">
        <v>30</v>
      </c>
      <c r="G36" s="130" t="e">
        <f t="shared" si="2"/>
        <v>#REF!</v>
      </c>
      <c r="H36" s="138">
        <v>136620</v>
      </c>
    </row>
    <row r="37" spans="1:8" ht="20.100000000000001" customHeight="1" thickBot="1">
      <c r="A37" s="224"/>
      <c r="B37" s="562" t="s">
        <v>410</v>
      </c>
      <c r="C37" s="563"/>
      <c r="D37" s="563"/>
      <c r="E37" s="563"/>
      <c r="F37" s="564"/>
      <c r="G37" s="139" t="e">
        <f>SUM(G30:G36)</f>
        <v>#REF!</v>
      </c>
      <c r="H37" s="139">
        <f>SUM(H30:H36)</f>
        <v>817470</v>
      </c>
    </row>
    <row r="38" spans="1:8" ht="20.100000000000001" customHeight="1">
      <c r="A38" s="152"/>
      <c r="B38" s="222" t="s">
        <v>104</v>
      </c>
      <c r="C38" s="213"/>
      <c r="D38" s="220"/>
      <c r="E38" s="220"/>
      <c r="F38" s="220"/>
      <c r="G38" s="134"/>
      <c r="H38" s="135"/>
    </row>
    <row r="39" spans="1:8" ht="20.100000000000001" customHeight="1">
      <c r="A39" s="152">
        <v>104</v>
      </c>
      <c r="B39" s="164" t="s">
        <v>34</v>
      </c>
      <c r="C39" s="213" t="s">
        <v>403</v>
      </c>
      <c r="D39" s="169" t="e">
        <f>recapitulatif!D41</f>
        <v>#REF!</v>
      </c>
      <c r="E39" s="169">
        <v>1087</v>
      </c>
      <c r="F39" s="169">
        <v>500</v>
      </c>
      <c r="G39" s="140" t="e">
        <f>F39*D39</f>
        <v>#REF!</v>
      </c>
      <c r="H39" s="141">
        <v>543500</v>
      </c>
    </row>
    <row r="40" spans="1:8" ht="20.100000000000001" customHeight="1">
      <c r="A40" s="152">
        <v>105</v>
      </c>
      <c r="B40" s="164" t="s">
        <v>35</v>
      </c>
      <c r="C40" s="213" t="s">
        <v>403</v>
      </c>
      <c r="D40" s="169" t="e">
        <f>recapitulatif!D42</f>
        <v>#REF!</v>
      </c>
      <c r="E40" s="169">
        <v>208</v>
      </c>
      <c r="F40" s="169">
        <v>500</v>
      </c>
      <c r="G40" s="140" t="e">
        <f t="shared" ref="G40:G48" si="3">F40*D40</f>
        <v>#REF!</v>
      </c>
      <c r="H40" s="141">
        <v>104000</v>
      </c>
    </row>
    <row r="41" spans="1:8" ht="20.100000000000001" customHeight="1">
      <c r="A41" s="152">
        <v>106</v>
      </c>
      <c r="B41" s="164" t="s">
        <v>99</v>
      </c>
      <c r="C41" s="213"/>
      <c r="D41" s="169"/>
      <c r="E41" s="169"/>
      <c r="F41" s="169"/>
      <c r="G41" s="140"/>
      <c r="H41" s="141"/>
    </row>
    <row r="42" spans="1:8" ht="20.100000000000001" customHeight="1">
      <c r="A42" s="152" t="s">
        <v>40</v>
      </c>
      <c r="B42" s="223" t="s">
        <v>411</v>
      </c>
      <c r="C42" s="213" t="s">
        <v>403</v>
      </c>
      <c r="D42" s="169" t="e">
        <f>recapitulatif!D44</f>
        <v>#REF!</v>
      </c>
      <c r="E42" s="169">
        <v>470</v>
      </c>
      <c r="F42" s="169">
        <v>1000</v>
      </c>
      <c r="G42" s="140" t="e">
        <f t="shared" si="3"/>
        <v>#REF!</v>
      </c>
      <c r="H42" s="141">
        <v>470000</v>
      </c>
    </row>
    <row r="43" spans="1:8" ht="20.100000000000001" customHeight="1">
      <c r="A43" s="152" t="s">
        <v>39</v>
      </c>
      <c r="B43" s="223" t="s">
        <v>412</v>
      </c>
      <c r="C43" s="213" t="s">
        <v>403</v>
      </c>
      <c r="D43" s="169" t="e">
        <f>recapitulatif!D45</f>
        <v>#REF!</v>
      </c>
      <c r="E43" s="169">
        <v>57</v>
      </c>
      <c r="F43" s="169">
        <v>1000</v>
      </c>
      <c r="G43" s="140" t="e">
        <f t="shared" si="3"/>
        <v>#REF!</v>
      </c>
      <c r="H43" s="141">
        <v>57000</v>
      </c>
    </row>
    <row r="44" spans="1:8" ht="20.100000000000001" customHeight="1">
      <c r="A44" s="152" t="s">
        <v>38</v>
      </c>
      <c r="B44" s="223" t="s">
        <v>413</v>
      </c>
      <c r="C44" s="213" t="s">
        <v>403</v>
      </c>
      <c r="D44" s="169" t="e">
        <f>recapitulatif!D46</f>
        <v>#REF!</v>
      </c>
      <c r="E44" s="169">
        <v>257</v>
      </c>
      <c r="F44" s="169">
        <v>1000</v>
      </c>
      <c r="G44" s="140" t="e">
        <f t="shared" si="3"/>
        <v>#REF!</v>
      </c>
      <c r="H44" s="141">
        <v>257000</v>
      </c>
    </row>
    <row r="45" spans="1:8" ht="20.100000000000001" customHeight="1">
      <c r="A45" s="152" t="s">
        <v>48</v>
      </c>
      <c r="B45" s="223" t="s">
        <v>414</v>
      </c>
      <c r="C45" s="213" t="s">
        <v>403</v>
      </c>
      <c r="D45" s="169" t="e">
        <f>recapitulatif!D47</f>
        <v>#REF!</v>
      </c>
      <c r="E45" s="169">
        <v>29</v>
      </c>
      <c r="F45" s="169">
        <v>1000</v>
      </c>
      <c r="G45" s="140" t="e">
        <f t="shared" si="3"/>
        <v>#REF!</v>
      </c>
      <c r="H45" s="141">
        <v>29000</v>
      </c>
    </row>
    <row r="46" spans="1:8" ht="20.100000000000001" customHeight="1">
      <c r="A46" s="152">
        <v>107</v>
      </c>
      <c r="B46" s="164" t="s">
        <v>36</v>
      </c>
      <c r="C46" s="213" t="s">
        <v>19</v>
      </c>
      <c r="D46" s="169" t="e">
        <f>recapitulatif!D48</f>
        <v>#REF!</v>
      </c>
      <c r="E46" s="169">
        <v>98000</v>
      </c>
      <c r="F46" s="169">
        <v>11</v>
      </c>
      <c r="G46" s="140" t="e">
        <f t="shared" si="3"/>
        <v>#REF!</v>
      </c>
      <c r="H46" s="141">
        <v>1078000</v>
      </c>
    </row>
    <row r="47" spans="1:8" ht="20.100000000000001" customHeight="1">
      <c r="A47" s="152">
        <v>108</v>
      </c>
      <c r="B47" s="225" t="s">
        <v>415</v>
      </c>
      <c r="C47" s="213" t="s">
        <v>403</v>
      </c>
      <c r="D47" s="169" t="e">
        <f>recapitulatif!D49</f>
        <v>#REF!</v>
      </c>
      <c r="E47" s="169">
        <v>946</v>
      </c>
      <c r="F47" s="169">
        <v>220</v>
      </c>
      <c r="G47" s="140" t="e">
        <f t="shared" si="3"/>
        <v>#REF!</v>
      </c>
      <c r="H47" s="141">
        <v>208120</v>
      </c>
    </row>
    <row r="48" spans="1:8" ht="20.100000000000001" customHeight="1" thickBot="1">
      <c r="A48" s="152">
        <v>109</v>
      </c>
      <c r="B48" s="164" t="s">
        <v>416</v>
      </c>
      <c r="C48" s="213" t="s">
        <v>379</v>
      </c>
      <c r="D48" s="169" t="e">
        <f>recapitulatif!D50</f>
        <v>#REF!</v>
      </c>
      <c r="E48" s="169">
        <v>708</v>
      </c>
      <c r="F48" s="169">
        <v>70</v>
      </c>
      <c r="G48" s="140" t="e">
        <f t="shared" si="3"/>
        <v>#REF!</v>
      </c>
      <c r="H48" s="141">
        <v>49560</v>
      </c>
    </row>
    <row r="49" spans="1:8" ht="20.100000000000001" customHeight="1" thickBot="1">
      <c r="A49" s="224"/>
      <c r="B49" s="562" t="s">
        <v>417</v>
      </c>
      <c r="C49" s="563"/>
      <c r="D49" s="563"/>
      <c r="E49" s="563"/>
      <c r="F49" s="564"/>
      <c r="G49" s="139" t="e">
        <f>SUM(G39:G48)</f>
        <v>#REF!</v>
      </c>
      <c r="H49" s="139">
        <f>SUM(H39:H48)</f>
        <v>2796180</v>
      </c>
    </row>
    <row r="50" spans="1:8" ht="20.100000000000001" customHeight="1">
      <c r="A50" s="152"/>
      <c r="B50" s="222" t="s">
        <v>47</v>
      </c>
      <c r="C50" s="213"/>
      <c r="D50" s="220"/>
      <c r="E50" s="220"/>
      <c r="F50" s="220"/>
      <c r="G50" s="136"/>
      <c r="H50" s="137"/>
    </row>
    <row r="51" spans="1:8" ht="20.100000000000001" customHeight="1">
      <c r="A51" s="152">
        <v>110</v>
      </c>
      <c r="B51" s="164" t="s">
        <v>418</v>
      </c>
      <c r="C51" s="213"/>
      <c r="D51" s="226"/>
      <c r="E51" s="169"/>
      <c r="F51" s="169"/>
      <c r="G51" s="142"/>
      <c r="H51" s="143"/>
    </row>
    <row r="52" spans="1:8" ht="20.100000000000001" customHeight="1">
      <c r="A52" s="152" t="s">
        <v>45</v>
      </c>
      <c r="B52" s="223" t="s">
        <v>419</v>
      </c>
      <c r="C52" s="213" t="s">
        <v>28</v>
      </c>
      <c r="D52" s="169" t="e">
        <f>recapitulatif!D56</f>
        <v>#REF!</v>
      </c>
      <c r="E52" s="169">
        <v>363</v>
      </c>
      <c r="F52" s="169">
        <v>140</v>
      </c>
      <c r="G52" s="142" t="e">
        <f t="shared" ref="G52:G60" si="4">F52*D52</f>
        <v>#REF!</v>
      </c>
      <c r="H52" s="143">
        <v>50820</v>
      </c>
    </row>
    <row r="53" spans="1:8" ht="20.100000000000001" customHeight="1">
      <c r="A53" s="152" t="s">
        <v>183</v>
      </c>
      <c r="B53" s="223" t="s">
        <v>420</v>
      </c>
      <c r="C53" s="213" t="s">
        <v>28</v>
      </c>
      <c r="D53" s="169" t="e">
        <f>recapitulatif!D57</f>
        <v>#REF!</v>
      </c>
      <c r="E53" s="169">
        <v>451</v>
      </c>
      <c r="F53" s="169">
        <v>240</v>
      </c>
      <c r="G53" s="142" t="e">
        <f t="shared" si="4"/>
        <v>#REF!</v>
      </c>
      <c r="H53" s="143">
        <v>108240</v>
      </c>
    </row>
    <row r="54" spans="1:8" ht="20.100000000000001" customHeight="1">
      <c r="A54" s="152">
        <v>111</v>
      </c>
      <c r="B54" s="164" t="s">
        <v>421</v>
      </c>
      <c r="C54" s="213"/>
      <c r="D54" s="169"/>
      <c r="E54" s="169"/>
      <c r="F54" s="169"/>
      <c r="G54" s="140"/>
      <c r="H54" s="143"/>
    </row>
    <row r="55" spans="1:8" ht="20.100000000000001" customHeight="1">
      <c r="A55" s="152" t="s">
        <v>37</v>
      </c>
      <c r="B55" s="223" t="s">
        <v>422</v>
      </c>
      <c r="C55" s="213" t="s">
        <v>16</v>
      </c>
      <c r="D55" s="169" t="e">
        <f>recapitulatif!D59</f>
        <v>#REF!</v>
      </c>
      <c r="E55" s="169">
        <v>179</v>
      </c>
      <c r="F55" s="169">
        <v>400</v>
      </c>
      <c r="G55" s="140" t="e">
        <f t="shared" si="4"/>
        <v>#REF!</v>
      </c>
      <c r="H55" s="143">
        <v>71600</v>
      </c>
    </row>
    <row r="56" spans="1:8" ht="20.100000000000001" customHeight="1">
      <c r="A56" s="152" t="s">
        <v>184</v>
      </c>
      <c r="B56" s="223" t="s">
        <v>423</v>
      </c>
      <c r="C56" s="213" t="s">
        <v>16</v>
      </c>
      <c r="D56" s="169" t="e">
        <f>recapitulatif!D60</f>
        <v>#REF!</v>
      </c>
      <c r="E56" s="169">
        <v>87</v>
      </c>
      <c r="F56" s="169">
        <v>600</v>
      </c>
      <c r="G56" s="140" t="e">
        <f t="shared" si="4"/>
        <v>#REF!</v>
      </c>
      <c r="H56" s="143">
        <v>52200</v>
      </c>
    </row>
    <row r="57" spans="1:8" ht="20.100000000000001" customHeight="1">
      <c r="A57" s="152">
        <v>112</v>
      </c>
      <c r="B57" s="164" t="s">
        <v>424</v>
      </c>
      <c r="C57" s="213"/>
      <c r="D57" s="169"/>
      <c r="E57" s="169"/>
      <c r="F57" s="169"/>
      <c r="G57" s="140"/>
      <c r="H57" s="143"/>
    </row>
    <row r="58" spans="1:8" ht="20.100000000000001" customHeight="1">
      <c r="A58" s="152" t="s">
        <v>64</v>
      </c>
      <c r="B58" s="223" t="s">
        <v>425</v>
      </c>
      <c r="C58" s="213" t="s">
        <v>28</v>
      </c>
      <c r="D58" s="169" t="e">
        <f>recapitulatif!D62</f>
        <v>#REF!</v>
      </c>
      <c r="E58" s="169">
        <v>44</v>
      </c>
      <c r="F58" s="169">
        <v>450</v>
      </c>
      <c r="G58" s="140" t="e">
        <f t="shared" si="4"/>
        <v>#REF!</v>
      </c>
      <c r="H58" s="143">
        <v>19800</v>
      </c>
    </row>
    <row r="59" spans="1:8" ht="20.100000000000001" customHeight="1">
      <c r="A59" s="152" t="s">
        <v>426</v>
      </c>
      <c r="B59" s="223" t="s">
        <v>427</v>
      </c>
      <c r="C59" s="213" t="s">
        <v>28</v>
      </c>
      <c r="D59" s="169"/>
      <c r="E59" s="169">
        <v>45</v>
      </c>
      <c r="F59" s="169">
        <v>900</v>
      </c>
      <c r="G59" s="140"/>
      <c r="H59" s="143">
        <v>40500</v>
      </c>
    </row>
    <row r="60" spans="1:8" ht="20.100000000000001" customHeight="1" thickBot="1">
      <c r="A60" s="152">
        <v>113</v>
      </c>
      <c r="B60" s="164" t="s">
        <v>428</v>
      </c>
      <c r="C60" s="213" t="s">
        <v>16</v>
      </c>
      <c r="D60" s="169" t="e">
        <f>recapitulatif!D63</f>
        <v>#REF!</v>
      </c>
      <c r="E60" s="169">
        <v>1</v>
      </c>
      <c r="F60" s="169">
        <v>20000</v>
      </c>
      <c r="G60" s="140" t="e">
        <f t="shared" si="4"/>
        <v>#REF!</v>
      </c>
      <c r="H60" s="143">
        <v>20000</v>
      </c>
    </row>
    <row r="61" spans="1:8" ht="20.100000000000001" customHeight="1" thickBot="1">
      <c r="A61" s="224"/>
      <c r="B61" s="562" t="s">
        <v>429</v>
      </c>
      <c r="C61" s="563"/>
      <c r="D61" s="563"/>
      <c r="E61" s="563"/>
      <c r="F61" s="564"/>
      <c r="G61" s="139" t="e">
        <f>SUM(G52:G60)</f>
        <v>#REF!</v>
      </c>
      <c r="H61" s="139">
        <f>SUM(H52:H60)</f>
        <v>363160</v>
      </c>
    </row>
    <row r="62" spans="1:8" ht="20.100000000000001" customHeight="1">
      <c r="A62" s="152"/>
      <c r="B62" s="222" t="s">
        <v>430</v>
      </c>
      <c r="C62" s="213"/>
      <c r="D62" s="227"/>
      <c r="E62" s="227"/>
      <c r="F62" s="220"/>
      <c r="G62" s="144"/>
      <c r="H62" s="145"/>
    </row>
    <row r="63" spans="1:8" ht="20.100000000000001" customHeight="1">
      <c r="A63" s="152">
        <v>114</v>
      </c>
      <c r="B63" s="228" t="s">
        <v>43</v>
      </c>
      <c r="C63" s="213" t="s">
        <v>379</v>
      </c>
      <c r="D63" s="169" t="e">
        <f>recapitulatif!D68</f>
        <v>#REF!</v>
      </c>
      <c r="E63" s="169">
        <v>3472</v>
      </c>
      <c r="F63" s="169">
        <v>50</v>
      </c>
      <c r="G63" s="140" t="e">
        <f>F63*D63</f>
        <v>#REF!</v>
      </c>
      <c r="H63" s="141">
        <v>173600</v>
      </c>
    </row>
    <row r="64" spans="1:8" ht="20.100000000000001" customHeight="1">
      <c r="A64" s="152">
        <v>115</v>
      </c>
      <c r="B64" s="228" t="s">
        <v>431</v>
      </c>
      <c r="C64" s="213" t="s">
        <v>379</v>
      </c>
      <c r="D64" s="169" t="e">
        <f>recapitulatif!D69</f>
        <v>#REF!</v>
      </c>
      <c r="E64" s="169">
        <v>3472</v>
      </c>
      <c r="F64" s="169">
        <v>15</v>
      </c>
      <c r="G64" s="140" t="e">
        <f>F64*D64</f>
        <v>#REF!</v>
      </c>
      <c r="H64" s="141">
        <v>52080</v>
      </c>
    </row>
    <row r="65" spans="1:8" ht="20.100000000000001" customHeight="1" thickBot="1">
      <c r="A65" s="152">
        <v>116</v>
      </c>
      <c r="B65" s="228" t="s">
        <v>44</v>
      </c>
      <c r="C65" s="213" t="s">
        <v>379</v>
      </c>
      <c r="D65" s="169" t="e">
        <f>recapitulatif!D70</f>
        <v>#REF!</v>
      </c>
      <c r="E65" s="169">
        <v>3472</v>
      </c>
      <c r="F65" s="169">
        <v>150</v>
      </c>
      <c r="G65" s="146" t="e">
        <f>F65*D65</f>
        <v>#REF!</v>
      </c>
      <c r="H65" s="141">
        <v>520800</v>
      </c>
    </row>
    <row r="66" spans="1:8" ht="20.100000000000001" customHeight="1" thickBot="1">
      <c r="A66" s="224"/>
      <c r="B66" s="562" t="s">
        <v>432</v>
      </c>
      <c r="C66" s="563"/>
      <c r="D66" s="563"/>
      <c r="E66" s="563"/>
      <c r="F66" s="564"/>
      <c r="G66" s="139" t="e">
        <f>SUM(G63:G65)</f>
        <v>#REF!</v>
      </c>
      <c r="H66" s="139">
        <f>SUM(H63:H65)</f>
        <v>746480</v>
      </c>
    </row>
    <row r="67" spans="1:8" ht="20.100000000000001" customHeight="1">
      <c r="A67" s="152"/>
      <c r="B67" s="222" t="s">
        <v>433</v>
      </c>
      <c r="C67" s="213"/>
      <c r="D67" s="227"/>
      <c r="E67" s="227"/>
      <c r="F67" s="220"/>
      <c r="G67" s="144"/>
      <c r="H67" s="145"/>
    </row>
    <row r="68" spans="1:8" ht="20.100000000000001" customHeight="1">
      <c r="A68" s="152">
        <v>117</v>
      </c>
      <c r="B68" s="164" t="s">
        <v>434</v>
      </c>
      <c r="C68" s="213"/>
      <c r="D68" s="229"/>
      <c r="E68" s="169"/>
      <c r="F68" s="169"/>
      <c r="G68" s="140"/>
      <c r="H68" s="141"/>
    </row>
    <row r="69" spans="1:8" ht="20.100000000000001" customHeight="1">
      <c r="A69" s="152" t="s">
        <v>49</v>
      </c>
      <c r="B69" s="164" t="s">
        <v>435</v>
      </c>
      <c r="C69" s="213" t="s">
        <v>403</v>
      </c>
      <c r="D69" s="169" t="e">
        <f>recapitulatif!D76</f>
        <v>#REF!</v>
      </c>
      <c r="E69" s="169">
        <v>245</v>
      </c>
      <c r="F69" s="169">
        <v>1100</v>
      </c>
      <c r="G69" s="140" t="e">
        <f>F69*D69</f>
        <v>#REF!</v>
      </c>
      <c r="H69" s="141">
        <v>269500</v>
      </c>
    </row>
    <row r="70" spans="1:8" ht="20.100000000000001" customHeight="1">
      <c r="A70" s="152" t="s">
        <v>50</v>
      </c>
      <c r="B70" s="164" t="s">
        <v>436</v>
      </c>
      <c r="C70" s="213" t="s">
        <v>403</v>
      </c>
      <c r="D70" s="169" t="e">
        <f>recapitulatif!D77</f>
        <v>#REF!</v>
      </c>
      <c r="E70" s="169">
        <v>570</v>
      </c>
      <c r="F70" s="169">
        <v>1100</v>
      </c>
      <c r="G70" s="140" t="e">
        <f t="shared" ref="G70:G79" si="5">F70*D70</f>
        <v>#REF!</v>
      </c>
      <c r="H70" s="141">
        <v>627000</v>
      </c>
    </row>
    <row r="71" spans="1:8" ht="20.100000000000001" customHeight="1">
      <c r="A71" s="152" t="s">
        <v>51</v>
      </c>
      <c r="B71" s="164" t="s">
        <v>437</v>
      </c>
      <c r="C71" s="213" t="s">
        <v>403</v>
      </c>
      <c r="D71" s="169" t="e">
        <f>recapitulatif!D78</f>
        <v>#REF!</v>
      </c>
      <c r="E71" s="169">
        <v>209</v>
      </c>
      <c r="F71" s="169">
        <v>1100</v>
      </c>
      <c r="G71" s="140" t="e">
        <f t="shared" si="5"/>
        <v>#REF!</v>
      </c>
      <c r="H71" s="141">
        <v>229900</v>
      </c>
    </row>
    <row r="72" spans="1:8" ht="20.100000000000001" customHeight="1">
      <c r="A72" s="152" t="s">
        <v>70</v>
      </c>
      <c r="B72" s="164" t="s">
        <v>438</v>
      </c>
      <c r="C72" s="213" t="s">
        <v>403</v>
      </c>
      <c r="D72" s="169" t="e">
        <f>recapitulatif!D79</f>
        <v>#REF!</v>
      </c>
      <c r="E72" s="169">
        <v>29</v>
      </c>
      <c r="F72" s="169">
        <v>1100</v>
      </c>
      <c r="G72" s="140" t="e">
        <f t="shared" si="5"/>
        <v>#REF!</v>
      </c>
      <c r="H72" s="141">
        <v>31900</v>
      </c>
    </row>
    <row r="73" spans="1:8" ht="20.100000000000001" customHeight="1">
      <c r="A73" s="152" t="s">
        <v>52</v>
      </c>
      <c r="B73" s="164" t="s">
        <v>439</v>
      </c>
      <c r="C73" s="213" t="s">
        <v>403</v>
      </c>
      <c r="D73" s="169" t="e">
        <f>recapitulatif!D80</f>
        <v>#REF!</v>
      </c>
      <c r="E73" s="169">
        <v>53</v>
      </c>
      <c r="F73" s="169">
        <v>1100</v>
      </c>
      <c r="G73" s="140" t="e">
        <f t="shared" si="5"/>
        <v>#REF!</v>
      </c>
      <c r="H73" s="141">
        <v>58300</v>
      </c>
    </row>
    <row r="74" spans="1:8" ht="20.100000000000001" customHeight="1">
      <c r="A74" s="152" t="s">
        <v>71</v>
      </c>
      <c r="B74" s="164" t="s">
        <v>440</v>
      </c>
      <c r="C74" s="213" t="s">
        <v>403</v>
      </c>
      <c r="D74" s="169" t="e">
        <f>recapitulatif!D81</f>
        <v>#REF!</v>
      </c>
      <c r="E74" s="169">
        <v>130</v>
      </c>
      <c r="F74" s="169">
        <v>1100</v>
      </c>
      <c r="G74" s="140" t="e">
        <f t="shared" si="5"/>
        <v>#REF!</v>
      </c>
      <c r="H74" s="141">
        <v>143000</v>
      </c>
    </row>
    <row r="75" spans="1:8" ht="20.100000000000001" customHeight="1">
      <c r="A75" s="152">
        <v>118</v>
      </c>
      <c r="B75" s="164" t="s">
        <v>441</v>
      </c>
      <c r="C75" s="213" t="s">
        <v>19</v>
      </c>
      <c r="D75" s="169" t="e">
        <f>recapitulatif!D82</f>
        <v>#REF!</v>
      </c>
      <c r="E75" s="169">
        <v>168980</v>
      </c>
      <c r="F75" s="169">
        <v>11</v>
      </c>
      <c r="G75" s="140" t="e">
        <f t="shared" si="5"/>
        <v>#REF!</v>
      </c>
      <c r="H75" s="141">
        <v>1858780</v>
      </c>
    </row>
    <row r="76" spans="1:8" ht="20.100000000000001" customHeight="1">
      <c r="A76" s="152">
        <v>119</v>
      </c>
      <c r="B76" s="164" t="s">
        <v>442</v>
      </c>
      <c r="C76" s="213" t="s">
        <v>28</v>
      </c>
      <c r="D76" s="169" t="e">
        <f>recapitulatif!D83</f>
        <v>#REF!</v>
      </c>
      <c r="E76" s="169">
        <v>179</v>
      </c>
      <c r="F76" s="169">
        <v>120</v>
      </c>
      <c r="G76" s="140" t="e">
        <f t="shared" si="5"/>
        <v>#REF!</v>
      </c>
      <c r="H76" s="141">
        <v>21480</v>
      </c>
    </row>
    <row r="77" spans="1:8" ht="20.100000000000001" customHeight="1">
      <c r="A77" s="152">
        <v>120</v>
      </c>
      <c r="B77" s="164" t="s">
        <v>443</v>
      </c>
      <c r="C77" s="213"/>
      <c r="D77" s="169"/>
      <c r="E77" s="169"/>
      <c r="F77" s="169"/>
      <c r="G77" s="140"/>
      <c r="H77" s="141"/>
    </row>
    <row r="78" spans="1:8" ht="20.100000000000001" customHeight="1">
      <c r="A78" s="152" t="s">
        <v>444</v>
      </c>
      <c r="B78" s="223" t="s">
        <v>445</v>
      </c>
      <c r="C78" s="213" t="s">
        <v>379</v>
      </c>
      <c r="D78" s="169"/>
      <c r="E78" s="169">
        <v>100</v>
      </c>
      <c r="F78" s="169">
        <v>230</v>
      </c>
      <c r="G78" s="140"/>
      <c r="H78" s="141">
        <v>23000</v>
      </c>
    </row>
    <row r="79" spans="1:8" ht="20.100000000000001" customHeight="1" thickBot="1">
      <c r="A79" s="152" t="s">
        <v>53</v>
      </c>
      <c r="B79" s="223" t="s">
        <v>446</v>
      </c>
      <c r="C79" s="213" t="s">
        <v>379</v>
      </c>
      <c r="D79" s="169" t="e">
        <f>recapitulatif!D85</f>
        <v>#REF!</v>
      </c>
      <c r="E79" s="169">
        <v>4095</v>
      </c>
      <c r="F79" s="169">
        <v>200</v>
      </c>
      <c r="G79" s="140" t="e">
        <f t="shared" si="5"/>
        <v>#REF!</v>
      </c>
      <c r="H79" s="141">
        <v>819000</v>
      </c>
    </row>
    <row r="80" spans="1:8" ht="20.100000000000001" customHeight="1" thickBot="1">
      <c r="A80" s="224"/>
      <c r="B80" s="562" t="s">
        <v>447</v>
      </c>
      <c r="C80" s="563"/>
      <c r="D80" s="563"/>
      <c r="E80" s="563"/>
      <c r="F80" s="564"/>
      <c r="G80" s="139" t="e">
        <f>SUM(G69:G79)</f>
        <v>#REF!</v>
      </c>
      <c r="H80" s="139">
        <f>SUM(H69:H79)</f>
        <v>4081860</v>
      </c>
    </row>
    <row r="81" spans="1:8" ht="20.100000000000001" customHeight="1">
      <c r="A81" s="201"/>
      <c r="B81" s="222" t="s">
        <v>448</v>
      </c>
      <c r="C81" s="213"/>
      <c r="D81" s="227"/>
      <c r="E81" s="227"/>
      <c r="F81" s="220"/>
      <c r="G81" s="144"/>
      <c r="H81" s="145"/>
    </row>
    <row r="82" spans="1:8" ht="20.100000000000001" customHeight="1">
      <c r="A82" s="152">
        <v>121</v>
      </c>
      <c r="B82" s="164" t="s">
        <v>449</v>
      </c>
      <c r="C82" s="213"/>
      <c r="D82" s="218"/>
      <c r="E82" s="218"/>
      <c r="F82" s="169"/>
      <c r="G82" s="147"/>
      <c r="H82" s="148"/>
    </row>
    <row r="83" spans="1:8" ht="20.100000000000001" customHeight="1">
      <c r="A83" s="152" t="s">
        <v>450</v>
      </c>
      <c r="B83" s="223" t="s">
        <v>451</v>
      </c>
      <c r="C83" s="213" t="s">
        <v>259</v>
      </c>
      <c r="D83" s="218"/>
      <c r="E83" s="218">
        <v>6680</v>
      </c>
      <c r="F83" s="169">
        <v>165</v>
      </c>
      <c r="G83" s="147"/>
      <c r="H83" s="148">
        <v>1102200</v>
      </c>
    </row>
    <row r="84" spans="1:8" ht="20.100000000000001" customHeight="1">
      <c r="A84" s="152" t="s">
        <v>72</v>
      </c>
      <c r="B84" s="223" t="s">
        <v>452</v>
      </c>
      <c r="C84" s="213" t="s">
        <v>259</v>
      </c>
      <c r="D84" s="169" t="e">
        <f>recapitulatif!D91</f>
        <v>#REF!</v>
      </c>
      <c r="E84" s="169">
        <v>3507</v>
      </c>
      <c r="F84" s="169">
        <v>170</v>
      </c>
      <c r="G84" s="147" t="e">
        <f t="shared" ref="G84:G86" si="6">F84*D84</f>
        <v>#REF!</v>
      </c>
      <c r="H84" s="141">
        <v>596190</v>
      </c>
    </row>
    <row r="85" spans="1:8" ht="20.100000000000001" customHeight="1">
      <c r="A85" s="152">
        <v>122</v>
      </c>
      <c r="B85" s="164" t="s">
        <v>453</v>
      </c>
      <c r="C85" s="213" t="s">
        <v>259</v>
      </c>
      <c r="D85" s="169" t="e">
        <f>recapitulatif!D92</f>
        <v>#REF!</v>
      </c>
      <c r="E85" s="169">
        <v>3235</v>
      </c>
      <c r="F85" s="169">
        <v>90</v>
      </c>
      <c r="G85" s="147" t="e">
        <f t="shared" si="6"/>
        <v>#REF!</v>
      </c>
      <c r="H85" s="141">
        <v>291150</v>
      </c>
    </row>
    <row r="86" spans="1:8" ht="20.100000000000001" customHeight="1" thickBot="1">
      <c r="A86" s="152">
        <v>123</v>
      </c>
      <c r="B86" s="164" t="s">
        <v>454</v>
      </c>
      <c r="C86" s="213" t="s">
        <v>259</v>
      </c>
      <c r="D86" s="169" t="e">
        <f>recapitulatif!D93</f>
        <v>#REF!</v>
      </c>
      <c r="E86" s="169">
        <v>414</v>
      </c>
      <c r="F86" s="169">
        <v>250</v>
      </c>
      <c r="G86" s="147" t="e">
        <f t="shared" si="6"/>
        <v>#REF!</v>
      </c>
      <c r="H86" s="141">
        <v>103500</v>
      </c>
    </row>
    <row r="87" spans="1:8" ht="20.100000000000001" customHeight="1" thickBot="1">
      <c r="A87" s="224"/>
      <c r="B87" s="562" t="s">
        <v>98</v>
      </c>
      <c r="C87" s="563"/>
      <c r="D87" s="563"/>
      <c r="E87" s="563"/>
      <c r="F87" s="564"/>
      <c r="G87" s="139" t="e">
        <f>SUM(G84:G86)</f>
        <v>#REF!</v>
      </c>
      <c r="H87" s="139">
        <f>SUM(H83:H86)</f>
        <v>2093040</v>
      </c>
    </row>
    <row r="88" spans="1:8" ht="20.100000000000001" customHeight="1">
      <c r="A88" s="201"/>
      <c r="B88" s="222" t="s">
        <v>455</v>
      </c>
      <c r="C88" s="213"/>
      <c r="D88" s="227"/>
      <c r="E88" s="227"/>
      <c r="F88" s="220"/>
      <c r="G88" s="147"/>
      <c r="H88" s="143"/>
    </row>
    <row r="89" spans="1:8" ht="20.100000000000001" customHeight="1">
      <c r="A89" s="152">
        <v>124</v>
      </c>
      <c r="B89" s="164" t="s">
        <v>456</v>
      </c>
      <c r="C89" s="213" t="s">
        <v>379</v>
      </c>
      <c r="D89" s="169" t="e">
        <f>recapitulatif!D98</f>
        <v>#REF!</v>
      </c>
      <c r="E89" s="169">
        <v>27495</v>
      </c>
      <c r="F89" s="169">
        <v>35</v>
      </c>
      <c r="G89" s="147" t="e">
        <f>F89*D89</f>
        <v>#REF!</v>
      </c>
      <c r="H89" s="141">
        <f>F89*E89</f>
        <v>962325</v>
      </c>
    </row>
    <row r="90" spans="1:8" ht="20.100000000000001" customHeight="1" thickBot="1">
      <c r="A90" s="152">
        <v>125</v>
      </c>
      <c r="B90" s="164" t="s">
        <v>457</v>
      </c>
      <c r="C90" s="213" t="s">
        <v>379</v>
      </c>
      <c r="D90" s="169" t="e">
        <f>recapitulatif!D99</f>
        <v>#REF!</v>
      </c>
      <c r="E90" s="169">
        <v>7545</v>
      </c>
      <c r="F90" s="169">
        <v>35</v>
      </c>
      <c r="G90" s="147" t="e">
        <f>F90*D90</f>
        <v>#REF!</v>
      </c>
      <c r="H90" s="141">
        <f>F90*E90</f>
        <v>264075</v>
      </c>
    </row>
    <row r="91" spans="1:8" ht="20.100000000000001" customHeight="1" thickBot="1">
      <c r="A91" s="231"/>
      <c r="B91" s="562" t="s">
        <v>458</v>
      </c>
      <c r="C91" s="563"/>
      <c r="D91" s="563"/>
      <c r="E91" s="563"/>
      <c r="F91" s="564"/>
      <c r="G91" s="139" t="e">
        <f>SUM(G89:G90)</f>
        <v>#REF!</v>
      </c>
      <c r="H91" s="139">
        <f>SUM(H89:H90)</f>
        <v>1226400</v>
      </c>
    </row>
    <row r="92" spans="1:8" ht="20.100000000000001" customHeight="1">
      <c r="A92" s="201"/>
      <c r="B92" s="222" t="s">
        <v>459</v>
      </c>
      <c r="C92" s="213"/>
      <c r="D92" s="227"/>
      <c r="E92" s="227"/>
      <c r="F92" s="220"/>
      <c r="G92" s="144"/>
      <c r="H92" s="145"/>
    </row>
    <row r="93" spans="1:8" ht="20.100000000000001" customHeight="1">
      <c r="A93" s="152">
        <v>126</v>
      </c>
      <c r="B93" s="164" t="s">
        <v>460</v>
      </c>
      <c r="C93" s="213" t="s">
        <v>28</v>
      </c>
      <c r="D93" s="169" t="e">
        <f>recapitulatif!D104</f>
        <v>#REF!</v>
      </c>
      <c r="E93" s="169">
        <v>341</v>
      </c>
      <c r="F93" s="169">
        <v>120</v>
      </c>
      <c r="G93" s="144" t="e">
        <f>F93*D93</f>
        <v>#REF!</v>
      </c>
      <c r="H93" s="145">
        <f>F93*E93</f>
        <v>40920</v>
      </c>
    </row>
    <row r="94" spans="1:8" ht="20.100000000000001" customHeight="1">
      <c r="A94" s="152">
        <v>127</v>
      </c>
      <c r="B94" s="164" t="s">
        <v>461</v>
      </c>
      <c r="C94" s="213" t="s">
        <v>379</v>
      </c>
      <c r="D94" s="169" t="e">
        <f>recapitulatif!D105</f>
        <v>#REF!</v>
      </c>
      <c r="E94" s="169">
        <v>161</v>
      </c>
      <c r="F94" s="169">
        <v>70</v>
      </c>
      <c r="G94" s="144" t="e">
        <f t="shared" ref="G94:G103" si="7">F94*D94</f>
        <v>#REF!</v>
      </c>
      <c r="H94" s="145">
        <f t="shared" ref="H94:H103" si="8">F94*E94</f>
        <v>11270</v>
      </c>
    </row>
    <row r="95" spans="1:8" ht="20.100000000000001" customHeight="1">
      <c r="A95" s="152">
        <v>128</v>
      </c>
      <c r="B95" s="164" t="s">
        <v>462</v>
      </c>
      <c r="C95" s="213" t="s">
        <v>379</v>
      </c>
      <c r="D95" s="169" t="e">
        <f>recapitulatif!D106</f>
        <v>#REF!</v>
      </c>
      <c r="E95" s="169">
        <v>133</v>
      </c>
      <c r="F95" s="169">
        <v>180</v>
      </c>
      <c r="G95" s="144" t="e">
        <f t="shared" si="7"/>
        <v>#REF!</v>
      </c>
      <c r="H95" s="145">
        <f t="shared" si="8"/>
        <v>23940</v>
      </c>
    </row>
    <row r="96" spans="1:8" ht="20.100000000000001" customHeight="1">
      <c r="A96" s="152">
        <v>129</v>
      </c>
      <c r="B96" s="164" t="s">
        <v>463</v>
      </c>
      <c r="C96" s="213" t="s">
        <v>16</v>
      </c>
      <c r="D96" s="169"/>
      <c r="E96" s="169">
        <v>4</v>
      </c>
      <c r="F96" s="169">
        <v>3500</v>
      </c>
      <c r="G96" s="144">
        <f t="shared" si="7"/>
        <v>0</v>
      </c>
      <c r="H96" s="145">
        <f t="shared" si="8"/>
        <v>14000</v>
      </c>
    </row>
    <row r="97" spans="1:8" ht="20.100000000000001" customHeight="1">
      <c r="A97" s="152">
        <v>130</v>
      </c>
      <c r="B97" s="164" t="s">
        <v>464</v>
      </c>
      <c r="C97" s="213" t="s">
        <v>28</v>
      </c>
      <c r="D97" s="169" t="e">
        <f>recapitulatif!D107</f>
        <v>#REF!</v>
      </c>
      <c r="E97" s="169">
        <v>34</v>
      </c>
      <c r="F97" s="169">
        <v>1300</v>
      </c>
      <c r="G97" s="144" t="e">
        <f t="shared" si="7"/>
        <v>#REF!</v>
      </c>
      <c r="H97" s="145">
        <f t="shared" si="8"/>
        <v>44200</v>
      </c>
    </row>
    <row r="98" spans="1:8" ht="20.100000000000001" customHeight="1">
      <c r="A98" s="152">
        <v>131</v>
      </c>
      <c r="B98" s="164" t="s">
        <v>465</v>
      </c>
      <c r="C98" s="213" t="s">
        <v>16</v>
      </c>
      <c r="D98" s="169" t="e">
        <f>recapitulatif!D108</f>
        <v>#REF!</v>
      </c>
      <c r="E98" s="169">
        <v>42</v>
      </c>
      <c r="F98" s="169">
        <v>500</v>
      </c>
      <c r="G98" s="144" t="e">
        <f t="shared" si="7"/>
        <v>#REF!</v>
      </c>
      <c r="H98" s="145">
        <f t="shared" si="8"/>
        <v>21000</v>
      </c>
    </row>
    <row r="99" spans="1:8" ht="20.100000000000001" customHeight="1">
      <c r="A99" s="152">
        <v>132</v>
      </c>
      <c r="B99" s="164" t="s">
        <v>466</v>
      </c>
      <c r="C99" s="213" t="s">
        <v>28</v>
      </c>
      <c r="D99" s="169" t="e">
        <f>recapitulatif!D109</f>
        <v>#REF!</v>
      </c>
      <c r="E99" s="169">
        <v>235</v>
      </c>
      <c r="F99" s="169">
        <v>200</v>
      </c>
      <c r="G99" s="144" t="e">
        <f t="shared" si="7"/>
        <v>#REF!</v>
      </c>
      <c r="H99" s="145">
        <f t="shared" si="8"/>
        <v>47000</v>
      </c>
    </row>
    <row r="100" spans="1:8" ht="20.100000000000001" customHeight="1">
      <c r="A100" s="152">
        <v>133</v>
      </c>
      <c r="B100" s="164" t="s">
        <v>467</v>
      </c>
      <c r="C100" s="213" t="s">
        <v>379</v>
      </c>
      <c r="D100" s="169" t="e">
        <f>recapitulatif!D110</f>
        <v>#REF!</v>
      </c>
      <c r="E100" s="169">
        <v>41</v>
      </c>
      <c r="F100" s="169">
        <v>300</v>
      </c>
      <c r="G100" s="144" t="e">
        <f t="shared" si="7"/>
        <v>#REF!</v>
      </c>
      <c r="H100" s="145">
        <f t="shared" si="8"/>
        <v>12300</v>
      </c>
    </row>
    <row r="101" spans="1:8" ht="20.100000000000001" customHeight="1">
      <c r="A101" s="152">
        <v>134</v>
      </c>
      <c r="B101" s="164" t="s">
        <v>468</v>
      </c>
      <c r="C101" s="213" t="s">
        <v>28</v>
      </c>
      <c r="D101" s="169" t="e">
        <f>recapitulatif!D111</f>
        <v>#REF!</v>
      </c>
      <c r="E101" s="169">
        <v>939</v>
      </c>
      <c r="F101" s="169">
        <v>100</v>
      </c>
      <c r="G101" s="144" t="e">
        <f t="shared" si="7"/>
        <v>#REF!</v>
      </c>
      <c r="H101" s="145">
        <f t="shared" si="8"/>
        <v>93900</v>
      </c>
    </row>
    <row r="102" spans="1:8" ht="20.100000000000001" customHeight="1">
      <c r="A102" s="152">
        <v>135</v>
      </c>
      <c r="B102" s="164" t="s">
        <v>469</v>
      </c>
      <c r="C102" s="213" t="s">
        <v>264</v>
      </c>
      <c r="D102" s="169"/>
      <c r="E102" s="169">
        <v>1</v>
      </c>
      <c r="F102" s="169">
        <v>100000</v>
      </c>
      <c r="G102" s="144">
        <f t="shared" si="7"/>
        <v>0</v>
      </c>
      <c r="H102" s="145">
        <f t="shared" si="8"/>
        <v>100000</v>
      </c>
    </row>
    <row r="103" spans="1:8" ht="20.100000000000001" customHeight="1" thickBot="1">
      <c r="A103" s="152">
        <v>136</v>
      </c>
      <c r="B103" s="164" t="s">
        <v>470</v>
      </c>
      <c r="C103" s="213" t="s">
        <v>16</v>
      </c>
      <c r="D103" s="169"/>
      <c r="E103" s="169">
        <v>8</v>
      </c>
      <c r="F103" s="169">
        <v>1000</v>
      </c>
      <c r="G103" s="144">
        <f t="shared" si="7"/>
        <v>0</v>
      </c>
      <c r="H103" s="145">
        <f t="shared" si="8"/>
        <v>8000</v>
      </c>
    </row>
    <row r="104" spans="1:8" ht="20.100000000000001" customHeight="1" thickBot="1">
      <c r="A104" s="230"/>
      <c r="B104" s="565" t="s">
        <v>471</v>
      </c>
      <c r="C104" s="566"/>
      <c r="D104" s="566"/>
      <c r="E104" s="566"/>
      <c r="F104" s="567"/>
      <c r="G104" s="139" t="e">
        <f>SUM(G93:G103)</f>
        <v>#REF!</v>
      </c>
      <c r="H104" s="139">
        <f>SUM(H93:H103)</f>
        <v>416530</v>
      </c>
    </row>
    <row r="105" spans="1:8" ht="20.100000000000001" customHeight="1" thickBot="1">
      <c r="A105" s="575"/>
      <c r="B105" s="575"/>
      <c r="C105" s="575"/>
      <c r="D105" s="575"/>
      <c r="E105" s="575"/>
      <c r="F105" s="575"/>
      <c r="G105" s="575"/>
      <c r="H105" s="576"/>
    </row>
    <row r="106" spans="1:8" ht="20.100000000000001" customHeight="1" thickBot="1">
      <c r="A106" s="568" t="s">
        <v>472</v>
      </c>
      <c r="B106" s="569"/>
      <c r="C106" s="569"/>
      <c r="D106" s="569"/>
      <c r="E106" s="569"/>
      <c r="F106" s="570"/>
      <c r="G106" s="133" t="e">
        <f>SUM(G104+G91+G87+G80+G66+G61+G49+G37)</f>
        <v>#REF!</v>
      </c>
      <c r="H106" s="133">
        <f>H104+H91+H87+H80+H66+H61+H49+H37</f>
        <v>12541120</v>
      </c>
    </row>
    <row r="107" spans="1:8" ht="20.100000000000001" customHeight="1">
      <c r="A107" s="149"/>
      <c r="B107" s="149"/>
      <c r="C107" s="149"/>
      <c r="D107" s="149"/>
      <c r="E107" s="149"/>
      <c r="F107" s="232"/>
      <c r="G107" s="144"/>
      <c r="H107" s="145"/>
    </row>
    <row r="108" spans="1:8" ht="20.100000000000001" customHeight="1">
      <c r="A108" s="571" t="s">
        <v>473</v>
      </c>
      <c r="B108" s="571"/>
      <c r="C108" s="149"/>
      <c r="D108" s="149"/>
      <c r="E108" s="149"/>
      <c r="F108" s="232"/>
      <c r="G108" s="144"/>
      <c r="H108" s="145"/>
    </row>
    <row r="109" spans="1:8" ht="20.100000000000001" customHeight="1">
      <c r="A109" s="152">
        <v>201</v>
      </c>
      <c r="B109" s="164" t="s">
        <v>474</v>
      </c>
      <c r="C109" s="213" t="s">
        <v>379</v>
      </c>
      <c r="D109" s="169" t="e">
        <f>recapitulatif!D118</f>
        <v>#REF!</v>
      </c>
      <c r="E109" s="169">
        <v>3635</v>
      </c>
      <c r="F109" s="169">
        <v>30</v>
      </c>
      <c r="G109" s="147" t="e">
        <f>F109*D109</f>
        <v>#REF!</v>
      </c>
      <c r="H109" s="148">
        <f>F109*E109</f>
        <v>109050</v>
      </c>
    </row>
    <row r="110" spans="1:8" ht="20.100000000000001" customHeight="1">
      <c r="A110" s="152">
        <v>202</v>
      </c>
      <c r="B110" s="164" t="s">
        <v>475</v>
      </c>
      <c r="C110" s="213" t="s">
        <v>379</v>
      </c>
      <c r="D110" s="169" t="e">
        <f>recapitulatif!D119</f>
        <v>#REF!</v>
      </c>
      <c r="E110" s="169">
        <v>3635</v>
      </c>
      <c r="F110" s="169">
        <v>5</v>
      </c>
      <c r="G110" s="147" t="e">
        <f t="shared" ref="G110:G118" si="9">F110*D110</f>
        <v>#REF!</v>
      </c>
      <c r="H110" s="148">
        <f t="shared" ref="H110:H118" si="10">F110*E110</f>
        <v>18175</v>
      </c>
    </row>
    <row r="111" spans="1:8" ht="20.100000000000001" customHeight="1">
      <c r="A111" s="152">
        <v>203</v>
      </c>
      <c r="B111" s="164" t="s">
        <v>476</v>
      </c>
      <c r="C111" s="213" t="s">
        <v>28</v>
      </c>
      <c r="D111" s="169" t="e">
        <f>recapitulatif!D120</f>
        <v>#REF!</v>
      </c>
      <c r="E111" s="169">
        <v>1253</v>
      </c>
      <c r="F111" s="169">
        <v>25</v>
      </c>
      <c r="G111" s="147" t="e">
        <f t="shared" si="9"/>
        <v>#REF!</v>
      </c>
      <c r="H111" s="148">
        <f t="shared" si="10"/>
        <v>31325</v>
      </c>
    </row>
    <row r="112" spans="1:8" ht="20.100000000000001" customHeight="1">
      <c r="A112" s="152">
        <v>204</v>
      </c>
      <c r="B112" s="164" t="s">
        <v>477</v>
      </c>
      <c r="C112" s="213" t="s">
        <v>379</v>
      </c>
      <c r="D112" s="169" t="e">
        <f>recapitulatif!D121</f>
        <v>#REF!</v>
      </c>
      <c r="E112" s="169">
        <v>3635</v>
      </c>
      <c r="F112" s="169">
        <v>120</v>
      </c>
      <c r="G112" s="147" t="e">
        <f t="shared" si="9"/>
        <v>#REF!</v>
      </c>
      <c r="H112" s="148">
        <f t="shared" si="10"/>
        <v>436200</v>
      </c>
    </row>
    <row r="113" spans="1:8" ht="20.100000000000001" customHeight="1">
      <c r="A113" s="152">
        <v>205</v>
      </c>
      <c r="B113" s="164" t="s">
        <v>478</v>
      </c>
      <c r="C113" s="213" t="s">
        <v>28</v>
      </c>
      <c r="D113" s="169" t="e">
        <f>recapitulatif!D122</f>
        <v>#REF!</v>
      </c>
      <c r="E113" s="169">
        <v>1253</v>
      </c>
      <c r="F113" s="169">
        <v>50</v>
      </c>
      <c r="G113" s="147" t="e">
        <f t="shared" si="9"/>
        <v>#REF!</v>
      </c>
      <c r="H113" s="148">
        <f t="shared" si="10"/>
        <v>62650</v>
      </c>
    </row>
    <row r="114" spans="1:8" ht="20.100000000000001" customHeight="1">
      <c r="A114" s="152">
        <v>206</v>
      </c>
      <c r="B114" s="164" t="s">
        <v>479</v>
      </c>
      <c r="C114" s="213" t="s">
        <v>379</v>
      </c>
      <c r="D114" s="169" t="e">
        <f>recapitulatif!D123</f>
        <v>#REF!</v>
      </c>
      <c r="E114" s="169">
        <v>3635</v>
      </c>
      <c r="F114" s="169">
        <v>40</v>
      </c>
      <c r="G114" s="147" t="e">
        <f t="shared" si="9"/>
        <v>#REF!</v>
      </c>
      <c r="H114" s="148">
        <f t="shared" si="10"/>
        <v>145400</v>
      </c>
    </row>
    <row r="115" spans="1:8" ht="20.100000000000001" customHeight="1">
      <c r="A115" s="152">
        <v>207</v>
      </c>
      <c r="B115" s="164" t="s">
        <v>480</v>
      </c>
      <c r="C115" s="213" t="s">
        <v>28</v>
      </c>
      <c r="D115" s="169" t="e">
        <f>recapitulatif!D124</f>
        <v>#REF!</v>
      </c>
      <c r="E115" s="169">
        <v>1253</v>
      </c>
      <c r="F115" s="169">
        <v>25</v>
      </c>
      <c r="G115" s="147" t="e">
        <f t="shared" si="9"/>
        <v>#REF!</v>
      </c>
      <c r="H115" s="148">
        <f t="shared" si="10"/>
        <v>31325</v>
      </c>
    </row>
    <row r="116" spans="1:8" ht="20.100000000000001" customHeight="1">
      <c r="A116" s="152">
        <v>208</v>
      </c>
      <c r="B116" s="164" t="s">
        <v>481</v>
      </c>
      <c r="C116" s="213" t="s">
        <v>379</v>
      </c>
      <c r="D116" s="169" t="e">
        <f>recapitulatif!D125</f>
        <v>#REF!</v>
      </c>
      <c r="E116" s="169">
        <v>659</v>
      </c>
      <c r="F116" s="169">
        <v>110</v>
      </c>
      <c r="G116" s="147" t="e">
        <f t="shared" si="9"/>
        <v>#REF!</v>
      </c>
      <c r="H116" s="148">
        <f t="shared" si="10"/>
        <v>72490</v>
      </c>
    </row>
    <row r="117" spans="1:8" ht="20.100000000000001" customHeight="1">
      <c r="A117" s="152">
        <v>209</v>
      </c>
      <c r="B117" s="164" t="s">
        <v>482</v>
      </c>
      <c r="C117" s="213" t="s">
        <v>379</v>
      </c>
      <c r="D117" s="169" t="e">
        <f>recapitulatif!D126</f>
        <v>#REF!</v>
      </c>
      <c r="E117" s="169">
        <v>1540</v>
      </c>
      <c r="F117" s="169">
        <v>80</v>
      </c>
      <c r="G117" s="147" t="e">
        <f t="shared" si="9"/>
        <v>#REF!</v>
      </c>
      <c r="H117" s="148">
        <f t="shared" si="10"/>
        <v>123200</v>
      </c>
    </row>
    <row r="118" spans="1:8" ht="20.100000000000001" customHeight="1" thickBot="1">
      <c r="A118" s="152">
        <v>210</v>
      </c>
      <c r="B118" s="164" t="s">
        <v>483</v>
      </c>
      <c r="C118" s="213" t="s">
        <v>16</v>
      </c>
      <c r="D118" s="169" t="e">
        <f>recapitulatif!D127</f>
        <v>#REF!</v>
      </c>
      <c r="E118" s="169">
        <v>51</v>
      </c>
      <c r="F118" s="169">
        <v>400</v>
      </c>
      <c r="G118" s="147" t="e">
        <f t="shared" si="9"/>
        <v>#REF!</v>
      </c>
      <c r="H118" s="148">
        <f t="shared" si="10"/>
        <v>20400</v>
      </c>
    </row>
    <row r="119" spans="1:8" ht="20.100000000000001" customHeight="1" thickBot="1">
      <c r="A119" s="553" t="s">
        <v>484</v>
      </c>
      <c r="B119" s="554"/>
      <c r="C119" s="554"/>
      <c r="D119" s="554"/>
      <c r="E119" s="554"/>
      <c r="F119" s="555"/>
      <c r="G119" s="133" t="e">
        <f>SUM(G109:G118)</f>
        <v>#REF!</v>
      </c>
      <c r="H119" s="133">
        <f>SUM(H109:H118)</f>
        <v>1050215</v>
      </c>
    </row>
    <row r="120" spans="1:8" ht="20.100000000000001" customHeight="1">
      <c r="A120" s="149"/>
      <c r="B120" s="149"/>
      <c r="C120" s="149"/>
      <c r="D120" s="149"/>
      <c r="E120" s="149"/>
      <c r="F120" s="232"/>
      <c r="G120" s="144"/>
      <c r="H120" s="145"/>
    </row>
    <row r="121" spans="1:8" ht="20.100000000000001" customHeight="1">
      <c r="A121" s="571" t="s">
        <v>485</v>
      </c>
      <c r="B121" s="571"/>
      <c r="C121" s="149"/>
      <c r="D121" s="149"/>
      <c r="E121" s="149"/>
      <c r="F121" s="232"/>
      <c r="G121" s="144"/>
      <c r="H121" s="145"/>
    </row>
    <row r="122" spans="1:8" ht="20.100000000000001" customHeight="1">
      <c r="A122" s="152">
        <v>301</v>
      </c>
      <c r="B122" s="164" t="s">
        <v>486</v>
      </c>
      <c r="C122" s="213" t="s">
        <v>379</v>
      </c>
      <c r="D122" s="169">
        <f>recapitulatif!D132</f>
        <v>3948.91</v>
      </c>
      <c r="E122" s="169">
        <v>4303</v>
      </c>
      <c r="F122" s="169">
        <v>110</v>
      </c>
      <c r="G122" s="147">
        <f>F122*D122</f>
        <v>434380.1</v>
      </c>
      <c r="H122" s="148">
        <f>F122*E122</f>
        <v>473330</v>
      </c>
    </row>
    <row r="123" spans="1:8" ht="20.100000000000001" customHeight="1">
      <c r="A123" s="152">
        <v>302</v>
      </c>
      <c r="B123" s="164" t="s">
        <v>487</v>
      </c>
      <c r="C123" s="213" t="s">
        <v>379</v>
      </c>
      <c r="D123" s="169" t="e">
        <f>recapitulatif!D133</f>
        <v>#REF!</v>
      </c>
      <c r="E123" s="169">
        <v>890</v>
      </c>
      <c r="F123" s="169">
        <v>100</v>
      </c>
      <c r="G123" s="147" t="e">
        <f t="shared" ref="G123:G137" si="11">F123*D123</f>
        <v>#REF!</v>
      </c>
      <c r="H123" s="148">
        <f t="shared" ref="H123:H137" si="12">F123*E123</f>
        <v>89000</v>
      </c>
    </row>
    <row r="124" spans="1:8" ht="20.100000000000001" customHeight="1">
      <c r="A124" s="152">
        <v>303</v>
      </c>
      <c r="B124" s="164" t="s">
        <v>488</v>
      </c>
      <c r="C124" s="213" t="s">
        <v>28</v>
      </c>
      <c r="D124" s="169" t="e">
        <f>recapitulatif!D134</f>
        <v>#REF!</v>
      </c>
      <c r="E124" s="169">
        <v>2686</v>
      </c>
      <c r="F124" s="169">
        <v>30</v>
      </c>
      <c r="G124" s="147" t="e">
        <f t="shared" si="11"/>
        <v>#REF!</v>
      </c>
      <c r="H124" s="148">
        <f t="shared" si="12"/>
        <v>80580</v>
      </c>
    </row>
    <row r="125" spans="1:8" ht="20.100000000000001" customHeight="1">
      <c r="A125" s="152">
        <v>304</v>
      </c>
      <c r="B125" s="164" t="s">
        <v>489</v>
      </c>
      <c r="C125" s="213" t="s">
        <v>28</v>
      </c>
      <c r="D125" s="169" t="e">
        <f>recapitulatif!D135</f>
        <v>#REF!</v>
      </c>
      <c r="E125" s="169">
        <v>333</v>
      </c>
      <c r="F125" s="169">
        <v>25</v>
      </c>
      <c r="G125" s="147" t="e">
        <f t="shared" si="11"/>
        <v>#REF!</v>
      </c>
      <c r="H125" s="148">
        <f t="shared" si="12"/>
        <v>8325</v>
      </c>
    </row>
    <row r="126" spans="1:8" ht="20.100000000000001" customHeight="1">
      <c r="A126" s="152">
        <v>305</v>
      </c>
      <c r="B126" s="164" t="s">
        <v>490</v>
      </c>
      <c r="C126" s="213" t="s">
        <v>379</v>
      </c>
      <c r="D126" s="169" t="e">
        <f>recapitulatif!D136</f>
        <v>#REF!</v>
      </c>
      <c r="E126" s="169">
        <v>1009</v>
      </c>
      <c r="F126" s="169">
        <v>220</v>
      </c>
      <c r="G126" s="147" t="e">
        <f t="shared" si="11"/>
        <v>#REF!</v>
      </c>
      <c r="H126" s="148">
        <f t="shared" si="12"/>
        <v>221980</v>
      </c>
    </row>
    <row r="127" spans="1:8" ht="20.100000000000001" customHeight="1">
      <c r="A127" s="152">
        <v>306</v>
      </c>
      <c r="B127" s="164" t="s">
        <v>491</v>
      </c>
      <c r="C127" s="213" t="s">
        <v>28</v>
      </c>
      <c r="D127" s="169" t="e">
        <f>recapitulatif!D137</f>
        <v>#REF!</v>
      </c>
      <c r="E127" s="169">
        <v>439</v>
      </c>
      <c r="F127" s="169">
        <v>80</v>
      </c>
      <c r="G127" s="147" t="e">
        <f t="shared" si="11"/>
        <v>#REF!</v>
      </c>
      <c r="H127" s="148">
        <f t="shared" si="12"/>
        <v>35120</v>
      </c>
    </row>
    <row r="128" spans="1:8" ht="20.100000000000001" customHeight="1">
      <c r="A128" s="152">
        <v>307</v>
      </c>
      <c r="B128" s="164" t="s">
        <v>492</v>
      </c>
      <c r="C128" s="213" t="s">
        <v>379</v>
      </c>
      <c r="D128" s="169" t="e">
        <f>recapitulatif!D138</f>
        <v>#REF!</v>
      </c>
      <c r="E128" s="169">
        <v>3128</v>
      </c>
      <c r="F128" s="169">
        <v>220</v>
      </c>
      <c r="G128" s="147" t="e">
        <f t="shared" si="11"/>
        <v>#REF!</v>
      </c>
      <c r="H128" s="148">
        <f t="shared" si="12"/>
        <v>688160</v>
      </c>
    </row>
    <row r="129" spans="1:8" ht="20.100000000000001" customHeight="1">
      <c r="A129" s="152">
        <v>308</v>
      </c>
      <c r="B129" s="164" t="s">
        <v>291</v>
      </c>
      <c r="C129" s="213" t="s">
        <v>379</v>
      </c>
      <c r="D129" s="169" t="e">
        <f>recapitulatif!D139</f>
        <v>#REF!</v>
      </c>
      <c r="E129" s="169">
        <v>253</v>
      </c>
      <c r="F129" s="169">
        <v>650</v>
      </c>
      <c r="G129" s="147" t="e">
        <f t="shared" si="11"/>
        <v>#REF!</v>
      </c>
      <c r="H129" s="148">
        <f t="shared" si="12"/>
        <v>164450</v>
      </c>
    </row>
    <row r="130" spans="1:8" ht="20.100000000000001" customHeight="1">
      <c r="A130" s="152">
        <v>309</v>
      </c>
      <c r="B130" s="164" t="s">
        <v>493</v>
      </c>
      <c r="C130" s="213" t="s">
        <v>28</v>
      </c>
      <c r="D130" s="169" t="e">
        <f>recapitulatif!D140</f>
        <v>#REF!</v>
      </c>
      <c r="E130" s="169">
        <v>450</v>
      </c>
      <c r="F130" s="169">
        <v>300</v>
      </c>
      <c r="G130" s="147" t="e">
        <f t="shared" si="11"/>
        <v>#REF!</v>
      </c>
      <c r="H130" s="148">
        <f t="shared" si="12"/>
        <v>135000</v>
      </c>
    </row>
    <row r="131" spans="1:8" ht="20.100000000000001" customHeight="1">
      <c r="A131" s="152">
        <v>310</v>
      </c>
      <c r="B131" s="164" t="s">
        <v>494</v>
      </c>
      <c r="C131" s="213" t="s">
        <v>28</v>
      </c>
      <c r="D131" s="169"/>
      <c r="E131" s="169">
        <v>212</v>
      </c>
      <c r="F131" s="169">
        <v>250</v>
      </c>
      <c r="G131" s="147">
        <f t="shared" si="11"/>
        <v>0</v>
      </c>
      <c r="H131" s="148">
        <f t="shared" si="12"/>
        <v>53000</v>
      </c>
    </row>
    <row r="132" spans="1:8" ht="20.100000000000001" customHeight="1">
      <c r="A132" s="152">
        <v>311</v>
      </c>
      <c r="B132" s="164" t="s">
        <v>305</v>
      </c>
      <c r="C132" s="213" t="s">
        <v>28</v>
      </c>
      <c r="D132" s="169" t="e">
        <f>recapitulatif!D142</f>
        <v>#REF!</v>
      </c>
      <c r="E132" s="169">
        <v>352</v>
      </c>
      <c r="F132" s="169">
        <v>100</v>
      </c>
      <c r="G132" s="147" t="e">
        <f t="shared" si="11"/>
        <v>#REF!</v>
      </c>
      <c r="H132" s="148">
        <f t="shared" si="12"/>
        <v>35200</v>
      </c>
    </row>
    <row r="133" spans="1:8" ht="20.100000000000001" customHeight="1">
      <c r="A133" s="152">
        <v>312</v>
      </c>
      <c r="B133" s="164" t="s">
        <v>495</v>
      </c>
      <c r="C133" s="213" t="s">
        <v>379</v>
      </c>
      <c r="D133" s="169" t="e">
        <f>recapitulatif!D143</f>
        <v>#REF!</v>
      </c>
      <c r="E133" s="169">
        <v>127</v>
      </c>
      <c r="F133" s="169">
        <v>650</v>
      </c>
      <c r="G133" s="147" t="e">
        <f t="shared" si="11"/>
        <v>#REF!</v>
      </c>
      <c r="H133" s="148">
        <f t="shared" si="12"/>
        <v>82550</v>
      </c>
    </row>
    <row r="134" spans="1:8" ht="20.100000000000001" customHeight="1">
      <c r="A134" s="152">
        <v>313</v>
      </c>
      <c r="B134" s="164" t="s">
        <v>496</v>
      </c>
      <c r="C134" s="213" t="s">
        <v>379</v>
      </c>
      <c r="D134" s="169">
        <f>recapitulatif!D146</f>
        <v>320.76</v>
      </c>
      <c r="E134" s="169">
        <v>335</v>
      </c>
      <c r="F134" s="169">
        <v>220</v>
      </c>
      <c r="G134" s="147">
        <f t="shared" si="11"/>
        <v>70567.199999999997</v>
      </c>
      <c r="H134" s="148">
        <f t="shared" si="12"/>
        <v>73700</v>
      </c>
    </row>
    <row r="135" spans="1:8" ht="20.100000000000001" customHeight="1">
      <c r="A135" s="152">
        <v>314</v>
      </c>
      <c r="B135" s="164" t="s">
        <v>497</v>
      </c>
      <c r="C135" s="213" t="s">
        <v>28</v>
      </c>
      <c r="D135" s="169" t="e">
        <f>recapitulatif!D147</f>
        <v>#REF!</v>
      </c>
      <c r="E135" s="169">
        <v>120</v>
      </c>
      <c r="F135" s="169">
        <v>80</v>
      </c>
      <c r="G135" s="147" t="e">
        <f t="shared" si="11"/>
        <v>#REF!</v>
      </c>
      <c r="H135" s="148">
        <f t="shared" si="12"/>
        <v>9600</v>
      </c>
    </row>
    <row r="136" spans="1:8" ht="20.100000000000001" customHeight="1">
      <c r="A136" s="152">
        <v>315</v>
      </c>
      <c r="B136" s="164" t="s">
        <v>498</v>
      </c>
      <c r="C136" s="213" t="s">
        <v>379</v>
      </c>
      <c r="D136" s="169" t="e">
        <f>recapitulatif!D148</f>
        <v>#REF!</v>
      </c>
      <c r="E136" s="169">
        <v>2325</v>
      </c>
      <c r="F136" s="169">
        <v>240</v>
      </c>
      <c r="G136" s="147" t="e">
        <f t="shared" si="11"/>
        <v>#REF!</v>
      </c>
      <c r="H136" s="148">
        <f t="shared" si="12"/>
        <v>558000</v>
      </c>
    </row>
    <row r="137" spans="1:8" ht="20.100000000000001" customHeight="1" thickBot="1">
      <c r="A137" s="152">
        <v>316</v>
      </c>
      <c r="B137" s="164" t="s">
        <v>499</v>
      </c>
      <c r="C137" s="213" t="s">
        <v>28</v>
      </c>
      <c r="D137" s="169" t="e">
        <f>recapitulatif!D149</f>
        <v>#REF!</v>
      </c>
      <c r="E137" s="169">
        <v>42</v>
      </c>
      <c r="F137" s="169">
        <v>240</v>
      </c>
      <c r="G137" s="147" t="e">
        <f t="shared" si="11"/>
        <v>#REF!</v>
      </c>
      <c r="H137" s="148">
        <f t="shared" si="12"/>
        <v>10080</v>
      </c>
    </row>
    <row r="138" spans="1:8" ht="20.100000000000001" customHeight="1" thickBot="1">
      <c r="A138" s="553" t="s">
        <v>500</v>
      </c>
      <c r="B138" s="554"/>
      <c r="C138" s="554"/>
      <c r="D138" s="554"/>
      <c r="E138" s="554"/>
      <c r="F138" s="555"/>
      <c r="G138" s="133" t="e">
        <f>SUM(G122:G137)</f>
        <v>#REF!</v>
      </c>
      <c r="H138" s="133">
        <f>SUM(H122:H137)</f>
        <v>2718075</v>
      </c>
    </row>
    <row r="139" spans="1:8" ht="20.100000000000001" customHeight="1">
      <c r="A139" s="149"/>
      <c r="B139" s="149"/>
      <c r="C139" s="149"/>
      <c r="D139" s="149"/>
      <c r="E139" s="149"/>
      <c r="F139" s="232"/>
      <c r="G139" s="144"/>
      <c r="H139" s="145"/>
    </row>
    <row r="140" spans="1:8" ht="30.75" customHeight="1">
      <c r="A140" s="571" t="s">
        <v>501</v>
      </c>
      <c r="B140" s="571"/>
      <c r="C140" s="149"/>
      <c r="D140" s="149"/>
      <c r="E140" s="149"/>
      <c r="F140" s="232"/>
      <c r="G140" s="144"/>
      <c r="H140" s="145"/>
    </row>
    <row r="141" spans="1:8" ht="20.100000000000001" customHeight="1">
      <c r="A141" s="152">
        <v>401</v>
      </c>
      <c r="B141" s="233" t="s">
        <v>293</v>
      </c>
      <c r="C141" s="213"/>
      <c r="D141" s="169"/>
      <c r="E141" s="169"/>
      <c r="F141" s="169"/>
      <c r="G141" s="147"/>
      <c r="H141" s="148"/>
    </row>
    <row r="142" spans="1:8" ht="27.75" customHeight="1">
      <c r="A142" s="152" t="s">
        <v>502</v>
      </c>
      <c r="B142" s="164" t="s">
        <v>503</v>
      </c>
      <c r="C142" s="156" t="s">
        <v>16</v>
      </c>
      <c r="D142" s="169" t="e">
        <f>recapitulatif!D156</f>
        <v>#REF!</v>
      </c>
      <c r="E142" s="169">
        <v>1</v>
      </c>
      <c r="F142" s="169">
        <v>3400</v>
      </c>
      <c r="G142" s="147" t="e">
        <f>F142*D142</f>
        <v>#REF!</v>
      </c>
      <c r="H142" s="148">
        <f t="shared" ref="H142:H150" si="13">F142*E142</f>
        <v>3400</v>
      </c>
    </row>
    <row r="143" spans="1:8" ht="20.100000000000001" customHeight="1">
      <c r="A143" s="152" t="s">
        <v>504</v>
      </c>
      <c r="B143" s="164" t="s">
        <v>505</v>
      </c>
      <c r="C143" s="213" t="s">
        <v>16</v>
      </c>
      <c r="D143" s="169" t="e">
        <f>recapitulatif!D158</f>
        <v>#REF!</v>
      </c>
      <c r="E143" s="169">
        <v>1</v>
      </c>
      <c r="F143" s="169">
        <v>3400</v>
      </c>
      <c r="G143" s="147" t="e">
        <f t="shared" ref="G143:G161" si="14">F143*D143</f>
        <v>#REF!</v>
      </c>
      <c r="H143" s="148">
        <f t="shared" si="13"/>
        <v>3400</v>
      </c>
    </row>
    <row r="144" spans="1:8" ht="20.100000000000001" customHeight="1">
      <c r="A144" s="152" t="s">
        <v>506</v>
      </c>
      <c r="B144" s="164" t="s">
        <v>507</v>
      </c>
      <c r="C144" s="213" t="s">
        <v>16</v>
      </c>
      <c r="D144" s="169" t="e">
        <f>recapitulatif!D159</f>
        <v>#REF!</v>
      </c>
      <c r="E144" s="169">
        <v>6</v>
      </c>
      <c r="F144" s="169">
        <v>2800</v>
      </c>
      <c r="G144" s="147" t="e">
        <f t="shared" si="14"/>
        <v>#REF!</v>
      </c>
      <c r="H144" s="148">
        <f t="shared" si="13"/>
        <v>16800</v>
      </c>
    </row>
    <row r="145" spans="1:8" ht="20.100000000000001" customHeight="1">
      <c r="A145" s="152" t="s">
        <v>508</v>
      </c>
      <c r="B145" s="164" t="s">
        <v>509</v>
      </c>
      <c r="C145" s="213" t="s">
        <v>16</v>
      </c>
      <c r="D145" s="169" t="e">
        <f>recapitulatif!D160</f>
        <v>#REF!</v>
      </c>
      <c r="E145" s="169">
        <v>2</v>
      </c>
      <c r="F145" s="169">
        <v>2500</v>
      </c>
      <c r="G145" s="147" t="e">
        <f t="shared" si="14"/>
        <v>#REF!</v>
      </c>
      <c r="H145" s="148">
        <f t="shared" si="13"/>
        <v>5000</v>
      </c>
    </row>
    <row r="146" spans="1:8" ht="20.100000000000001" customHeight="1">
      <c r="A146" s="152" t="s">
        <v>294</v>
      </c>
      <c r="B146" s="164" t="s">
        <v>510</v>
      </c>
      <c r="C146" s="213" t="s">
        <v>16</v>
      </c>
      <c r="D146" s="169" t="e">
        <f>recapitulatif!D161</f>
        <v>#REF!</v>
      </c>
      <c r="E146" s="169">
        <v>123</v>
      </c>
      <c r="F146" s="169">
        <v>1500</v>
      </c>
      <c r="G146" s="147" t="e">
        <f t="shared" si="14"/>
        <v>#REF!</v>
      </c>
      <c r="H146" s="148">
        <f t="shared" si="13"/>
        <v>184500</v>
      </c>
    </row>
    <row r="147" spans="1:8" ht="20.100000000000001" customHeight="1">
      <c r="A147" s="152" t="s">
        <v>511</v>
      </c>
      <c r="B147" s="164" t="s">
        <v>512</v>
      </c>
      <c r="C147" s="213" t="s">
        <v>16</v>
      </c>
      <c r="D147" s="169" t="e">
        <f>recapitulatif!D162</f>
        <v>#REF!</v>
      </c>
      <c r="E147" s="169">
        <v>114</v>
      </c>
      <c r="F147" s="169">
        <v>1400</v>
      </c>
      <c r="G147" s="147" t="e">
        <f t="shared" si="14"/>
        <v>#REF!</v>
      </c>
      <c r="H147" s="148">
        <f t="shared" si="13"/>
        <v>159600</v>
      </c>
    </row>
    <row r="148" spans="1:8" ht="25.5" customHeight="1">
      <c r="A148" s="152" t="s">
        <v>513</v>
      </c>
      <c r="B148" s="164" t="s">
        <v>514</v>
      </c>
      <c r="C148" s="213" t="s">
        <v>16</v>
      </c>
      <c r="D148" s="169" t="e">
        <f>recapitulatif!D164</f>
        <v>#REF!</v>
      </c>
      <c r="E148" s="169">
        <v>1</v>
      </c>
      <c r="F148" s="169">
        <v>3700</v>
      </c>
      <c r="G148" s="147" t="e">
        <f t="shared" si="14"/>
        <v>#REF!</v>
      </c>
      <c r="H148" s="148">
        <f t="shared" si="13"/>
        <v>3700</v>
      </c>
    </row>
    <row r="149" spans="1:8" ht="25.5" customHeight="1">
      <c r="A149" s="152" t="s">
        <v>515</v>
      </c>
      <c r="B149" s="164" t="s">
        <v>516</v>
      </c>
      <c r="C149" s="213" t="s">
        <v>16</v>
      </c>
      <c r="D149" s="169" t="e">
        <f>recapitulatif!D165</f>
        <v>#REF!</v>
      </c>
      <c r="E149" s="169">
        <v>2</v>
      </c>
      <c r="F149" s="169">
        <v>2700</v>
      </c>
      <c r="G149" s="147" t="e">
        <f t="shared" si="14"/>
        <v>#REF!</v>
      </c>
      <c r="H149" s="148">
        <f t="shared" si="13"/>
        <v>5400</v>
      </c>
    </row>
    <row r="150" spans="1:8" ht="20.100000000000001" customHeight="1">
      <c r="A150" s="152" t="s">
        <v>517</v>
      </c>
      <c r="B150" s="164" t="s">
        <v>518</v>
      </c>
      <c r="C150" s="213" t="s">
        <v>16</v>
      </c>
      <c r="D150" s="169" t="e">
        <f>recapitulatif!D166</f>
        <v>#REF!</v>
      </c>
      <c r="E150" s="169">
        <v>2</v>
      </c>
      <c r="F150" s="169">
        <v>1500</v>
      </c>
      <c r="G150" s="147" t="e">
        <f t="shared" si="14"/>
        <v>#REF!</v>
      </c>
      <c r="H150" s="148">
        <f t="shared" si="13"/>
        <v>3000</v>
      </c>
    </row>
    <row r="151" spans="1:8" ht="20.100000000000001" customHeight="1">
      <c r="A151" s="152" t="s">
        <v>295</v>
      </c>
      <c r="B151" s="233" t="s">
        <v>519</v>
      </c>
      <c r="C151" s="213"/>
      <c r="D151" s="169"/>
      <c r="E151" s="169"/>
      <c r="F151" s="169"/>
      <c r="G151" s="147"/>
      <c r="H151" s="148"/>
    </row>
    <row r="152" spans="1:8" ht="20.100000000000001" customHeight="1">
      <c r="A152" s="152" t="s">
        <v>296</v>
      </c>
      <c r="B152" s="164" t="s">
        <v>520</v>
      </c>
      <c r="C152" s="213" t="s">
        <v>16</v>
      </c>
      <c r="D152" s="169"/>
      <c r="E152" s="169">
        <v>19</v>
      </c>
      <c r="F152" s="169">
        <v>2400</v>
      </c>
      <c r="G152" s="147">
        <f t="shared" si="14"/>
        <v>0</v>
      </c>
      <c r="H152" s="148">
        <f t="shared" ref="H152:H161" si="15">F152*E152</f>
        <v>45600</v>
      </c>
    </row>
    <row r="153" spans="1:8" ht="20.100000000000001" customHeight="1">
      <c r="A153" s="152" t="s">
        <v>297</v>
      </c>
      <c r="B153" s="164" t="s">
        <v>521</v>
      </c>
      <c r="C153" s="213" t="s">
        <v>16</v>
      </c>
      <c r="D153" s="169" t="e">
        <f>recapitulatif!D169</f>
        <v>#REF!</v>
      </c>
      <c r="E153" s="169">
        <v>19</v>
      </c>
      <c r="F153" s="169">
        <v>2500</v>
      </c>
      <c r="G153" s="147" t="e">
        <f t="shared" si="14"/>
        <v>#REF!</v>
      </c>
      <c r="H153" s="148">
        <f t="shared" si="15"/>
        <v>47500</v>
      </c>
    </row>
    <row r="154" spans="1:8" ht="20.100000000000001" customHeight="1">
      <c r="A154" s="152" t="s">
        <v>298</v>
      </c>
      <c r="B154" s="164" t="s">
        <v>522</v>
      </c>
      <c r="C154" s="213" t="s">
        <v>16</v>
      </c>
      <c r="D154" s="169" t="e">
        <f>recapitulatif!D170</f>
        <v>#REF!</v>
      </c>
      <c r="E154" s="169">
        <v>2</v>
      </c>
      <c r="F154" s="169">
        <v>3700</v>
      </c>
      <c r="G154" s="147" t="e">
        <f t="shared" si="14"/>
        <v>#REF!</v>
      </c>
      <c r="H154" s="148">
        <f t="shared" si="15"/>
        <v>7400</v>
      </c>
    </row>
    <row r="155" spans="1:8" ht="20.100000000000001" customHeight="1">
      <c r="A155" s="152" t="s">
        <v>299</v>
      </c>
      <c r="B155" s="164" t="s">
        <v>523</v>
      </c>
      <c r="C155" s="213" t="s">
        <v>16</v>
      </c>
      <c r="D155" s="169" t="e">
        <f>recapitulatif!D171</f>
        <v>#REF!</v>
      </c>
      <c r="E155" s="169">
        <v>8</v>
      </c>
      <c r="F155" s="169">
        <v>5500</v>
      </c>
      <c r="G155" s="147" t="e">
        <f t="shared" si="14"/>
        <v>#REF!</v>
      </c>
      <c r="H155" s="148">
        <f t="shared" si="15"/>
        <v>44000</v>
      </c>
    </row>
    <row r="156" spans="1:8" ht="20.100000000000001" customHeight="1">
      <c r="A156" s="152" t="s">
        <v>300</v>
      </c>
      <c r="B156" s="164" t="s">
        <v>524</v>
      </c>
      <c r="C156" s="213" t="s">
        <v>16</v>
      </c>
      <c r="D156" s="169" t="e">
        <f>recapitulatif!D172</f>
        <v>#REF!</v>
      </c>
      <c r="E156" s="169">
        <v>3</v>
      </c>
      <c r="F156" s="169">
        <v>7100</v>
      </c>
      <c r="G156" s="147" t="e">
        <f t="shared" si="14"/>
        <v>#REF!</v>
      </c>
      <c r="H156" s="148">
        <f t="shared" si="15"/>
        <v>21300</v>
      </c>
    </row>
    <row r="157" spans="1:8" ht="20.100000000000001" customHeight="1">
      <c r="A157" s="152" t="s">
        <v>525</v>
      </c>
      <c r="B157" s="164" t="s">
        <v>526</v>
      </c>
      <c r="C157" s="213" t="s">
        <v>16</v>
      </c>
      <c r="D157" s="169"/>
      <c r="E157" s="169">
        <v>1</v>
      </c>
      <c r="F157" s="169">
        <v>5500</v>
      </c>
      <c r="G157" s="147">
        <f t="shared" si="14"/>
        <v>0</v>
      </c>
      <c r="H157" s="148">
        <f t="shared" si="15"/>
        <v>5500</v>
      </c>
    </row>
    <row r="158" spans="1:8" ht="20.100000000000001" customHeight="1">
      <c r="A158" s="152" t="s">
        <v>527</v>
      </c>
      <c r="B158" s="164" t="s">
        <v>528</v>
      </c>
      <c r="C158" s="213" t="s">
        <v>16</v>
      </c>
      <c r="D158" s="169"/>
      <c r="E158" s="169">
        <v>3</v>
      </c>
      <c r="F158" s="169">
        <v>4200</v>
      </c>
      <c r="G158" s="147">
        <f t="shared" si="14"/>
        <v>0</v>
      </c>
      <c r="H158" s="148">
        <f t="shared" si="15"/>
        <v>12600</v>
      </c>
    </row>
    <row r="159" spans="1:8" ht="20.100000000000001" customHeight="1">
      <c r="A159" s="152" t="s">
        <v>301</v>
      </c>
      <c r="B159" s="164" t="s">
        <v>529</v>
      </c>
      <c r="C159" s="213" t="s">
        <v>16</v>
      </c>
      <c r="D159" s="169" t="e">
        <f>recapitulatif!D175</f>
        <v>#REF!</v>
      </c>
      <c r="E159" s="169">
        <v>4</v>
      </c>
      <c r="F159" s="169">
        <v>1100</v>
      </c>
      <c r="G159" s="147" t="e">
        <f t="shared" si="14"/>
        <v>#REF!</v>
      </c>
      <c r="H159" s="148">
        <f t="shared" si="15"/>
        <v>4400</v>
      </c>
    </row>
    <row r="160" spans="1:8" ht="20.100000000000001" customHeight="1">
      <c r="A160" s="152" t="s">
        <v>530</v>
      </c>
      <c r="B160" s="233" t="s">
        <v>531</v>
      </c>
      <c r="C160" s="213" t="s">
        <v>28</v>
      </c>
      <c r="D160" s="169"/>
      <c r="E160" s="169">
        <v>5</v>
      </c>
      <c r="F160" s="169">
        <v>700</v>
      </c>
      <c r="G160" s="147">
        <f t="shared" si="14"/>
        <v>0</v>
      </c>
      <c r="H160" s="148">
        <f t="shared" si="15"/>
        <v>3500</v>
      </c>
    </row>
    <row r="161" spans="1:8" ht="20.100000000000001" customHeight="1" thickBot="1">
      <c r="A161" s="152" t="s">
        <v>302</v>
      </c>
      <c r="B161" s="233" t="s">
        <v>532</v>
      </c>
      <c r="C161" s="213" t="s">
        <v>379</v>
      </c>
      <c r="D161" s="169" t="e">
        <f>recapitulatif!D176</f>
        <v>#REF!</v>
      </c>
      <c r="E161" s="169">
        <v>49</v>
      </c>
      <c r="F161" s="169">
        <v>700</v>
      </c>
      <c r="G161" s="147" t="e">
        <f t="shared" si="14"/>
        <v>#REF!</v>
      </c>
      <c r="H161" s="148">
        <f t="shared" si="15"/>
        <v>34300</v>
      </c>
    </row>
    <row r="162" spans="1:8" ht="20.100000000000001" customHeight="1" thickBot="1">
      <c r="A162" s="150"/>
      <c r="B162" s="562" t="s">
        <v>304</v>
      </c>
      <c r="C162" s="563"/>
      <c r="D162" s="563"/>
      <c r="E162" s="563"/>
      <c r="F162" s="564"/>
      <c r="G162" s="139" t="e">
        <f>SUM(G142:G161)</f>
        <v>#REF!</v>
      </c>
      <c r="H162" s="139">
        <f>SUM(H142:H161)</f>
        <v>610900</v>
      </c>
    </row>
    <row r="163" spans="1:8" ht="20.100000000000001" customHeight="1">
      <c r="A163" s="152">
        <v>402</v>
      </c>
      <c r="B163" s="223" t="s">
        <v>533</v>
      </c>
      <c r="C163" s="213"/>
      <c r="D163" s="169"/>
      <c r="E163" s="169"/>
      <c r="F163" s="169"/>
      <c r="G163" s="147"/>
      <c r="H163" s="148"/>
    </row>
    <row r="164" spans="1:8" ht="20.100000000000001" customHeight="1">
      <c r="A164" s="152" t="s">
        <v>1299</v>
      </c>
      <c r="B164" s="243" t="s">
        <v>1300</v>
      </c>
      <c r="C164" s="213"/>
      <c r="D164" s="169"/>
      <c r="E164" s="169"/>
      <c r="F164" s="169"/>
      <c r="G164" s="147"/>
      <c r="H164" s="148"/>
    </row>
    <row r="165" spans="1:8" ht="20.100000000000001" customHeight="1">
      <c r="A165" s="152" t="s">
        <v>534</v>
      </c>
      <c r="B165" s="164" t="s">
        <v>1318</v>
      </c>
      <c r="C165" s="156" t="s">
        <v>16</v>
      </c>
      <c r="D165" s="169" t="e">
        <f>recapitulatif!D180</f>
        <v>#REF!</v>
      </c>
      <c r="E165" s="169">
        <v>1</v>
      </c>
      <c r="F165" s="169">
        <v>25000</v>
      </c>
      <c r="G165" s="147" t="e">
        <f>F165*D165</f>
        <v>#REF!</v>
      </c>
      <c r="H165" s="148">
        <f>F165*E165</f>
        <v>25000</v>
      </c>
    </row>
    <row r="166" spans="1:8" ht="20.100000000000001" customHeight="1">
      <c r="A166" s="152" t="s">
        <v>535</v>
      </c>
      <c r="B166" s="164" t="s">
        <v>1302</v>
      </c>
      <c r="C166" s="156" t="s">
        <v>16</v>
      </c>
      <c r="D166" s="169" t="e">
        <f>recapitulatif!D181</f>
        <v>#REF!</v>
      </c>
      <c r="E166" s="169">
        <v>1</v>
      </c>
      <c r="F166" s="169">
        <v>23000</v>
      </c>
      <c r="G166" s="147" t="e">
        <f t="shared" ref="G166:G224" si="16">F166*D166</f>
        <v>#REF!</v>
      </c>
      <c r="H166" s="148">
        <f t="shared" ref="H166:H224" si="17">F166*E166</f>
        <v>23000</v>
      </c>
    </row>
    <row r="167" spans="1:8" ht="20.100000000000001" customHeight="1">
      <c r="A167" s="152" t="s">
        <v>536</v>
      </c>
      <c r="B167" s="164" t="s">
        <v>1303</v>
      </c>
      <c r="C167" s="156" t="s">
        <v>16</v>
      </c>
      <c r="D167" s="169" t="e">
        <f>recapitulatif!D182</f>
        <v>#REF!</v>
      </c>
      <c r="E167" s="169">
        <v>1</v>
      </c>
      <c r="F167" s="169">
        <v>17000</v>
      </c>
      <c r="G167" s="147" t="e">
        <f t="shared" si="16"/>
        <v>#REF!</v>
      </c>
      <c r="H167" s="148">
        <f t="shared" si="17"/>
        <v>17000</v>
      </c>
    </row>
    <row r="168" spans="1:8" ht="20.100000000000001" customHeight="1">
      <c r="A168" s="152" t="s">
        <v>537</v>
      </c>
      <c r="B168" s="164" t="s">
        <v>1319</v>
      </c>
      <c r="C168" s="156" t="s">
        <v>16</v>
      </c>
      <c r="D168" s="169" t="e">
        <f>recapitulatif!D183</f>
        <v>#REF!</v>
      </c>
      <c r="E168" s="169">
        <v>4</v>
      </c>
      <c r="F168" s="169">
        <v>14000</v>
      </c>
      <c r="G168" s="147" t="e">
        <f t="shared" si="16"/>
        <v>#REF!</v>
      </c>
      <c r="H168" s="148">
        <f t="shared" si="17"/>
        <v>56000</v>
      </c>
    </row>
    <row r="169" spans="1:8" ht="20.100000000000001" customHeight="1">
      <c r="A169" s="152" t="s">
        <v>538</v>
      </c>
      <c r="B169" s="164" t="s">
        <v>1304</v>
      </c>
      <c r="C169" s="156" t="s">
        <v>16</v>
      </c>
      <c r="D169" s="169" t="e">
        <f>recapitulatif!D184</f>
        <v>#REF!</v>
      </c>
      <c r="E169" s="169">
        <v>1</v>
      </c>
      <c r="F169" s="169">
        <v>14000</v>
      </c>
      <c r="G169" s="147" t="e">
        <f t="shared" si="16"/>
        <v>#REF!</v>
      </c>
      <c r="H169" s="148">
        <f t="shared" si="17"/>
        <v>14000</v>
      </c>
    </row>
    <row r="170" spans="1:8" ht="20.100000000000001" customHeight="1">
      <c r="A170" s="152" t="s">
        <v>1298</v>
      </c>
      <c r="B170" s="243" t="s">
        <v>1301</v>
      </c>
      <c r="C170" s="156"/>
      <c r="D170" s="169"/>
      <c r="E170" s="169"/>
      <c r="F170" s="169"/>
      <c r="G170" s="147"/>
      <c r="H170" s="148"/>
    </row>
    <row r="171" spans="1:8" ht="20.100000000000001" customHeight="1">
      <c r="A171" s="152" t="s">
        <v>539</v>
      </c>
      <c r="B171" s="164" t="s">
        <v>1305</v>
      </c>
      <c r="C171" s="156" t="s">
        <v>16</v>
      </c>
      <c r="D171" s="169" t="e">
        <f>recapitulatif!D186</f>
        <v>#REF!</v>
      </c>
      <c r="E171" s="169">
        <v>4</v>
      </c>
      <c r="F171" s="169">
        <v>14000</v>
      </c>
      <c r="G171" s="147" t="e">
        <f t="shared" si="16"/>
        <v>#REF!</v>
      </c>
      <c r="H171" s="148">
        <f t="shared" si="17"/>
        <v>56000</v>
      </c>
    </row>
    <row r="172" spans="1:8" ht="20.100000000000001" customHeight="1">
      <c r="A172" s="152" t="s">
        <v>540</v>
      </c>
      <c r="B172" s="164" t="s">
        <v>1306</v>
      </c>
      <c r="C172" s="156" t="s">
        <v>16</v>
      </c>
      <c r="D172" s="169" t="e">
        <f>recapitulatif!D187</f>
        <v>#REF!</v>
      </c>
      <c r="E172" s="169">
        <v>1</v>
      </c>
      <c r="F172" s="169">
        <v>4500</v>
      </c>
      <c r="G172" s="147" t="e">
        <f t="shared" si="16"/>
        <v>#REF!</v>
      </c>
      <c r="H172" s="148">
        <f t="shared" si="17"/>
        <v>4500</v>
      </c>
    </row>
    <row r="173" spans="1:8" ht="20.100000000000001" customHeight="1">
      <c r="A173" s="152" t="s">
        <v>541</v>
      </c>
      <c r="B173" s="164" t="s">
        <v>1307</v>
      </c>
      <c r="C173" s="156" t="s">
        <v>16</v>
      </c>
      <c r="D173" s="169" t="e">
        <f>recapitulatif!D188</f>
        <v>#REF!</v>
      </c>
      <c r="E173" s="169">
        <v>4</v>
      </c>
      <c r="F173" s="169">
        <v>16000</v>
      </c>
      <c r="G173" s="147" t="e">
        <f t="shared" si="16"/>
        <v>#REF!</v>
      </c>
      <c r="H173" s="148">
        <f t="shared" si="17"/>
        <v>64000</v>
      </c>
    </row>
    <row r="174" spans="1:8" ht="20.100000000000001" customHeight="1">
      <c r="A174" s="152" t="s">
        <v>542</v>
      </c>
      <c r="B174" s="164" t="s">
        <v>1308</v>
      </c>
      <c r="C174" s="156" t="s">
        <v>16</v>
      </c>
      <c r="D174" s="169" t="e">
        <f>recapitulatif!D189</f>
        <v>#REF!</v>
      </c>
      <c r="E174" s="169">
        <v>4</v>
      </c>
      <c r="F174" s="169">
        <v>14000</v>
      </c>
      <c r="G174" s="147" t="e">
        <f t="shared" si="16"/>
        <v>#REF!</v>
      </c>
      <c r="H174" s="148">
        <f t="shared" si="17"/>
        <v>56000</v>
      </c>
    </row>
    <row r="175" spans="1:8" ht="20.100000000000001" customHeight="1">
      <c r="A175" s="152" t="s">
        <v>543</v>
      </c>
      <c r="B175" s="164" t="s">
        <v>1309</v>
      </c>
      <c r="C175" s="156" t="s">
        <v>16</v>
      </c>
      <c r="D175" s="169" t="e">
        <f>recapitulatif!D190</f>
        <v>#REF!</v>
      </c>
      <c r="E175" s="169">
        <v>7</v>
      </c>
      <c r="F175" s="169">
        <v>3500</v>
      </c>
      <c r="G175" s="147" t="e">
        <f t="shared" si="16"/>
        <v>#REF!</v>
      </c>
      <c r="H175" s="148">
        <f t="shared" si="17"/>
        <v>24500</v>
      </c>
    </row>
    <row r="176" spans="1:8" ht="20.100000000000001" customHeight="1">
      <c r="A176" s="152" t="s">
        <v>544</v>
      </c>
      <c r="B176" s="164" t="s">
        <v>1310</v>
      </c>
      <c r="C176" s="156" t="s">
        <v>16</v>
      </c>
      <c r="D176" s="169" t="e">
        <f>recapitulatif!D191</f>
        <v>#REF!</v>
      </c>
      <c r="E176" s="169">
        <v>5</v>
      </c>
      <c r="F176" s="169">
        <v>4500</v>
      </c>
      <c r="G176" s="147" t="e">
        <f t="shared" si="16"/>
        <v>#REF!</v>
      </c>
      <c r="H176" s="148">
        <f t="shared" si="17"/>
        <v>22500</v>
      </c>
    </row>
    <row r="177" spans="1:8" ht="20.100000000000001" customHeight="1">
      <c r="A177" s="152" t="s">
        <v>545</v>
      </c>
      <c r="B177" s="243" t="s">
        <v>1311</v>
      </c>
      <c r="C177" s="156"/>
      <c r="D177" s="169"/>
      <c r="E177" s="169"/>
      <c r="F177" s="169"/>
      <c r="G177" s="147"/>
      <c r="H177" s="148"/>
    </row>
    <row r="178" spans="1:8" ht="20.100000000000001" customHeight="1">
      <c r="A178" s="152" t="s">
        <v>1139</v>
      </c>
      <c r="B178" s="164" t="s">
        <v>546</v>
      </c>
      <c r="C178" s="156" t="s">
        <v>16</v>
      </c>
      <c r="D178" s="169" t="e">
        <f>recapitulatif!D192</f>
        <v>#REF!</v>
      </c>
      <c r="E178" s="169">
        <v>1</v>
      </c>
      <c r="F178" s="169">
        <v>12000</v>
      </c>
      <c r="G178" s="147" t="e">
        <f t="shared" si="16"/>
        <v>#REF!</v>
      </c>
      <c r="H178" s="148">
        <f t="shared" si="17"/>
        <v>12000</v>
      </c>
    </row>
    <row r="179" spans="1:8" ht="27" customHeight="1">
      <c r="A179" s="152" t="s">
        <v>547</v>
      </c>
      <c r="B179" s="164" t="s">
        <v>548</v>
      </c>
      <c r="C179" s="156" t="s">
        <v>16</v>
      </c>
      <c r="D179" s="169" t="e">
        <f>recapitulatif!D194</f>
        <v>#REF!</v>
      </c>
      <c r="E179" s="169">
        <v>8</v>
      </c>
      <c r="F179" s="169">
        <v>5000</v>
      </c>
      <c r="G179" s="147" t="e">
        <f t="shared" si="16"/>
        <v>#REF!</v>
      </c>
      <c r="H179" s="148">
        <f t="shared" si="17"/>
        <v>40000</v>
      </c>
    </row>
    <row r="180" spans="1:8" ht="27" customHeight="1">
      <c r="A180" s="152" t="s">
        <v>1134</v>
      </c>
      <c r="B180" s="243" t="s">
        <v>1312</v>
      </c>
      <c r="C180" s="156"/>
      <c r="D180" s="169"/>
      <c r="E180" s="169"/>
      <c r="F180" s="169"/>
      <c r="G180" s="147"/>
      <c r="H180" s="148"/>
    </row>
    <row r="181" spans="1:8" ht="27" customHeight="1">
      <c r="A181" s="152" t="s">
        <v>549</v>
      </c>
      <c r="B181" s="164" t="s">
        <v>550</v>
      </c>
      <c r="C181" s="156" t="s">
        <v>16</v>
      </c>
      <c r="D181" s="169"/>
      <c r="E181" s="169">
        <v>3</v>
      </c>
      <c r="F181" s="169">
        <v>7500</v>
      </c>
      <c r="G181" s="147">
        <f t="shared" si="16"/>
        <v>0</v>
      </c>
      <c r="H181" s="148">
        <f t="shared" si="17"/>
        <v>22500</v>
      </c>
    </row>
    <row r="182" spans="1:8" ht="29.25" customHeight="1">
      <c r="A182" s="152" t="s">
        <v>551</v>
      </c>
      <c r="B182" s="164" t="s">
        <v>552</v>
      </c>
      <c r="C182" s="156" t="s">
        <v>16</v>
      </c>
      <c r="D182" s="169"/>
      <c r="E182" s="169">
        <v>1</v>
      </c>
      <c r="F182" s="169">
        <v>6500</v>
      </c>
      <c r="G182" s="147">
        <f t="shared" si="16"/>
        <v>0</v>
      </c>
      <c r="H182" s="148">
        <f t="shared" si="17"/>
        <v>6500</v>
      </c>
    </row>
    <row r="183" spans="1:8" ht="22.5" customHeight="1">
      <c r="A183" s="152" t="s">
        <v>1136</v>
      </c>
      <c r="B183" s="243" t="s">
        <v>1313</v>
      </c>
      <c r="C183" s="156"/>
      <c r="D183" s="169"/>
      <c r="E183" s="169"/>
      <c r="F183" s="169"/>
      <c r="G183" s="147"/>
      <c r="H183" s="148"/>
    </row>
    <row r="184" spans="1:8" ht="28.5" customHeight="1">
      <c r="A184" s="152" t="s">
        <v>553</v>
      </c>
      <c r="B184" s="164" t="s">
        <v>554</v>
      </c>
      <c r="C184" s="156" t="s">
        <v>16</v>
      </c>
      <c r="D184" s="169" t="e">
        <f>recapitulatif!D196</f>
        <v>#REF!</v>
      </c>
      <c r="E184" s="169">
        <v>42</v>
      </c>
      <c r="F184" s="169">
        <v>3000</v>
      </c>
      <c r="G184" s="147" t="e">
        <f t="shared" si="16"/>
        <v>#REF!</v>
      </c>
      <c r="H184" s="148">
        <f t="shared" si="17"/>
        <v>126000</v>
      </c>
    </row>
    <row r="185" spans="1:8" ht="26.25" customHeight="1">
      <c r="A185" s="152" t="s">
        <v>555</v>
      </c>
      <c r="B185" s="164" t="s">
        <v>556</v>
      </c>
      <c r="C185" s="156" t="s">
        <v>16</v>
      </c>
      <c r="D185" s="169"/>
      <c r="E185" s="169">
        <v>1</v>
      </c>
      <c r="F185" s="169">
        <v>4000</v>
      </c>
      <c r="G185" s="147">
        <f t="shared" si="16"/>
        <v>0</v>
      </c>
      <c r="H185" s="148">
        <f t="shared" si="17"/>
        <v>4000</v>
      </c>
    </row>
    <row r="186" spans="1:8" ht="19.5" customHeight="1">
      <c r="A186" s="152" t="s">
        <v>1138</v>
      </c>
      <c r="B186" s="243" t="s">
        <v>1314</v>
      </c>
      <c r="C186" s="156"/>
      <c r="D186" s="169"/>
      <c r="E186" s="169"/>
      <c r="F186" s="169"/>
      <c r="G186" s="147"/>
      <c r="H186" s="148"/>
    </row>
    <row r="187" spans="1:8" ht="20.100000000000001" customHeight="1">
      <c r="A187" s="152" t="s">
        <v>557</v>
      </c>
      <c r="B187" s="164" t="s">
        <v>558</v>
      </c>
      <c r="C187" s="156" t="s">
        <v>16</v>
      </c>
      <c r="D187" s="169" t="e">
        <f>recapitulatif!D198</f>
        <v>#REF!</v>
      </c>
      <c r="E187" s="169">
        <v>2</v>
      </c>
      <c r="F187" s="169">
        <v>7500</v>
      </c>
      <c r="G187" s="147" t="e">
        <f t="shared" si="16"/>
        <v>#REF!</v>
      </c>
      <c r="H187" s="148">
        <f t="shared" si="17"/>
        <v>15000</v>
      </c>
    </row>
    <row r="188" spans="1:8" ht="20.100000000000001" customHeight="1">
      <c r="A188" s="152" t="s">
        <v>559</v>
      </c>
      <c r="B188" s="164" t="s">
        <v>560</v>
      </c>
      <c r="C188" s="156" t="s">
        <v>16</v>
      </c>
      <c r="D188" s="169" t="e">
        <f>recapitulatif!D199</f>
        <v>#REF!</v>
      </c>
      <c r="E188" s="169">
        <v>2</v>
      </c>
      <c r="F188" s="169">
        <v>4300</v>
      </c>
      <c r="G188" s="147" t="e">
        <f t="shared" si="16"/>
        <v>#REF!</v>
      </c>
      <c r="H188" s="148">
        <f t="shared" si="17"/>
        <v>8600</v>
      </c>
    </row>
    <row r="189" spans="1:8" ht="20.100000000000001" customHeight="1">
      <c r="A189" s="152" t="s">
        <v>561</v>
      </c>
      <c r="B189" s="164" t="s">
        <v>562</v>
      </c>
      <c r="C189" s="156" t="s">
        <v>16</v>
      </c>
      <c r="D189" s="169" t="e">
        <f>recapitulatif!D200</f>
        <v>#REF!</v>
      </c>
      <c r="E189" s="169">
        <v>8</v>
      </c>
      <c r="F189" s="169">
        <v>3600</v>
      </c>
      <c r="G189" s="147" t="e">
        <f t="shared" si="16"/>
        <v>#REF!</v>
      </c>
      <c r="H189" s="148">
        <f t="shared" si="17"/>
        <v>28800</v>
      </c>
    </row>
    <row r="190" spans="1:8" ht="20.100000000000001" customHeight="1">
      <c r="A190" s="152" t="s">
        <v>563</v>
      </c>
      <c r="B190" s="164" t="s">
        <v>564</v>
      </c>
      <c r="C190" s="156" t="s">
        <v>16</v>
      </c>
      <c r="D190" s="169"/>
      <c r="E190" s="169">
        <v>2</v>
      </c>
      <c r="F190" s="169">
        <v>7500</v>
      </c>
      <c r="G190" s="147">
        <f t="shared" si="16"/>
        <v>0</v>
      </c>
      <c r="H190" s="148">
        <f t="shared" si="17"/>
        <v>15000</v>
      </c>
    </row>
    <row r="191" spans="1:8" ht="20.100000000000001" customHeight="1">
      <c r="A191" s="152" t="s">
        <v>565</v>
      </c>
      <c r="B191" s="164" t="s">
        <v>566</v>
      </c>
      <c r="C191" s="156" t="s">
        <v>16</v>
      </c>
      <c r="D191" s="169" t="e">
        <f>recapitulatif!D201</f>
        <v>#REF!</v>
      </c>
      <c r="E191" s="169">
        <v>2</v>
      </c>
      <c r="F191" s="169">
        <v>3700</v>
      </c>
      <c r="G191" s="147" t="e">
        <f t="shared" si="16"/>
        <v>#REF!</v>
      </c>
      <c r="H191" s="148">
        <f t="shared" si="17"/>
        <v>7400</v>
      </c>
    </row>
    <row r="192" spans="1:8" ht="20.100000000000001" customHeight="1">
      <c r="A192" s="152" t="s">
        <v>567</v>
      </c>
      <c r="B192" s="164" t="s">
        <v>568</v>
      </c>
      <c r="C192" s="156" t="s">
        <v>16</v>
      </c>
      <c r="D192" s="169" t="e">
        <f>recapitulatif!D202</f>
        <v>#REF!</v>
      </c>
      <c r="E192" s="169">
        <v>12</v>
      </c>
      <c r="F192" s="169">
        <v>5500</v>
      </c>
      <c r="G192" s="147" t="e">
        <f t="shared" si="16"/>
        <v>#REF!</v>
      </c>
      <c r="H192" s="148">
        <f t="shared" si="17"/>
        <v>66000</v>
      </c>
    </row>
    <row r="193" spans="1:8" ht="20.100000000000001" customHeight="1">
      <c r="A193" s="152" t="s">
        <v>569</v>
      </c>
      <c r="B193" s="164" t="s">
        <v>570</v>
      </c>
      <c r="C193" s="156" t="s">
        <v>16</v>
      </c>
      <c r="D193" s="169" t="e">
        <f>recapitulatif!D203</f>
        <v>#REF!</v>
      </c>
      <c r="E193" s="169">
        <v>6</v>
      </c>
      <c r="F193" s="169">
        <v>3500</v>
      </c>
      <c r="G193" s="147" t="e">
        <f t="shared" si="16"/>
        <v>#REF!</v>
      </c>
      <c r="H193" s="148">
        <f t="shared" si="17"/>
        <v>21000</v>
      </c>
    </row>
    <row r="194" spans="1:8" ht="20.100000000000001" customHeight="1">
      <c r="A194" s="152" t="s">
        <v>571</v>
      </c>
      <c r="B194" s="164" t="s">
        <v>572</v>
      </c>
      <c r="C194" s="156" t="s">
        <v>16</v>
      </c>
      <c r="D194" s="169" t="e">
        <f>recapitulatif!D204</f>
        <v>#REF!</v>
      </c>
      <c r="E194" s="169">
        <v>8</v>
      </c>
      <c r="F194" s="169">
        <v>2500</v>
      </c>
      <c r="G194" s="147" t="e">
        <f t="shared" si="16"/>
        <v>#REF!</v>
      </c>
      <c r="H194" s="148">
        <f t="shared" si="17"/>
        <v>20000</v>
      </c>
    </row>
    <row r="195" spans="1:8" ht="20.100000000000001" customHeight="1">
      <c r="A195" s="152" t="s">
        <v>1141</v>
      </c>
      <c r="B195" s="243" t="s">
        <v>1140</v>
      </c>
      <c r="C195" s="156"/>
      <c r="D195" s="169"/>
      <c r="E195" s="169"/>
      <c r="F195" s="169"/>
      <c r="G195" s="147"/>
      <c r="H195" s="148"/>
    </row>
    <row r="196" spans="1:8" ht="20.100000000000001" customHeight="1">
      <c r="A196" s="152" t="s">
        <v>573</v>
      </c>
      <c r="B196" s="164" t="s">
        <v>574</v>
      </c>
      <c r="C196" s="156" t="s">
        <v>16</v>
      </c>
      <c r="D196" s="169" t="e">
        <f>#REF!</f>
        <v>#REF!</v>
      </c>
      <c r="E196" s="169">
        <v>1</v>
      </c>
      <c r="F196" s="169">
        <v>1500</v>
      </c>
      <c r="G196" s="147" t="e">
        <f t="shared" si="16"/>
        <v>#REF!</v>
      </c>
      <c r="H196" s="148">
        <f t="shared" si="17"/>
        <v>1500</v>
      </c>
    </row>
    <row r="197" spans="1:8" ht="20.100000000000001" customHeight="1">
      <c r="A197" s="152" t="s">
        <v>575</v>
      </c>
      <c r="B197" s="164" t="s">
        <v>576</v>
      </c>
      <c r="C197" s="156" t="s">
        <v>16</v>
      </c>
      <c r="D197" s="169"/>
      <c r="E197" s="169">
        <v>3</v>
      </c>
      <c r="F197" s="169">
        <v>1000</v>
      </c>
      <c r="G197" s="147">
        <f t="shared" si="16"/>
        <v>0</v>
      </c>
      <c r="H197" s="148">
        <f t="shared" si="17"/>
        <v>3000</v>
      </c>
    </row>
    <row r="198" spans="1:8" ht="20.100000000000001" customHeight="1">
      <c r="A198" s="152" t="s">
        <v>577</v>
      </c>
      <c r="B198" s="164" t="s">
        <v>578</v>
      </c>
      <c r="C198" s="156" t="s">
        <v>16</v>
      </c>
      <c r="D198" s="169" t="e">
        <f>recapitulatif!D207</f>
        <v>#REF!</v>
      </c>
      <c r="E198" s="169">
        <v>3</v>
      </c>
      <c r="F198" s="169">
        <v>2400</v>
      </c>
      <c r="G198" s="147" t="e">
        <f t="shared" si="16"/>
        <v>#REF!</v>
      </c>
      <c r="H198" s="148">
        <f t="shared" si="17"/>
        <v>7200</v>
      </c>
    </row>
    <row r="199" spans="1:8" ht="20.100000000000001" customHeight="1">
      <c r="A199" s="152" t="s">
        <v>579</v>
      </c>
      <c r="B199" s="164" t="s">
        <v>580</v>
      </c>
      <c r="C199" s="156" t="s">
        <v>16</v>
      </c>
      <c r="D199" s="169" t="e">
        <f>recapitulatif!D208</f>
        <v>#REF!</v>
      </c>
      <c r="E199" s="169">
        <v>8</v>
      </c>
      <c r="F199" s="169">
        <v>900</v>
      </c>
      <c r="G199" s="147" t="e">
        <f t="shared" si="16"/>
        <v>#REF!</v>
      </c>
      <c r="H199" s="148">
        <f t="shared" si="17"/>
        <v>7200</v>
      </c>
    </row>
    <row r="200" spans="1:8" ht="20.100000000000001" customHeight="1">
      <c r="A200" s="152" t="s">
        <v>581</v>
      </c>
      <c r="B200" s="164" t="s">
        <v>582</v>
      </c>
      <c r="C200" s="156" t="s">
        <v>16</v>
      </c>
      <c r="D200" s="169" t="e">
        <f>recapitulatif!D209</f>
        <v>#REF!</v>
      </c>
      <c r="E200" s="169">
        <v>25</v>
      </c>
      <c r="F200" s="169">
        <v>3500</v>
      </c>
      <c r="G200" s="147" t="e">
        <f t="shared" si="16"/>
        <v>#REF!</v>
      </c>
      <c r="H200" s="148">
        <f t="shared" si="17"/>
        <v>87500</v>
      </c>
    </row>
    <row r="201" spans="1:8" ht="20.100000000000001" customHeight="1">
      <c r="A201" s="152" t="s">
        <v>583</v>
      </c>
      <c r="B201" s="164" t="s">
        <v>584</v>
      </c>
      <c r="C201" s="156" t="s">
        <v>16</v>
      </c>
      <c r="D201" s="169"/>
      <c r="E201" s="169">
        <v>8</v>
      </c>
      <c r="F201" s="169">
        <v>2000</v>
      </c>
      <c r="G201" s="147">
        <f t="shared" si="16"/>
        <v>0</v>
      </c>
      <c r="H201" s="148">
        <f t="shared" si="17"/>
        <v>16000</v>
      </c>
    </row>
    <row r="202" spans="1:8" ht="20.100000000000001" customHeight="1">
      <c r="A202" s="152" t="s">
        <v>585</v>
      </c>
      <c r="B202" s="164" t="s">
        <v>586</v>
      </c>
      <c r="C202" s="156" t="s">
        <v>16</v>
      </c>
      <c r="D202" s="169" t="e">
        <f>recapitulatif!D210</f>
        <v>#REF!</v>
      </c>
      <c r="E202" s="169">
        <v>36</v>
      </c>
      <c r="F202" s="169">
        <v>1000</v>
      </c>
      <c r="G202" s="147" t="e">
        <f t="shared" si="16"/>
        <v>#REF!</v>
      </c>
      <c r="H202" s="148">
        <f t="shared" si="17"/>
        <v>36000</v>
      </c>
    </row>
    <row r="203" spans="1:8" ht="20.100000000000001" customHeight="1">
      <c r="A203" s="152" t="s">
        <v>1142</v>
      </c>
      <c r="B203" s="243" t="s">
        <v>1315</v>
      </c>
      <c r="C203" s="156"/>
      <c r="D203" s="169"/>
      <c r="E203" s="169"/>
      <c r="F203" s="169"/>
      <c r="G203" s="147"/>
      <c r="H203" s="148"/>
    </row>
    <row r="204" spans="1:8" ht="20.100000000000001" customHeight="1">
      <c r="A204" s="152" t="s">
        <v>587</v>
      </c>
      <c r="B204" s="164" t="s">
        <v>588</v>
      </c>
      <c r="C204" s="156" t="s">
        <v>16</v>
      </c>
      <c r="D204" s="169"/>
      <c r="E204" s="169">
        <v>2</v>
      </c>
      <c r="F204" s="169">
        <v>12000</v>
      </c>
      <c r="G204" s="147">
        <f t="shared" si="16"/>
        <v>0</v>
      </c>
      <c r="H204" s="148">
        <f t="shared" si="17"/>
        <v>24000</v>
      </c>
    </row>
    <row r="205" spans="1:8" ht="20.100000000000001" customHeight="1">
      <c r="A205" s="152" t="s">
        <v>589</v>
      </c>
      <c r="B205" s="164" t="s">
        <v>590</v>
      </c>
      <c r="C205" s="156" t="s">
        <v>16</v>
      </c>
      <c r="D205" s="169" t="e">
        <f>recapitulatif!D212</f>
        <v>#REF!</v>
      </c>
      <c r="E205" s="169">
        <v>1</v>
      </c>
      <c r="F205" s="169">
        <v>9500</v>
      </c>
      <c r="G205" s="147" t="e">
        <f t="shared" si="16"/>
        <v>#REF!</v>
      </c>
      <c r="H205" s="148">
        <f t="shared" si="17"/>
        <v>9500</v>
      </c>
    </row>
    <row r="206" spans="1:8" ht="20.100000000000001" customHeight="1">
      <c r="A206" s="152" t="s">
        <v>591</v>
      </c>
      <c r="B206" s="164" t="s">
        <v>592</v>
      </c>
      <c r="C206" s="156" t="s">
        <v>16</v>
      </c>
      <c r="D206" s="169" t="e">
        <f>recapitulatif!D213</f>
        <v>#REF!</v>
      </c>
      <c r="E206" s="169">
        <v>2</v>
      </c>
      <c r="F206" s="169">
        <v>14000</v>
      </c>
      <c r="G206" s="147" t="e">
        <f t="shared" si="16"/>
        <v>#REF!</v>
      </c>
      <c r="H206" s="148">
        <f t="shared" si="17"/>
        <v>28000</v>
      </c>
    </row>
    <row r="207" spans="1:8" ht="20.100000000000001" customHeight="1">
      <c r="A207" s="152" t="s">
        <v>593</v>
      </c>
      <c r="B207" s="164" t="s">
        <v>594</v>
      </c>
      <c r="C207" s="156" t="s">
        <v>16</v>
      </c>
      <c r="D207" s="169"/>
      <c r="E207" s="169">
        <v>2</v>
      </c>
      <c r="F207" s="169">
        <v>5500</v>
      </c>
      <c r="G207" s="147">
        <f t="shared" si="16"/>
        <v>0</v>
      </c>
      <c r="H207" s="148">
        <f t="shared" si="17"/>
        <v>11000</v>
      </c>
    </row>
    <row r="208" spans="1:8" ht="20.100000000000001" customHeight="1">
      <c r="A208" s="152" t="s">
        <v>595</v>
      </c>
      <c r="B208" s="164" t="s">
        <v>596</v>
      </c>
      <c r="C208" s="156" t="s">
        <v>16</v>
      </c>
      <c r="D208" s="169" t="e">
        <f>recapitulatif!D214</f>
        <v>#REF!</v>
      </c>
      <c r="E208" s="169">
        <v>6</v>
      </c>
      <c r="F208" s="169">
        <v>1200</v>
      </c>
      <c r="G208" s="147" t="e">
        <f t="shared" si="16"/>
        <v>#REF!</v>
      </c>
      <c r="H208" s="148">
        <f t="shared" si="17"/>
        <v>7200</v>
      </c>
    </row>
    <row r="209" spans="1:8" ht="20.100000000000001" customHeight="1">
      <c r="A209" s="152" t="s">
        <v>597</v>
      </c>
      <c r="B209" s="164" t="s">
        <v>598</v>
      </c>
      <c r="C209" s="156" t="s">
        <v>16</v>
      </c>
      <c r="D209" s="169" t="e">
        <f>recapitulatif!D215</f>
        <v>#REF!</v>
      </c>
      <c r="E209" s="169">
        <v>6</v>
      </c>
      <c r="F209" s="169">
        <v>700</v>
      </c>
      <c r="G209" s="147" t="e">
        <f t="shared" si="16"/>
        <v>#REF!</v>
      </c>
      <c r="H209" s="148">
        <f t="shared" si="17"/>
        <v>4200</v>
      </c>
    </row>
    <row r="210" spans="1:8" ht="20.100000000000001" customHeight="1">
      <c r="A210" s="152" t="s">
        <v>599</v>
      </c>
      <c r="B210" s="164" t="s">
        <v>600</v>
      </c>
      <c r="C210" s="156" t="s">
        <v>16</v>
      </c>
      <c r="D210" s="169"/>
      <c r="E210" s="169">
        <v>1</v>
      </c>
      <c r="F210" s="169">
        <v>7500</v>
      </c>
      <c r="G210" s="147">
        <f t="shared" si="16"/>
        <v>0</v>
      </c>
      <c r="H210" s="148">
        <f t="shared" si="17"/>
        <v>7500</v>
      </c>
    </row>
    <row r="211" spans="1:8" ht="20.100000000000001" customHeight="1">
      <c r="A211" s="152" t="s">
        <v>1145</v>
      </c>
      <c r="B211" s="243" t="s">
        <v>1316</v>
      </c>
      <c r="C211" s="156"/>
      <c r="D211" s="169"/>
      <c r="E211" s="169"/>
      <c r="F211" s="169"/>
      <c r="G211" s="147"/>
      <c r="H211" s="148"/>
    </row>
    <row r="212" spans="1:8" ht="20.100000000000001" customHeight="1">
      <c r="A212" s="152" t="s">
        <v>601</v>
      </c>
      <c r="B212" s="164" t="s">
        <v>602</v>
      </c>
      <c r="C212" s="156" t="s">
        <v>16</v>
      </c>
      <c r="D212" s="169">
        <f>recapitulatif!D217</f>
        <v>7</v>
      </c>
      <c r="E212" s="169">
        <v>4</v>
      </c>
      <c r="F212" s="169">
        <v>13000</v>
      </c>
      <c r="G212" s="147">
        <f t="shared" si="16"/>
        <v>91000</v>
      </c>
      <c r="H212" s="148">
        <f t="shared" si="17"/>
        <v>52000</v>
      </c>
    </row>
    <row r="213" spans="1:8" ht="20.100000000000001" customHeight="1">
      <c r="A213" s="152" t="s">
        <v>603</v>
      </c>
      <c r="B213" s="164" t="s">
        <v>604</v>
      </c>
      <c r="C213" s="156" t="s">
        <v>16</v>
      </c>
      <c r="D213" s="169">
        <f>recapitulatif!D218</f>
        <v>2</v>
      </c>
      <c r="E213" s="169">
        <v>1</v>
      </c>
      <c r="F213" s="169">
        <v>12000</v>
      </c>
      <c r="G213" s="147">
        <f t="shared" si="16"/>
        <v>24000</v>
      </c>
      <c r="H213" s="148">
        <f t="shared" si="17"/>
        <v>12000</v>
      </c>
    </row>
    <row r="214" spans="1:8" ht="20.100000000000001" customHeight="1">
      <c r="A214" s="152" t="s">
        <v>1147</v>
      </c>
      <c r="B214" s="243" t="s">
        <v>1317</v>
      </c>
      <c r="C214" s="156"/>
      <c r="D214" s="169"/>
      <c r="E214" s="169"/>
      <c r="F214" s="169"/>
      <c r="G214" s="147"/>
      <c r="H214" s="148"/>
    </row>
    <row r="215" spans="1:8" ht="20.100000000000001" customHeight="1">
      <c r="A215" s="152" t="s">
        <v>605</v>
      </c>
      <c r="B215" s="164" t="s">
        <v>606</v>
      </c>
      <c r="C215" s="156" t="s">
        <v>16</v>
      </c>
      <c r="D215" s="169"/>
      <c r="E215" s="169">
        <v>1</v>
      </c>
      <c r="F215" s="169">
        <v>5000</v>
      </c>
      <c r="G215" s="147">
        <f t="shared" si="16"/>
        <v>0</v>
      </c>
      <c r="H215" s="148">
        <f t="shared" si="17"/>
        <v>5000</v>
      </c>
    </row>
    <row r="216" spans="1:8" ht="20.100000000000001" customHeight="1">
      <c r="A216" s="152" t="s">
        <v>607</v>
      </c>
      <c r="B216" s="164" t="s">
        <v>608</v>
      </c>
      <c r="C216" s="156" t="s">
        <v>16</v>
      </c>
      <c r="D216" s="169"/>
      <c r="E216" s="169">
        <v>3</v>
      </c>
      <c r="F216" s="169">
        <v>3300</v>
      </c>
      <c r="G216" s="147">
        <f t="shared" si="16"/>
        <v>0</v>
      </c>
      <c r="H216" s="148">
        <f t="shared" si="17"/>
        <v>9900</v>
      </c>
    </row>
    <row r="217" spans="1:8" ht="20.100000000000001" customHeight="1">
      <c r="A217" s="152" t="s">
        <v>609</v>
      </c>
      <c r="B217" s="164" t="s">
        <v>610</v>
      </c>
      <c r="C217" s="156" t="s">
        <v>16</v>
      </c>
      <c r="D217" s="169" t="e">
        <f>recapitulatif!D220</f>
        <v>#REF!</v>
      </c>
      <c r="E217" s="169">
        <v>4</v>
      </c>
      <c r="F217" s="169">
        <v>2000</v>
      </c>
      <c r="G217" s="147" t="e">
        <f t="shared" si="16"/>
        <v>#REF!</v>
      </c>
      <c r="H217" s="148">
        <f t="shared" si="17"/>
        <v>8000</v>
      </c>
    </row>
    <row r="218" spans="1:8" ht="20.100000000000001" customHeight="1">
      <c r="A218" s="152" t="s">
        <v>611</v>
      </c>
      <c r="B218" s="164" t="s">
        <v>612</v>
      </c>
      <c r="C218" s="156" t="s">
        <v>16</v>
      </c>
      <c r="D218" s="169" t="e">
        <f>recapitulatif!D221</f>
        <v>#REF!</v>
      </c>
      <c r="E218" s="169">
        <v>2</v>
      </c>
      <c r="F218" s="169">
        <v>1900</v>
      </c>
      <c r="G218" s="147" t="e">
        <f t="shared" si="16"/>
        <v>#REF!</v>
      </c>
      <c r="H218" s="148">
        <f t="shared" si="17"/>
        <v>3800</v>
      </c>
    </row>
    <row r="219" spans="1:8" ht="20.100000000000001" customHeight="1">
      <c r="A219" s="152" t="s">
        <v>613</v>
      </c>
      <c r="B219" s="164" t="s">
        <v>614</v>
      </c>
      <c r="C219" s="156" t="s">
        <v>16</v>
      </c>
      <c r="D219" s="169" t="e">
        <f>recapitulatif!D222</f>
        <v>#REF!</v>
      </c>
      <c r="E219" s="169">
        <v>12</v>
      </c>
      <c r="F219" s="169">
        <v>1200</v>
      </c>
      <c r="G219" s="147" t="e">
        <f t="shared" si="16"/>
        <v>#REF!</v>
      </c>
      <c r="H219" s="148">
        <f t="shared" si="17"/>
        <v>14400</v>
      </c>
    </row>
    <row r="220" spans="1:8" ht="20.100000000000001" customHeight="1">
      <c r="A220" s="152" t="s">
        <v>615</v>
      </c>
      <c r="B220" s="164" t="s">
        <v>616</v>
      </c>
      <c r="C220" s="156" t="s">
        <v>16</v>
      </c>
      <c r="D220" s="169" t="e">
        <f>recapitulatif!D223</f>
        <v>#REF!</v>
      </c>
      <c r="E220" s="169">
        <v>24</v>
      </c>
      <c r="F220" s="169">
        <v>1100</v>
      </c>
      <c r="G220" s="147" t="e">
        <f t="shared" si="16"/>
        <v>#REF!</v>
      </c>
      <c r="H220" s="148">
        <f t="shared" si="17"/>
        <v>26400</v>
      </c>
    </row>
    <row r="221" spans="1:8" ht="20.100000000000001" customHeight="1">
      <c r="A221" s="152" t="s">
        <v>617</v>
      </c>
      <c r="B221" s="164" t="s">
        <v>618</v>
      </c>
      <c r="C221" s="156" t="s">
        <v>16</v>
      </c>
      <c r="D221" s="169"/>
      <c r="E221" s="169">
        <v>4</v>
      </c>
      <c r="F221" s="169">
        <v>700</v>
      </c>
      <c r="G221" s="147">
        <f t="shared" si="16"/>
        <v>0</v>
      </c>
      <c r="H221" s="148">
        <f t="shared" si="17"/>
        <v>2800</v>
      </c>
    </row>
    <row r="222" spans="1:8" ht="20.100000000000001" customHeight="1">
      <c r="A222" s="152" t="s">
        <v>619</v>
      </c>
      <c r="B222" s="164" t="s">
        <v>620</v>
      </c>
      <c r="C222" s="156" t="s">
        <v>16</v>
      </c>
      <c r="D222" s="169" t="e">
        <f>recapitulatif!D224</f>
        <v>#REF!</v>
      </c>
      <c r="E222" s="169">
        <v>35</v>
      </c>
      <c r="F222" s="169">
        <v>600</v>
      </c>
      <c r="G222" s="147" t="e">
        <f t="shared" si="16"/>
        <v>#REF!</v>
      </c>
      <c r="H222" s="148">
        <f t="shared" si="17"/>
        <v>21000</v>
      </c>
    </row>
    <row r="223" spans="1:8" ht="20.100000000000001" customHeight="1">
      <c r="A223" s="152" t="s">
        <v>621</v>
      </c>
      <c r="B223" s="164" t="s">
        <v>622</v>
      </c>
      <c r="C223" s="156" t="s">
        <v>259</v>
      </c>
      <c r="D223" s="169"/>
      <c r="E223" s="169">
        <v>84</v>
      </c>
      <c r="F223" s="169">
        <v>500</v>
      </c>
      <c r="G223" s="147">
        <f t="shared" si="16"/>
        <v>0</v>
      </c>
      <c r="H223" s="148">
        <f t="shared" si="17"/>
        <v>42000</v>
      </c>
    </row>
    <row r="224" spans="1:8" ht="20.100000000000001" customHeight="1" thickBot="1">
      <c r="A224" s="152" t="s">
        <v>623</v>
      </c>
      <c r="B224" s="164" t="s">
        <v>624</v>
      </c>
      <c r="C224" s="156" t="s">
        <v>259</v>
      </c>
      <c r="D224" s="169" t="e">
        <f>recapitulatif!D225</f>
        <v>#REF!</v>
      </c>
      <c r="E224" s="169">
        <v>110</v>
      </c>
      <c r="F224" s="169">
        <v>1300</v>
      </c>
      <c r="G224" s="147" t="e">
        <f t="shared" si="16"/>
        <v>#REF!</v>
      </c>
      <c r="H224" s="148">
        <f t="shared" si="17"/>
        <v>143000</v>
      </c>
    </row>
    <row r="225" spans="1:8" ht="20.100000000000001" customHeight="1" thickBot="1">
      <c r="A225" s="150"/>
      <c r="B225" s="562" t="s">
        <v>625</v>
      </c>
      <c r="C225" s="563"/>
      <c r="D225" s="563"/>
      <c r="E225" s="563"/>
      <c r="F225" s="564"/>
      <c r="G225" s="139" t="e">
        <f>SUM(G165:G224)</f>
        <v>#REF!</v>
      </c>
      <c r="H225" s="139">
        <f>SUM(H165:H224)</f>
        <v>1345400</v>
      </c>
    </row>
    <row r="226" spans="1:8" ht="20.100000000000001" customHeight="1">
      <c r="A226" s="152">
        <v>403</v>
      </c>
      <c r="B226" s="153" t="s">
        <v>626</v>
      </c>
      <c r="C226" s="213"/>
      <c r="D226" s="169"/>
      <c r="E226" s="169"/>
      <c r="F226" s="169"/>
      <c r="G226" s="147"/>
      <c r="H226" s="148"/>
    </row>
    <row r="227" spans="1:8" ht="20.100000000000001" customHeight="1">
      <c r="A227" s="152" t="s">
        <v>627</v>
      </c>
      <c r="B227" s="164" t="s">
        <v>628</v>
      </c>
      <c r="C227" s="156" t="s">
        <v>16</v>
      </c>
      <c r="D227" s="169">
        <v>3</v>
      </c>
      <c r="E227" s="169">
        <v>3</v>
      </c>
      <c r="F227" s="169">
        <v>2500</v>
      </c>
      <c r="G227" s="147">
        <f>F227*D227</f>
        <v>7500</v>
      </c>
      <c r="H227" s="148">
        <f>F227*E227</f>
        <v>7500</v>
      </c>
    </row>
    <row r="228" spans="1:8" ht="20.100000000000001" customHeight="1">
      <c r="A228" s="152" t="s">
        <v>629</v>
      </c>
      <c r="B228" s="164" t="s">
        <v>630</v>
      </c>
      <c r="C228" s="156" t="s">
        <v>28</v>
      </c>
      <c r="D228" s="169" t="e">
        <f>recapitulatif!D228</f>
        <v>#REF!</v>
      </c>
      <c r="E228" s="169">
        <v>309</v>
      </c>
      <c r="F228" s="169">
        <v>900</v>
      </c>
      <c r="G228" s="147" t="e">
        <f t="shared" ref="G228:G230" si="18">F228*D228</f>
        <v>#REF!</v>
      </c>
      <c r="H228" s="148">
        <f>F228*E228</f>
        <v>278100</v>
      </c>
    </row>
    <row r="229" spans="1:8" ht="20.100000000000001" customHeight="1">
      <c r="A229" s="152" t="s">
        <v>631</v>
      </c>
      <c r="B229" s="164" t="s">
        <v>632</v>
      </c>
      <c r="C229" s="156" t="s">
        <v>28</v>
      </c>
      <c r="D229" s="169" t="e">
        <f>recapitulatif!D229</f>
        <v>#REF!</v>
      </c>
      <c r="E229" s="169">
        <v>100</v>
      </c>
      <c r="F229" s="169">
        <v>250</v>
      </c>
      <c r="G229" s="147" t="e">
        <f t="shared" si="18"/>
        <v>#REF!</v>
      </c>
      <c r="H229" s="148">
        <f>F229*E229</f>
        <v>25000</v>
      </c>
    </row>
    <row r="230" spans="1:8" ht="20.100000000000001" customHeight="1" thickBot="1">
      <c r="A230" s="152" t="s">
        <v>633</v>
      </c>
      <c r="B230" s="164" t="s">
        <v>634</v>
      </c>
      <c r="C230" s="156" t="s">
        <v>28</v>
      </c>
      <c r="D230" s="169"/>
      <c r="E230" s="169">
        <v>55</v>
      </c>
      <c r="F230" s="169">
        <v>300</v>
      </c>
      <c r="G230" s="147">
        <f t="shared" si="18"/>
        <v>0</v>
      </c>
      <c r="H230" s="148">
        <f>F230*E230</f>
        <v>16500</v>
      </c>
    </row>
    <row r="231" spans="1:8" ht="20.100000000000001" customHeight="1" thickBot="1">
      <c r="A231" s="150"/>
      <c r="B231" s="562" t="s">
        <v>635</v>
      </c>
      <c r="C231" s="563"/>
      <c r="D231" s="563"/>
      <c r="E231" s="563"/>
      <c r="F231" s="564"/>
      <c r="G231" s="139" t="e">
        <f>SUM(G227:G230)</f>
        <v>#REF!</v>
      </c>
      <c r="H231" s="139">
        <f>SUM(H227:H230)</f>
        <v>327100</v>
      </c>
    </row>
    <row r="232" spans="1:8" ht="20.100000000000001" customHeight="1">
      <c r="A232" s="152">
        <v>404</v>
      </c>
      <c r="B232" s="153" t="s">
        <v>636</v>
      </c>
      <c r="C232" s="213"/>
      <c r="D232" s="169"/>
      <c r="E232" s="169"/>
      <c r="F232" s="169"/>
      <c r="G232" s="147"/>
      <c r="H232" s="148"/>
    </row>
    <row r="233" spans="1:8" ht="20.100000000000001" customHeight="1">
      <c r="A233" s="152" t="s">
        <v>637</v>
      </c>
      <c r="B233" s="164" t="s">
        <v>638</v>
      </c>
      <c r="C233" s="156" t="s">
        <v>379</v>
      </c>
      <c r="D233" s="169" t="e">
        <f>recapitulatif!D232</f>
        <v>#REF!</v>
      </c>
      <c r="E233" s="169">
        <v>102</v>
      </c>
      <c r="F233" s="169">
        <v>150</v>
      </c>
      <c r="G233" s="147" t="e">
        <f>F233*D233</f>
        <v>#REF!</v>
      </c>
      <c r="H233" s="148">
        <f>F233*E233</f>
        <v>15300</v>
      </c>
    </row>
    <row r="234" spans="1:8" ht="20.100000000000001" customHeight="1">
      <c r="A234" s="152" t="s">
        <v>639</v>
      </c>
      <c r="B234" s="164" t="s">
        <v>640</v>
      </c>
      <c r="C234" s="156" t="s">
        <v>16</v>
      </c>
      <c r="D234" s="169"/>
      <c r="E234" s="169">
        <v>75</v>
      </c>
      <c r="F234" s="169">
        <v>300</v>
      </c>
      <c r="G234" s="147"/>
      <c r="H234" s="148">
        <f t="shared" ref="H234:H246" si="19">F234*E234</f>
        <v>22500</v>
      </c>
    </row>
    <row r="235" spans="1:8" ht="20.100000000000001" customHeight="1">
      <c r="A235" s="152" t="s">
        <v>641</v>
      </c>
      <c r="B235" s="164" t="s">
        <v>642</v>
      </c>
      <c r="C235" s="156" t="s">
        <v>16</v>
      </c>
      <c r="D235" s="169"/>
      <c r="E235" s="169">
        <v>75</v>
      </c>
      <c r="F235" s="169">
        <v>250</v>
      </c>
      <c r="G235" s="147"/>
      <c r="H235" s="148">
        <f t="shared" si="19"/>
        <v>18750</v>
      </c>
    </row>
    <row r="236" spans="1:8" ht="20.100000000000001" customHeight="1">
      <c r="A236" s="152" t="s">
        <v>643</v>
      </c>
      <c r="B236" s="164" t="s">
        <v>644</v>
      </c>
      <c r="C236" s="156" t="s">
        <v>16</v>
      </c>
      <c r="D236" s="169"/>
      <c r="E236" s="169">
        <v>75</v>
      </c>
      <c r="F236" s="169">
        <v>250</v>
      </c>
      <c r="G236" s="147"/>
      <c r="H236" s="148">
        <f t="shared" si="19"/>
        <v>18750</v>
      </c>
    </row>
    <row r="237" spans="1:8" ht="20.100000000000001" customHeight="1">
      <c r="A237" s="152" t="s">
        <v>645</v>
      </c>
      <c r="B237" s="164" t="s">
        <v>646</v>
      </c>
      <c r="C237" s="156" t="s">
        <v>16</v>
      </c>
      <c r="D237" s="169" t="e">
        <f>recapitulatif!D233</f>
        <v>#REF!</v>
      </c>
      <c r="E237" s="169">
        <v>225</v>
      </c>
      <c r="F237" s="169">
        <v>150</v>
      </c>
      <c r="G237" s="147" t="e">
        <f t="shared" ref="G237:G246" si="20">F237*D237</f>
        <v>#REF!</v>
      </c>
      <c r="H237" s="148">
        <f t="shared" si="19"/>
        <v>33750</v>
      </c>
    </row>
    <row r="238" spans="1:8" ht="20.100000000000001" customHeight="1">
      <c r="A238" s="152" t="s">
        <v>647</v>
      </c>
      <c r="B238" s="164" t="s">
        <v>648</v>
      </c>
      <c r="C238" s="156" t="s">
        <v>16</v>
      </c>
      <c r="D238" s="169"/>
      <c r="E238" s="169">
        <v>36</v>
      </c>
      <c r="F238" s="169">
        <v>150</v>
      </c>
      <c r="G238" s="147"/>
      <c r="H238" s="148">
        <f t="shared" si="19"/>
        <v>5400</v>
      </c>
    </row>
    <row r="239" spans="1:8" ht="20.100000000000001" customHeight="1">
      <c r="A239" s="152" t="s">
        <v>649</v>
      </c>
      <c r="B239" s="164" t="s">
        <v>650</v>
      </c>
      <c r="C239" s="156" t="s">
        <v>16</v>
      </c>
      <c r="D239" s="169"/>
      <c r="E239" s="169">
        <v>116</v>
      </c>
      <c r="F239" s="169">
        <v>120</v>
      </c>
      <c r="G239" s="147"/>
      <c r="H239" s="148">
        <f t="shared" si="19"/>
        <v>13920</v>
      </c>
    </row>
    <row r="240" spans="1:8" ht="20.100000000000001" customHeight="1">
      <c r="A240" s="152" t="s">
        <v>651</v>
      </c>
      <c r="B240" s="164" t="s">
        <v>652</v>
      </c>
      <c r="C240" s="156" t="s">
        <v>16</v>
      </c>
      <c r="D240" s="169" t="e">
        <f>recapitulatif!D234</f>
        <v>#REF!</v>
      </c>
      <c r="E240" s="169">
        <v>54</v>
      </c>
      <c r="F240" s="169">
        <v>100</v>
      </c>
      <c r="G240" s="147" t="e">
        <f t="shared" si="20"/>
        <v>#REF!</v>
      </c>
      <c r="H240" s="148">
        <f t="shared" si="19"/>
        <v>5400</v>
      </c>
    </row>
    <row r="241" spans="1:8" ht="20.100000000000001" customHeight="1">
      <c r="A241" s="152" t="s">
        <v>653</v>
      </c>
      <c r="B241" s="164" t="s">
        <v>654</v>
      </c>
      <c r="C241" s="156" t="s">
        <v>16</v>
      </c>
      <c r="D241" s="169" t="e">
        <f>recapitulatif!D235</f>
        <v>#REF!</v>
      </c>
      <c r="E241" s="169">
        <v>24</v>
      </c>
      <c r="F241" s="169">
        <v>250</v>
      </c>
      <c r="G241" s="147" t="e">
        <f t="shared" si="20"/>
        <v>#REF!</v>
      </c>
      <c r="H241" s="148">
        <f t="shared" si="19"/>
        <v>6000</v>
      </c>
    </row>
    <row r="242" spans="1:8" ht="20.100000000000001" customHeight="1">
      <c r="A242" s="152" t="s">
        <v>655</v>
      </c>
      <c r="B242" s="164" t="s">
        <v>656</v>
      </c>
      <c r="C242" s="156" t="s">
        <v>16</v>
      </c>
      <c r="D242" s="169"/>
      <c r="E242" s="169">
        <v>38</v>
      </c>
      <c r="F242" s="169">
        <v>250</v>
      </c>
      <c r="G242" s="147"/>
      <c r="H242" s="148">
        <f t="shared" si="19"/>
        <v>9500</v>
      </c>
    </row>
    <row r="243" spans="1:8" ht="20.100000000000001" customHeight="1">
      <c r="A243" s="152" t="s">
        <v>657</v>
      </c>
      <c r="B243" s="164" t="s">
        <v>658</v>
      </c>
      <c r="C243" s="156" t="s">
        <v>16</v>
      </c>
      <c r="D243" s="169"/>
      <c r="E243" s="169">
        <v>9</v>
      </c>
      <c r="F243" s="169">
        <v>200</v>
      </c>
      <c r="G243" s="147"/>
      <c r="H243" s="148">
        <f t="shared" si="19"/>
        <v>1800</v>
      </c>
    </row>
    <row r="244" spans="1:8" ht="20.100000000000001" customHeight="1">
      <c r="A244" s="152" t="s">
        <v>659</v>
      </c>
      <c r="B244" s="164" t="s">
        <v>660</v>
      </c>
      <c r="C244" s="156" t="s">
        <v>16</v>
      </c>
      <c r="D244" s="169" t="e">
        <f>recapitulatif!D236</f>
        <v>#REF!</v>
      </c>
      <c r="E244" s="169">
        <v>29</v>
      </c>
      <c r="F244" s="169">
        <v>200</v>
      </c>
      <c r="G244" s="147" t="e">
        <f t="shared" si="20"/>
        <v>#REF!</v>
      </c>
      <c r="H244" s="148">
        <f t="shared" si="19"/>
        <v>5800</v>
      </c>
    </row>
    <row r="245" spans="1:8" ht="20.100000000000001" customHeight="1">
      <c r="A245" s="152" t="s">
        <v>661</v>
      </c>
      <c r="B245" s="164" t="s">
        <v>662</v>
      </c>
      <c r="C245" s="156" t="s">
        <v>16</v>
      </c>
      <c r="D245" s="169" t="e">
        <f>recapitulatif!D237</f>
        <v>#REF!</v>
      </c>
      <c r="E245" s="169">
        <v>27</v>
      </c>
      <c r="F245" s="169">
        <v>200</v>
      </c>
      <c r="G245" s="147" t="e">
        <f t="shared" si="20"/>
        <v>#REF!</v>
      </c>
      <c r="H245" s="148">
        <f t="shared" si="19"/>
        <v>5400</v>
      </c>
    </row>
    <row r="246" spans="1:8" ht="20.100000000000001" customHeight="1" thickBot="1">
      <c r="A246" s="152" t="s">
        <v>663</v>
      </c>
      <c r="B246" s="164" t="s">
        <v>664</v>
      </c>
      <c r="C246" s="156" t="s">
        <v>16</v>
      </c>
      <c r="D246" s="169" t="e">
        <f>recapitulatif!D238</f>
        <v>#REF!</v>
      </c>
      <c r="E246" s="169">
        <v>87</v>
      </c>
      <c r="F246" s="169">
        <v>50</v>
      </c>
      <c r="G246" s="147" t="e">
        <f t="shared" si="20"/>
        <v>#REF!</v>
      </c>
      <c r="H246" s="148">
        <f t="shared" si="19"/>
        <v>4350</v>
      </c>
    </row>
    <row r="247" spans="1:8" ht="20.100000000000001" customHeight="1" thickBot="1">
      <c r="A247" s="150"/>
      <c r="B247" s="565" t="s">
        <v>665</v>
      </c>
      <c r="C247" s="566"/>
      <c r="D247" s="566"/>
      <c r="E247" s="566"/>
      <c r="F247" s="567"/>
      <c r="G247" s="139" t="e">
        <f>SUM(G233:G246)</f>
        <v>#REF!</v>
      </c>
      <c r="H247" s="139">
        <f>SUM(H233:H246)</f>
        <v>166620</v>
      </c>
    </row>
    <row r="248" spans="1:8" ht="20.100000000000001" customHeight="1">
      <c r="A248" s="568" t="s">
        <v>666</v>
      </c>
      <c r="B248" s="569"/>
      <c r="C248" s="569"/>
      <c r="D248" s="569"/>
      <c r="E248" s="569"/>
      <c r="F248" s="570"/>
      <c r="G248" s="151" t="e">
        <f>SUM(G247+G231+G225+G162)</f>
        <v>#REF!</v>
      </c>
      <c r="H248" s="151">
        <f>SUM(H247+H231+H225+H162)</f>
        <v>2450020</v>
      </c>
    </row>
    <row r="249" spans="1:8" ht="37.5" customHeight="1">
      <c r="A249" s="571" t="s">
        <v>667</v>
      </c>
      <c r="B249" s="571"/>
      <c r="C249" s="149"/>
      <c r="D249" s="149"/>
      <c r="E249" s="149"/>
      <c r="F249" s="232"/>
      <c r="G249" s="144"/>
      <c r="H249" s="145"/>
    </row>
    <row r="250" spans="1:8" ht="20.100000000000001" customHeight="1">
      <c r="A250" s="152" t="s">
        <v>133</v>
      </c>
      <c r="B250" s="153" t="s">
        <v>668</v>
      </c>
      <c r="C250" s="154"/>
      <c r="D250" s="154"/>
      <c r="E250" s="154"/>
      <c r="F250" s="154"/>
      <c r="G250" s="144"/>
      <c r="H250" s="145"/>
    </row>
    <row r="251" spans="1:8" ht="20.100000000000001" customHeight="1">
      <c r="A251" s="152" t="s">
        <v>133</v>
      </c>
      <c r="B251" s="164" t="s">
        <v>134</v>
      </c>
      <c r="C251" s="213"/>
      <c r="D251" s="220"/>
      <c r="E251" s="220"/>
      <c r="F251" s="154"/>
      <c r="G251" s="144"/>
      <c r="H251" s="145"/>
    </row>
    <row r="252" spans="1:8" ht="20.100000000000001" customHeight="1">
      <c r="A252" s="152" t="s">
        <v>135</v>
      </c>
      <c r="B252" s="164" t="s">
        <v>141</v>
      </c>
      <c r="C252" s="156" t="s">
        <v>28</v>
      </c>
      <c r="D252" s="169" t="e">
        <f>recapitulatif!D246</f>
        <v>#REF!</v>
      </c>
      <c r="E252" s="169">
        <v>250</v>
      </c>
      <c r="F252" s="169">
        <v>750</v>
      </c>
      <c r="G252" s="147" t="e">
        <f>SUM(D252*F252)</f>
        <v>#REF!</v>
      </c>
      <c r="H252" s="148">
        <f>SUM(E252*F252)</f>
        <v>187500</v>
      </c>
    </row>
    <row r="253" spans="1:8" ht="20.100000000000001" customHeight="1">
      <c r="A253" s="152" t="s">
        <v>137</v>
      </c>
      <c r="B253" s="164" t="s">
        <v>142</v>
      </c>
      <c r="C253" s="156" t="s">
        <v>16</v>
      </c>
      <c r="D253" s="169" t="e">
        <f>recapitulatif!D247</f>
        <v>#REF!</v>
      </c>
      <c r="E253" s="169">
        <v>3</v>
      </c>
      <c r="F253" s="169">
        <v>2500</v>
      </c>
      <c r="G253" s="147" t="e">
        <f t="shared" ref="G253:G258" si="21">SUM(D253*F253)</f>
        <v>#REF!</v>
      </c>
      <c r="H253" s="148">
        <f t="shared" ref="H253:H258" si="22">SUM(E253*F253)</f>
        <v>7500</v>
      </c>
    </row>
    <row r="254" spans="1:8" ht="20.100000000000001" customHeight="1">
      <c r="A254" s="152" t="s">
        <v>138</v>
      </c>
      <c r="B254" s="164" t="s">
        <v>143</v>
      </c>
      <c r="C254" s="156" t="s">
        <v>16</v>
      </c>
      <c r="D254" s="169" t="e">
        <f>recapitulatif!D248</f>
        <v>#REF!</v>
      </c>
      <c r="E254" s="169">
        <v>3</v>
      </c>
      <c r="F254" s="169">
        <v>2500</v>
      </c>
      <c r="G254" s="147" t="e">
        <f t="shared" si="21"/>
        <v>#REF!</v>
      </c>
      <c r="H254" s="148">
        <f t="shared" si="22"/>
        <v>7500</v>
      </c>
    </row>
    <row r="255" spans="1:8" ht="20.100000000000001" customHeight="1">
      <c r="A255" s="152" t="s">
        <v>139</v>
      </c>
      <c r="B255" s="164" t="s">
        <v>144</v>
      </c>
      <c r="C255" s="156" t="s">
        <v>16</v>
      </c>
      <c r="D255" s="169" t="e">
        <f>recapitulatif!D249</f>
        <v>#REF!</v>
      </c>
      <c r="E255" s="169">
        <v>6</v>
      </c>
      <c r="F255" s="169">
        <v>5000</v>
      </c>
      <c r="G255" s="147" t="e">
        <f t="shared" si="21"/>
        <v>#REF!</v>
      </c>
      <c r="H255" s="148">
        <f t="shared" si="22"/>
        <v>30000</v>
      </c>
    </row>
    <row r="256" spans="1:8" ht="24.75" customHeight="1">
      <c r="A256" s="152" t="s">
        <v>140</v>
      </c>
      <c r="B256" s="164" t="s">
        <v>145</v>
      </c>
      <c r="C256" s="156" t="s">
        <v>28</v>
      </c>
      <c r="D256" s="169" t="e">
        <f>recapitulatif!D250</f>
        <v>#REF!</v>
      </c>
      <c r="E256" s="169">
        <v>240</v>
      </c>
      <c r="F256" s="169">
        <v>220</v>
      </c>
      <c r="G256" s="147" t="e">
        <f t="shared" si="21"/>
        <v>#REF!</v>
      </c>
      <c r="H256" s="148">
        <f t="shared" si="22"/>
        <v>52800</v>
      </c>
    </row>
    <row r="257" spans="1:8" ht="20.100000000000001" customHeight="1">
      <c r="A257" s="152" t="s">
        <v>669</v>
      </c>
      <c r="B257" s="164" t="s">
        <v>670</v>
      </c>
      <c r="C257" s="156" t="s">
        <v>16</v>
      </c>
      <c r="D257" s="169"/>
      <c r="E257" s="169">
        <v>20</v>
      </c>
      <c r="F257" s="169">
        <v>500</v>
      </c>
      <c r="G257" s="147">
        <f t="shared" si="21"/>
        <v>0</v>
      </c>
      <c r="H257" s="148">
        <f t="shared" si="22"/>
        <v>10000</v>
      </c>
    </row>
    <row r="258" spans="1:8" ht="20.100000000000001" customHeight="1" thickBot="1">
      <c r="A258" s="152" t="s">
        <v>213</v>
      </c>
      <c r="B258" s="164" t="s">
        <v>214</v>
      </c>
      <c r="C258" s="156" t="s">
        <v>215</v>
      </c>
      <c r="D258" s="169" t="e">
        <f>recapitulatif!D251</f>
        <v>#REF!</v>
      </c>
      <c r="E258" s="169">
        <v>1</v>
      </c>
      <c r="F258" s="169">
        <v>30000</v>
      </c>
      <c r="G258" s="147" t="e">
        <f t="shared" si="21"/>
        <v>#REF!</v>
      </c>
      <c r="H258" s="148">
        <f t="shared" si="22"/>
        <v>30000</v>
      </c>
    </row>
    <row r="259" spans="1:8" ht="20.100000000000001" customHeight="1" thickBot="1">
      <c r="A259" s="150"/>
      <c r="B259" s="562" t="s">
        <v>671</v>
      </c>
      <c r="C259" s="563"/>
      <c r="D259" s="563"/>
      <c r="E259" s="563"/>
      <c r="F259" s="564"/>
      <c r="G259" s="139" t="e">
        <f>SUM(G252:G258)</f>
        <v>#REF!</v>
      </c>
      <c r="H259" s="139">
        <f>SUM(H252:H258)</f>
        <v>325300</v>
      </c>
    </row>
    <row r="260" spans="1:8" ht="20.100000000000001" customHeight="1">
      <c r="A260" s="152" t="s">
        <v>146</v>
      </c>
      <c r="B260" s="153" t="s">
        <v>672</v>
      </c>
      <c r="C260" s="154"/>
      <c r="D260" s="154"/>
      <c r="E260" s="154"/>
      <c r="F260" s="154"/>
      <c r="G260" s="144"/>
      <c r="H260" s="145"/>
    </row>
    <row r="261" spans="1:8" ht="20.100000000000001" customHeight="1">
      <c r="A261" s="152" t="s">
        <v>147</v>
      </c>
      <c r="B261" s="164" t="s">
        <v>150</v>
      </c>
      <c r="C261" s="213" t="s">
        <v>16</v>
      </c>
      <c r="D261" s="169" t="e">
        <f>recapitulatif!D256</f>
        <v>#REF!</v>
      </c>
      <c r="E261" s="169">
        <v>1</v>
      </c>
      <c r="F261" s="169">
        <v>15000</v>
      </c>
      <c r="G261" s="147" t="e">
        <f>SUM(D261*F261)</f>
        <v>#REF!</v>
      </c>
      <c r="H261" s="148">
        <f>SUM(E261*F261)</f>
        <v>15000</v>
      </c>
    </row>
    <row r="262" spans="1:8" ht="20.100000000000001" customHeight="1">
      <c r="A262" s="152" t="s">
        <v>148</v>
      </c>
      <c r="B262" s="164" t="s">
        <v>151</v>
      </c>
      <c r="C262" s="213"/>
      <c r="D262" s="227"/>
      <c r="E262" s="227"/>
      <c r="F262" s="220"/>
      <c r="G262" s="147"/>
      <c r="H262" s="148"/>
    </row>
    <row r="263" spans="1:8" ht="20.100000000000001" customHeight="1">
      <c r="A263" s="152" t="s">
        <v>149</v>
      </c>
      <c r="B263" s="164" t="s">
        <v>152</v>
      </c>
      <c r="C263" s="213" t="s">
        <v>16</v>
      </c>
      <c r="D263" s="169" t="e">
        <f>recapitulatif!D258</f>
        <v>#REF!</v>
      </c>
      <c r="E263" s="169">
        <v>2</v>
      </c>
      <c r="F263" s="169">
        <v>30000</v>
      </c>
      <c r="G263" s="147" t="e">
        <f t="shared" ref="G263:G278" si="23">SUM(D263*F263)</f>
        <v>#REF!</v>
      </c>
      <c r="H263" s="148">
        <f t="shared" ref="H263:H278" si="24">SUM(E263*F263)</f>
        <v>60000</v>
      </c>
    </row>
    <row r="264" spans="1:8" ht="20.100000000000001" customHeight="1">
      <c r="A264" s="152" t="s">
        <v>239</v>
      </c>
      <c r="B264" s="164" t="s">
        <v>153</v>
      </c>
      <c r="C264" s="213" t="s">
        <v>16</v>
      </c>
      <c r="D264" s="169" t="e">
        <f>recapitulatif!D259</f>
        <v>#REF!</v>
      </c>
      <c r="E264" s="169">
        <v>1</v>
      </c>
      <c r="F264" s="169">
        <v>40000</v>
      </c>
      <c r="G264" s="147" t="e">
        <f t="shared" si="23"/>
        <v>#REF!</v>
      </c>
      <c r="H264" s="148">
        <f t="shared" si="24"/>
        <v>40000</v>
      </c>
    </row>
    <row r="265" spans="1:8" ht="20.100000000000001" customHeight="1">
      <c r="A265" s="152" t="s">
        <v>240</v>
      </c>
      <c r="B265" s="164" t="s">
        <v>154</v>
      </c>
      <c r="C265" s="213" t="s">
        <v>16</v>
      </c>
      <c r="D265" s="169" t="e">
        <f>recapitulatif!D260</f>
        <v>#REF!</v>
      </c>
      <c r="E265" s="169">
        <v>1</v>
      </c>
      <c r="F265" s="169">
        <v>10000</v>
      </c>
      <c r="G265" s="147" t="e">
        <f t="shared" si="23"/>
        <v>#REF!</v>
      </c>
      <c r="H265" s="148">
        <f t="shared" si="24"/>
        <v>10000</v>
      </c>
    </row>
    <row r="266" spans="1:8" ht="20.100000000000001" customHeight="1">
      <c r="A266" s="152" t="s">
        <v>241</v>
      </c>
      <c r="B266" s="164" t="s">
        <v>155</v>
      </c>
      <c r="C266" s="213" t="s">
        <v>16</v>
      </c>
      <c r="D266" s="169" t="e">
        <f>recapitulatif!D261</f>
        <v>#REF!</v>
      </c>
      <c r="E266" s="169">
        <v>1</v>
      </c>
      <c r="F266" s="169">
        <v>120000</v>
      </c>
      <c r="G266" s="147" t="e">
        <f t="shared" si="23"/>
        <v>#REF!</v>
      </c>
      <c r="H266" s="148">
        <f t="shared" si="24"/>
        <v>120000</v>
      </c>
    </row>
    <row r="267" spans="1:8" ht="20.100000000000001" customHeight="1">
      <c r="A267" s="152" t="s">
        <v>242</v>
      </c>
      <c r="B267" s="164" t="s">
        <v>156</v>
      </c>
      <c r="C267" s="213" t="s">
        <v>16</v>
      </c>
      <c r="D267" s="169" t="e">
        <f>recapitulatif!D262</f>
        <v>#REF!</v>
      </c>
      <c r="E267" s="169">
        <v>1</v>
      </c>
      <c r="F267" s="169">
        <v>30000</v>
      </c>
      <c r="G267" s="147" t="e">
        <f t="shared" si="23"/>
        <v>#REF!</v>
      </c>
      <c r="H267" s="148">
        <f t="shared" si="24"/>
        <v>30000</v>
      </c>
    </row>
    <row r="268" spans="1:8" ht="20.100000000000001" customHeight="1">
      <c r="A268" s="152" t="s">
        <v>243</v>
      </c>
      <c r="B268" s="164" t="s">
        <v>157</v>
      </c>
      <c r="C268" s="213" t="s">
        <v>16</v>
      </c>
      <c r="D268" s="169" t="e">
        <f>recapitulatif!D263</f>
        <v>#REF!</v>
      </c>
      <c r="E268" s="169">
        <v>1</v>
      </c>
      <c r="F268" s="169">
        <v>20000</v>
      </c>
      <c r="G268" s="147" t="e">
        <f t="shared" si="23"/>
        <v>#REF!</v>
      </c>
      <c r="H268" s="148">
        <f t="shared" si="24"/>
        <v>20000</v>
      </c>
    </row>
    <row r="269" spans="1:8" ht="20.100000000000001" customHeight="1">
      <c r="A269" s="152" t="s">
        <v>673</v>
      </c>
      <c r="B269" s="164" t="s">
        <v>674</v>
      </c>
      <c r="C269" s="213" t="s">
        <v>16</v>
      </c>
      <c r="D269" s="169"/>
      <c r="E269" s="169">
        <v>1</v>
      </c>
      <c r="F269" s="169">
        <v>15000</v>
      </c>
      <c r="G269" s="147">
        <f t="shared" si="23"/>
        <v>0</v>
      </c>
      <c r="H269" s="148">
        <f t="shared" si="24"/>
        <v>15000</v>
      </c>
    </row>
    <row r="270" spans="1:8" ht="20.100000000000001" customHeight="1">
      <c r="A270" s="152" t="s">
        <v>244</v>
      </c>
      <c r="B270" s="164" t="s">
        <v>158</v>
      </c>
      <c r="C270" s="213" t="s">
        <v>16</v>
      </c>
      <c r="D270" s="169" t="e">
        <f>recapitulatif!D264</f>
        <v>#REF!</v>
      </c>
      <c r="E270" s="169">
        <v>1</v>
      </c>
      <c r="F270" s="169">
        <v>40000</v>
      </c>
      <c r="G270" s="147" t="e">
        <f t="shared" si="23"/>
        <v>#REF!</v>
      </c>
      <c r="H270" s="148">
        <f t="shared" si="24"/>
        <v>40000</v>
      </c>
    </row>
    <row r="271" spans="1:8" ht="20.100000000000001" customHeight="1">
      <c r="A271" s="152" t="s">
        <v>245</v>
      </c>
      <c r="B271" s="164" t="s">
        <v>159</v>
      </c>
      <c r="C271" s="213" t="s">
        <v>16</v>
      </c>
      <c r="D271" s="169" t="e">
        <f>recapitulatif!D265</f>
        <v>#REF!</v>
      </c>
      <c r="E271" s="169">
        <v>1</v>
      </c>
      <c r="F271" s="169">
        <v>5000</v>
      </c>
      <c r="G271" s="147" t="e">
        <f t="shared" si="23"/>
        <v>#REF!</v>
      </c>
      <c r="H271" s="148">
        <f t="shared" si="24"/>
        <v>5000</v>
      </c>
    </row>
    <row r="272" spans="1:8" ht="20.100000000000001" customHeight="1">
      <c r="A272" s="152" t="s">
        <v>246</v>
      </c>
      <c r="B272" s="164" t="s">
        <v>160</v>
      </c>
      <c r="C272" s="213" t="s">
        <v>16</v>
      </c>
      <c r="D272" s="169" t="e">
        <f>recapitulatif!D266</f>
        <v>#REF!</v>
      </c>
      <c r="E272" s="169">
        <v>1</v>
      </c>
      <c r="F272" s="169">
        <v>5000</v>
      </c>
      <c r="G272" s="147" t="e">
        <f t="shared" si="23"/>
        <v>#REF!</v>
      </c>
      <c r="H272" s="148">
        <f t="shared" si="24"/>
        <v>5000</v>
      </c>
    </row>
    <row r="273" spans="1:8" ht="20.100000000000001" customHeight="1">
      <c r="A273" s="152" t="s">
        <v>247</v>
      </c>
      <c r="B273" s="164" t="s">
        <v>161</v>
      </c>
      <c r="C273" s="213" t="s">
        <v>16</v>
      </c>
      <c r="D273" s="169" t="e">
        <f>recapitulatif!D267</f>
        <v>#REF!</v>
      </c>
      <c r="E273" s="169">
        <v>1</v>
      </c>
      <c r="F273" s="169">
        <v>3000</v>
      </c>
      <c r="G273" s="147" t="e">
        <f t="shared" si="23"/>
        <v>#REF!</v>
      </c>
      <c r="H273" s="148">
        <f t="shared" si="24"/>
        <v>3000</v>
      </c>
    </row>
    <row r="274" spans="1:8" ht="20.100000000000001" customHeight="1">
      <c r="A274" s="152" t="s">
        <v>248</v>
      </c>
      <c r="B274" s="164" t="s">
        <v>162</v>
      </c>
      <c r="C274" s="213" t="s">
        <v>16</v>
      </c>
      <c r="D274" s="169" t="e">
        <f>recapitulatif!D268</f>
        <v>#REF!</v>
      </c>
      <c r="E274" s="169">
        <v>1</v>
      </c>
      <c r="F274" s="169">
        <v>5000</v>
      </c>
      <c r="G274" s="147" t="e">
        <f t="shared" si="23"/>
        <v>#REF!</v>
      </c>
      <c r="H274" s="148">
        <f t="shared" si="24"/>
        <v>5000</v>
      </c>
    </row>
    <row r="275" spans="1:8" ht="20.100000000000001" customHeight="1">
      <c r="A275" s="152" t="s">
        <v>249</v>
      </c>
      <c r="B275" s="164" t="s">
        <v>163</v>
      </c>
      <c r="C275" s="213" t="s">
        <v>16</v>
      </c>
      <c r="D275" s="169" t="e">
        <f>recapitulatif!D269</f>
        <v>#REF!</v>
      </c>
      <c r="E275" s="169">
        <v>1</v>
      </c>
      <c r="F275" s="169">
        <v>5000</v>
      </c>
      <c r="G275" s="147" t="e">
        <f t="shared" si="23"/>
        <v>#REF!</v>
      </c>
      <c r="H275" s="148">
        <f t="shared" si="24"/>
        <v>5000</v>
      </c>
    </row>
    <row r="276" spans="1:8" ht="22.5" customHeight="1">
      <c r="A276" s="152" t="s">
        <v>250</v>
      </c>
      <c r="B276" s="164" t="s">
        <v>164</v>
      </c>
      <c r="C276" s="213" t="s">
        <v>16</v>
      </c>
      <c r="D276" s="169" t="e">
        <f>recapitulatif!D270</f>
        <v>#REF!</v>
      </c>
      <c r="E276" s="169">
        <v>1</v>
      </c>
      <c r="F276" s="169">
        <v>15000</v>
      </c>
      <c r="G276" s="147" t="e">
        <f t="shared" si="23"/>
        <v>#REF!</v>
      </c>
      <c r="H276" s="148">
        <f t="shared" si="24"/>
        <v>15000</v>
      </c>
    </row>
    <row r="277" spans="1:8" ht="20.100000000000001" customHeight="1">
      <c r="A277" s="152" t="s">
        <v>251</v>
      </c>
      <c r="B277" s="164" t="s">
        <v>165</v>
      </c>
      <c r="C277" s="213" t="s">
        <v>16</v>
      </c>
      <c r="D277" s="169" t="e">
        <f>recapitulatif!D271</f>
        <v>#REF!</v>
      </c>
      <c r="E277" s="169">
        <v>1</v>
      </c>
      <c r="F277" s="169">
        <v>20000</v>
      </c>
      <c r="G277" s="147" t="e">
        <f t="shared" si="23"/>
        <v>#REF!</v>
      </c>
      <c r="H277" s="148">
        <f t="shared" si="24"/>
        <v>20000</v>
      </c>
    </row>
    <row r="278" spans="1:8" ht="20.100000000000001" customHeight="1" thickBot="1">
      <c r="A278" s="152" t="s">
        <v>252</v>
      </c>
      <c r="B278" s="164" t="s">
        <v>166</v>
      </c>
      <c r="C278" s="213" t="s">
        <v>102</v>
      </c>
      <c r="D278" s="169" t="e">
        <f>recapitulatif!D272</f>
        <v>#REF!</v>
      </c>
      <c r="E278" s="169">
        <v>1</v>
      </c>
      <c r="F278" s="169">
        <v>80000</v>
      </c>
      <c r="G278" s="147" t="e">
        <f t="shared" si="23"/>
        <v>#REF!</v>
      </c>
      <c r="H278" s="148">
        <f t="shared" si="24"/>
        <v>80000</v>
      </c>
    </row>
    <row r="279" spans="1:8" ht="20.100000000000001" customHeight="1" thickBot="1">
      <c r="A279" s="150"/>
      <c r="B279" s="562" t="s">
        <v>675</v>
      </c>
      <c r="C279" s="563"/>
      <c r="D279" s="563"/>
      <c r="E279" s="563"/>
      <c r="F279" s="564"/>
      <c r="G279" s="139" t="e">
        <f>SUM(G261:G278)</f>
        <v>#REF!</v>
      </c>
      <c r="H279" s="139">
        <f>SUM(H261:H278)</f>
        <v>488000</v>
      </c>
    </row>
    <row r="280" spans="1:8" ht="48" customHeight="1">
      <c r="A280" s="152" t="s">
        <v>676</v>
      </c>
      <c r="B280" s="188" t="s">
        <v>677</v>
      </c>
      <c r="C280" s="154"/>
      <c r="D280" s="154"/>
      <c r="E280" s="154"/>
      <c r="F280" s="154"/>
      <c r="G280" s="144"/>
      <c r="H280" s="145"/>
    </row>
    <row r="281" spans="1:8" ht="20.100000000000001" customHeight="1">
      <c r="A281" s="152" t="s">
        <v>678</v>
      </c>
      <c r="B281" s="164" t="s">
        <v>679</v>
      </c>
      <c r="C281" s="213" t="s">
        <v>16</v>
      </c>
      <c r="D281" s="169" t="e">
        <f>recapitulatif!D277</f>
        <v>#REF!</v>
      </c>
      <c r="E281" s="169">
        <v>1</v>
      </c>
      <c r="F281" s="169">
        <v>30000</v>
      </c>
      <c r="G281" s="147" t="e">
        <f>SUM(D281*F281)</f>
        <v>#REF!</v>
      </c>
      <c r="H281" s="148">
        <f>SUM(E281*F281)</f>
        <v>30000</v>
      </c>
    </row>
    <row r="282" spans="1:8" ht="20.100000000000001" customHeight="1">
      <c r="A282" s="152" t="s">
        <v>680</v>
      </c>
      <c r="B282" s="164" t="s">
        <v>681</v>
      </c>
      <c r="C282" s="154"/>
      <c r="D282" s="169"/>
      <c r="E282" s="169"/>
      <c r="F282" s="169"/>
      <c r="G282" s="147"/>
      <c r="H282" s="148"/>
    </row>
    <row r="283" spans="1:8" ht="20.100000000000001" customHeight="1">
      <c r="A283" s="152" t="s">
        <v>682</v>
      </c>
      <c r="B283" s="164" t="s">
        <v>683</v>
      </c>
      <c r="C283" s="213" t="s">
        <v>16</v>
      </c>
      <c r="D283" s="169"/>
      <c r="E283" s="169">
        <v>1</v>
      </c>
      <c r="F283" s="169">
        <v>40000</v>
      </c>
      <c r="G283" s="147">
        <f t="shared" ref="G283:G301" si="25">SUM(D283*F283)</f>
        <v>0</v>
      </c>
      <c r="H283" s="148">
        <f t="shared" ref="H283:H301" si="26">SUM(E283*F283)</f>
        <v>40000</v>
      </c>
    </row>
    <row r="284" spans="1:8" ht="20.100000000000001" customHeight="1">
      <c r="A284" s="152" t="s">
        <v>684</v>
      </c>
      <c r="B284" s="164" t="s">
        <v>685</v>
      </c>
      <c r="C284" s="213" t="s">
        <v>16</v>
      </c>
      <c r="D284" s="169"/>
      <c r="E284" s="169">
        <v>1</v>
      </c>
      <c r="F284" s="169">
        <v>7000</v>
      </c>
      <c r="G284" s="147">
        <f t="shared" si="25"/>
        <v>0</v>
      </c>
      <c r="H284" s="148">
        <f t="shared" si="26"/>
        <v>7000</v>
      </c>
    </row>
    <row r="285" spans="1:8" ht="20.100000000000001" customHeight="1">
      <c r="A285" s="152" t="s">
        <v>686</v>
      </c>
      <c r="B285" s="164" t="s">
        <v>687</v>
      </c>
      <c r="C285" s="213" t="s">
        <v>16</v>
      </c>
      <c r="D285" s="169"/>
      <c r="E285" s="169">
        <v>1</v>
      </c>
      <c r="F285" s="169">
        <v>7000</v>
      </c>
      <c r="G285" s="147">
        <f t="shared" si="25"/>
        <v>0</v>
      </c>
      <c r="H285" s="148">
        <f t="shared" si="26"/>
        <v>7000</v>
      </c>
    </row>
    <row r="286" spans="1:8" ht="20.100000000000001" customHeight="1">
      <c r="A286" s="152" t="s">
        <v>688</v>
      </c>
      <c r="B286" s="164" t="s">
        <v>689</v>
      </c>
      <c r="C286" s="213" t="s">
        <v>16</v>
      </c>
      <c r="D286" s="169"/>
      <c r="E286" s="169">
        <v>1</v>
      </c>
      <c r="F286" s="169">
        <v>7000</v>
      </c>
      <c r="G286" s="147">
        <f t="shared" si="25"/>
        <v>0</v>
      </c>
      <c r="H286" s="148">
        <f t="shared" si="26"/>
        <v>7000</v>
      </c>
    </row>
    <row r="287" spans="1:8" ht="20.100000000000001" customHeight="1">
      <c r="A287" s="152" t="s">
        <v>690</v>
      </c>
      <c r="B287" s="164" t="s">
        <v>691</v>
      </c>
      <c r="C287" s="213" t="s">
        <v>16</v>
      </c>
      <c r="D287" s="169"/>
      <c r="E287" s="169">
        <v>1</v>
      </c>
      <c r="F287" s="169">
        <v>7000</v>
      </c>
      <c r="G287" s="147">
        <f t="shared" si="25"/>
        <v>0</v>
      </c>
      <c r="H287" s="148">
        <f t="shared" si="26"/>
        <v>7000</v>
      </c>
    </row>
    <row r="288" spans="1:8" ht="20.100000000000001" customHeight="1">
      <c r="A288" s="152" t="s">
        <v>692</v>
      </c>
      <c r="B288" s="164" t="s">
        <v>693</v>
      </c>
      <c r="C288" s="213" t="s">
        <v>16</v>
      </c>
      <c r="D288" s="169" t="e">
        <f>recapitulatif!D279</f>
        <v>#REF!</v>
      </c>
      <c r="E288" s="169">
        <v>1</v>
      </c>
      <c r="F288" s="169">
        <v>7000</v>
      </c>
      <c r="G288" s="147" t="e">
        <f t="shared" si="25"/>
        <v>#REF!</v>
      </c>
      <c r="H288" s="148">
        <f t="shared" si="26"/>
        <v>7000</v>
      </c>
    </row>
    <row r="289" spans="1:8" ht="20.100000000000001" customHeight="1">
      <c r="A289" s="152" t="s">
        <v>694</v>
      </c>
      <c r="B289" s="164" t="s">
        <v>695</v>
      </c>
      <c r="C289" s="213" t="s">
        <v>16</v>
      </c>
      <c r="D289" s="169">
        <v>1</v>
      </c>
      <c r="E289" s="169">
        <v>1</v>
      </c>
      <c r="F289" s="169">
        <v>7000</v>
      </c>
      <c r="G289" s="147">
        <f t="shared" si="25"/>
        <v>7000</v>
      </c>
      <c r="H289" s="148">
        <f t="shared" si="26"/>
        <v>7000</v>
      </c>
    </row>
    <row r="290" spans="1:8" ht="20.100000000000001" customHeight="1">
      <c r="A290" s="152" t="s">
        <v>696</v>
      </c>
      <c r="B290" s="164" t="s">
        <v>697</v>
      </c>
      <c r="C290" s="213" t="s">
        <v>16</v>
      </c>
      <c r="D290" s="169">
        <v>1</v>
      </c>
      <c r="E290" s="169">
        <v>1</v>
      </c>
      <c r="F290" s="169">
        <v>7000</v>
      </c>
      <c r="G290" s="147">
        <f t="shared" si="25"/>
        <v>7000</v>
      </c>
      <c r="H290" s="148">
        <f t="shared" si="26"/>
        <v>7000</v>
      </c>
    </row>
    <row r="291" spans="1:8" ht="20.100000000000001" customHeight="1">
      <c r="A291" s="152" t="s">
        <v>698</v>
      </c>
      <c r="B291" s="164" t="s">
        <v>699</v>
      </c>
      <c r="C291" s="213" t="s">
        <v>16</v>
      </c>
      <c r="D291" s="169">
        <v>1</v>
      </c>
      <c r="E291" s="169">
        <v>1</v>
      </c>
      <c r="F291" s="169">
        <v>7000</v>
      </c>
      <c r="G291" s="147">
        <f t="shared" si="25"/>
        <v>7000</v>
      </c>
      <c r="H291" s="148">
        <f t="shared" si="26"/>
        <v>7000</v>
      </c>
    </row>
    <row r="292" spans="1:8" ht="20.100000000000001" customHeight="1">
      <c r="A292" s="152" t="s">
        <v>700</v>
      </c>
      <c r="B292" s="164" t="s">
        <v>701</v>
      </c>
      <c r="C292" s="213" t="s">
        <v>16</v>
      </c>
      <c r="D292" s="169">
        <v>1</v>
      </c>
      <c r="E292" s="169">
        <v>1</v>
      </c>
      <c r="F292" s="169">
        <v>7000</v>
      </c>
      <c r="G292" s="147">
        <f t="shared" si="25"/>
        <v>7000</v>
      </c>
      <c r="H292" s="148">
        <f t="shared" si="26"/>
        <v>7000</v>
      </c>
    </row>
    <row r="293" spans="1:8" ht="20.100000000000001" customHeight="1">
      <c r="A293" s="152" t="s">
        <v>702</v>
      </c>
      <c r="B293" s="164" t="s">
        <v>703</v>
      </c>
      <c r="C293" s="213" t="s">
        <v>16</v>
      </c>
      <c r="D293" s="169">
        <v>1</v>
      </c>
      <c r="E293" s="169">
        <v>1</v>
      </c>
      <c r="F293" s="169">
        <v>7000</v>
      </c>
      <c r="G293" s="147">
        <f t="shared" si="25"/>
        <v>7000</v>
      </c>
      <c r="H293" s="148">
        <f t="shared" si="26"/>
        <v>7000</v>
      </c>
    </row>
    <row r="294" spans="1:8" ht="20.100000000000001" customHeight="1">
      <c r="A294" s="152" t="s">
        <v>704</v>
      </c>
      <c r="B294" s="164" t="s">
        <v>705</v>
      </c>
      <c r="C294" s="213" t="s">
        <v>16</v>
      </c>
      <c r="D294" s="169">
        <v>1</v>
      </c>
      <c r="E294" s="169">
        <v>1</v>
      </c>
      <c r="F294" s="169">
        <v>7000</v>
      </c>
      <c r="G294" s="147">
        <f t="shared" si="25"/>
        <v>7000</v>
      </c>
      <c r="H294" s="148">
        <f t="shared" si="26"/>
        <v>7000</v>
      </c>
    </row>
    <row r="295" spans="1:8" ht="20.100000000000001" customHeight="1">
      <c r="A295" s="152" t="s">
        <v>706</v>
      </c>
      <c r="B295" s="164" t="s">
        <v>707</v>
      </c>
      <c r="C295" s="213" t="s">
        <v>16</v>
      </c>
      <c r="D295" s="169">
        <v>1</v>
      </c>
      <c r="E295" s="169">
        <v>1</v>
      </c>
      <c r="F295" s="169">
        <v>7000</v>
      </c>
      <c r="G295" s="147">
        <f t="shared" si="25"/>
        <v>7000</v>
      </c>
      <c r="H295" s="148">
        <f t="shared" si="26"/>
        <v>7000</v>
      </c>
    </row>
    <row r="296" spans="1:8" ht="20.100000000000001" customHeight="1">
      <c r="A296" s="152" t="s">
        <v>708</v>
      </c>
      <c r="B296" s="164" t="s">
        <v>709</v>
      </c>
      <c r="C296" s="213" t="s">
        <v>16</v>
      </c>
      <c r="D296" s="169">
        <v>1</v>
      </c>
      <c r="E296" s="169">
        <v>1</v>
      </c>
      <c r="F296" s="169">
        <v>7000</v>
      </c>
      <c r="G296" s="147">
        <f t="shared" si="25"/>
        <v>7000</v>
      </c>
      <c r="H296" s="148">
        <f t="shared" si="26"/>
        <v>7000</v>
      </c>
    </row>
    <row r="297" spans="1:8" ht="22.5" customHeight="1">
      <c r="A297" s="152" t="s">
        <v>710</v>
      </c>
      <c r="B297" s="164" t="s">
        <v>711</v>
      </c>
      <c r="C297" s="213" t="s">
        <v>16</v>
      </c>
      <c r="D297" s="169">
        <v>1</v>
      </c>
      <c r="E297" s="169">
        <v>1</v>
      </c>
      <c r="F297" s="169">
        <v>7000</v>
      </c>
      <c r="G297" s="147">
        <f t="shared" si="25"/>
        <v>7000</v>
      </c>
      <c r="H297" s="148">
        <f t="shared" si="26"/>
        <v>7000</v>
      </c>
    </row>
    <row r="298" spans="1:8" ht="21.75" customHeight="1">
      <c r="A298" s="152" t="s">
        <v>712</v>
      </c>
      <c r="B298" s="164" t="s">
        <v>713</v>
      </c>
      <c r="C298" s="213" t="s">
        <v>16</v>
      </c>
      <c r="D298" s="169">
        <v>1</v>
      </c>
      <c r="E298" s="169">
        <v>1</v>
      </c>
      <c r="F298" s="169">
        <v>7000</v>
      </c>
      <c r="G298" s="147">
        <f t="shared" si="25"/>
        <v>7000</v>
      </c>
      <c r="H298" s="148">
        <f t="shared" si="26"/>
        <v>7000</v>
      </c>
    </row>
    <row r="299" spans="1:8" ht="20.100000000000001" customHeight="1">
      <c r="A299" s="152" t="s">
        <v>714</v>
      </c>
      <c r="B299" s="164" t="s">
        <v>715</v>
      </c>
      <c r="C299" s="213" t="s">
        <v>16</v>
      </c>
      <c r="D299" s="169">
        <v>1</v>
      </c>
      <c r="E299" s="169">
        <v>1</v>
      </c>
      <c r="F299" s="169">
        <v>7000</v>
      </c>
      <c r="G299" s="147">
        <f t="shared" si="25"/>
        <v>7000</v>
      </c>
      <c r="H299" s="148">
        <f t="shared" si="26"/>
        <v>7000</v>
      </c>
    </row>
    <row r="300" spans="1:8" ht="20.100000000000001" customHeight="1">
      <c r="A300" s="152" t="s">
        <v>716</v>
      </c>
      <c r="B300" s="164" t="s">
        <v>717</v>
      </c>
      <c r="C300" s="213" t="s">
        <v>16</v>
      </c>
      <c r="D300" s="169">
        <v>1</v>
      </c>
      <c r="E300" s="169">
        <v>1</v>
      </c>
      <c r="F300" s="169">
        <v>7000</v>
      </c>
      <c r="G300" s="147">
        <f t="shared" si="25"/>
        <v>7000</v>
      </c>
      <c r="H300" s="148">
        <f t="shared" si="26"/>
        <v>7000</v>
      </c>
    </row>
    <row r="301" spans="1:8" ht="20.100000000000001" customHeight="1" thickBot="1">
      <c r="A301" s="152" t="s">
        <v>718</v>
      </c>
      <c r="B301" s="164" t="s">
        <v>719</v>
      </c>
      <c r="C301" s="213" t="s">
        <v>16</v>
      </c>
      <c r="D301" s="169">
        <v>1</v>
      </c>
      <c r="E301" s="169">
        <v>1</v>
      </c>
      <c r="F301" s="169">
        <v>7000</v>
      </c>
      <c r="G301" s="147">
        <f t="shared" si="25"/>
        <v>7000</v>
      </c>
      <c r="H301" s="148">
        <f t="shared" si="26"/>
        <v>7000</v>
      </c>
    </row>
    <row r="302" spans="1:8" ht="20.100000000000001" customHeight="1" thickBot="1">
      <c r="A302" s="150"/>
      <c r="B302" s="562" t="s">
        <v>720</v>
      </c>
      <c r="C302" s="563"/>
      <c r="D302" s="563"/>
      <c r="E302" s="563"/>
      <c r="F302" s="564"/>
      <c r="G302" s="139" t="e">
        <f>SUM(G281:G301)</f>
        <v>#REF!</v>
      </c>
      <c r="H302" s="139">
        <f>SUM(H281:H301)</f>
        <v>196000</v>
      </c>
    </row>
    <row r="303" spans="1:8" ht="20.100000000000001" customHeight="1" thickBot="1">
      <c r="A303" s="152" t="s">
        <v>721</v>
      </c>
      <c r="B303" s="153" t="s">
        <v>722</v>
      </c>
      <c r="C303" s="218" t="s">
        <v>16</v>
      </c>
      <c r="D303" s="169"/>
      <c r="E303" s="169">
        <v>8</v>
      </c>
      <c r="F303" s="169">
        <v>2000</v>
      </c>
      <c r="G303" s="147">
        <f t="shared" ref="G303" si="27">SUM(D303*F303)</f>
        <v>0</v>
      </c>
      <c r="H303" s="148">
        <f t="shared" ref="H303" si="28">SUM(E303*F303)</f>
        <v>16000</v>
      </c>
    </row>
    <row r="304" spans="1:8" ht="20.100000000000001" customHeight="1" thickBot="1">
      <c r="A304" s="150"/>
      <c r="B304" s="562" t="s">
        <v>723</v>
      </c>
      <c r="C304" s="563"/>
      <c r="D304" s="563"/>
      <c r="E304" s="563"/>
      <c r="F304" s="564"/>
      <c r="G304" s="139">
        <f>SUM(G303)</f>
        <v>0</v>
      </c>
      <c r="H304" s="139">
        <f>SUM(H303)</f>
        <v>16000</v>
      </c>
    </row>
    <row r="305" spans="1:8" ht="20.100000000000001" customHeight="1">
      <c r="A305" s="152" t="s">
        <v>724</v>
      </c>
      <c r="B305" s="153" t="s">
        <v>725</v>
      </c>
      <c r="C305" s="154"/>
      <c r="D305" s="154"/>
      <c r="E305" s="154"/>
      <c r="F305" s="154"/>
      <c r="G305" s="144"/>
      <c r="H305" s="145"/>
    </row>
    <row r="306" spans="1:8" ht="20.100000000000001" customHeight="1">
      <c r="A306" s="152" t="s">
        <v>726</v>
      </c>
      <c r="B306" s="164" t="s">
        <v>727</v>
      </c>
      <c r="C306" s="156" t="s">
        <v>28</v>
      </c>
      <c r="D306" s="169"/>
      <c r="E306" s="169">
        <v>200</v>
      </c>
      <c r="F306" s="169">
        <v>230</v>
      </c>
      <c r="G306" s="147">
        <f t="shared" ref="G306:G320" si="29">SUM(D306*F306)</f>
        <v>0</v>
      </c>
      <c r="H306" s="148">
        <f t="shared" ref="H306:H320" si="30">SUM(E306*F306)</f>
        <v>46000</v>
      </c>
    </row>
    <row r="307" spans="1:8" ht="20.100000000000001" customHeight="1">
      <c r="A307" s="152" t="s">
        <v>728</v>
      </c>
      <c r="B307" s="164" t="s">
        <v>729</v>
      </c>
      <c r="C307" s="156" t="s">
        <v>28</v>
      </c>
      <c r="D307" s="169"/>
      <c r="E307" s="169">
        <v>100</v>
      </c>
      <c r="F307" s="169">
        <v>180</v>
      </c>
      <c r="G307" s="147">
        <f t="shared" si="29"/>
        <v>0</v>
      </c>
      <c r="H307" s="148">
        <f t="shared" si="30"/>
        <v>18000</v>
      </c>
    </row>
    <row r="308" spans="1:8" ht="20.100000000000001" customHeight="1">
      <c r="A308" s="152" t="s">
        <v>730</v>
      </c>
      <c r="B308" s="164" t="s">
        <v>731</v>
      </c>
      <c r="C308" s="156" t="s">
        <v>28</v>
      </c>
      <c r="D308" s="169"/>
      <c r="E308" s="169">
        <v>50</v>
      </c>
      <c r="F308" s="169">
        <v>150</v>
      </c>
      <c r="G308" s="147">
        <f t="shared" si="29"/>
        <v>0</v>
      </c>
      <c r="H308" s="148">
        <f t="shared" si="30"/>
        <v>7500</v>
      </c>
    </row>
    <row r="309" spans="1:8" ht="20.100000000000001" customHeight="1">
      <c r="A309" s="152" t="s">
        <v>732</v>
      </c>
      <c r="B309" s="164" t="s">
        <v>733</v>
      </c>
      <c r="C309" s="156" t="s">
        <v>28</v>
      </c>
      <c r="D309" s="169" t="e">
        <f>recapitulatif!D297</f>
        <v>#REF!</v>
      </c>
      <c r="E309" s="169">
        <v>50</v>
      </c>
      <c r="F309" s="169">
        <v>130</v>
      </c>
      <c r="G309" s="147" t="e">
        <f t="shared" si="29"/>
        <v>#REF!</v>
      </c>
      <c r="H309" s="148">
        <f t="shared" si="30"/>
        <v>6500</v>
      </c>
    </row>
    <row r="310" spans="1:8" ht="20.100000000000001" customHeight="1">
      <c r="A310" s="152" t="s">
        <v>734</v>
      </c>
      <c r="B310" s="164" t="s">
        <v>735</v>
      </c>
      <c r="C310" s="156" t="s">
        <v>28</v>
      </c>
      <c r="D310" s="169"/>
      <c r="E310" s="169">
        <v>500</v>
      </c>
      <c r="F310" s="169">
        <v>100</v>
      </c>
      <c r="G310" s="147">
        <f t="shared" si="29"/>
        <v>0</v>
      </c>
      <c r="H310" s="148">
        <f t="shared" si="30"/>
        <v>50000</v>
      </c>
    </row>
    <row r="311" spans="1:8" ht="20.100000000000001" customHeight="1">
      <c r="A311" s="152" t="s">
        <v>736</v>
      </c>
      <c r="B311" s="164" t="s">
        <v>737</v>
      </c>
      <c r="C311" s="156" t="s">
        <v>28</v>
      </c>
      <c r="D311" s="169"/>
      <c r="E311" s="169">
        <v>25</v>
      </c>
      <c r="F311" s="169">
        <v>70</v>
      </c>
      <c r="G311" s="147">
        <f t="shared" si="29"/>
        <v>0</v>
      </c>
      <c r="H311" s="148">
        <f t="shared" si="30"/>
        <v>1750</v>
      </c>
    </row>
    <row r="312" spans="1:8" ht="20.100000000000001" customHeight="1">
      <c r="A312" s="152" t="s">
        <v>738</v>
      </c>
      <c r="B312" s="164" t="s">
        <v>739</v>
      </c>
      <c r="C312" s="156" t="s">
        <v>28</v>
      </c>
      <c r="D312" s="169"/>
      <c r="E312" s="169">
        <v>100</v>
      </c>
      <c r="F312" s="169">
        <v>40</v>
      </c>
      <c r="G312" s="147">
        <f t="shared" si="29"/>
        <v>0</v>
      </c>
      <c r="H312" s="148">
        <f t="shared" si="30"/>
        <v>4000</v>
      </c>
    </row>
    <row r="313" spans="1:8" ht="20.100000000000001" customHeight="1">
      <c r="A313" s="152" t="s">
        <v>740</v>
      </c>
      <c r="B313" s="164" t="s">
        <v>741</v>
      </c>
      <c r="C313" s="156" t="s">
        <v>28</v>
      </c>
      <c r="D313" s="169"/>
      <c r="E313" s="169">
        <v>125</v>
      </c>
      <c r="F313" s="169">
        <v>280</v>
      </c>
      <c r="G313" s="147">
        <f t="shared" si="29"/>
        <v>0</v>
      </c>
      <c r="H313" s="148">
        <f t="shared" si="30"/>
        <v>35000</v>
      </c>
    </row>
    <row r="314" spans="1:8" ht="20.100000000000001" customHeight="1">
      <c r="A314" s="152" t="s">
        <v>742</v>
      </c>
      <c r="B314" s="164" t="s">
        <v>743</v>
      </c>
      <c r="C314" s="156" t="s">
        <v>28</v>
      </c>
      <c r="D314" s="169" t="e">
        <f>recapitulatif!D298</f>
        <v>#REF!</v>
      </c>
      <c r="E314" s="169">
        <v>405</v>
      </c>
      <c r="F314" s="169">
        <v>200</v>
      </c>
      <c r="G314" s="147" t="e">
        <f t="shared" si="29"/>
        <v>#REF!</v>
      </c>
      <c r="H314" s="148">
        <f t="shared" si="30"/>
        <v>81000</v>
      </c>
    </row>
    <row r="315" spans="1:8" ht="20.100000000000001" customHeight="1">
      <c r="A315" s="152" t="s">
        <v>744</v>
      </c>
      <c r="B315" s="164" t="s">
        <v>745</v>
      </c>
      <c r="C315" s="156" t="s">
        <v>28</v>
      </c>
      <c r="D315" s="169" t="e">
        <f>recapitulatif!D299</f>
        <v>#REF!</v>
      </c>
      <c r="E315" s="169">
        <v>375</v>
      </c>
      <c r="F315" s="169">
        <v>150</v>
      </c>
      <c r="G315" s="147" t="e">
        <f t="shared" si="29"/>
        <v>#REF!</v>
      </c>
      <c r="H315" s="148">
        <f t="shared" si="30"/>
        <v>56250</v>
      </c>
    </row>
    <row r="316" spans="1:8" ht="20.100000000000001" customHeight="1">
      <c r="A316" s="152" t="s">
        <v>746</v>
      </c>
      <c r="B316" s="164" t="s">
        <v>747</v>
      </c>
      <c r="C316" s="156" t="s">
        <v>28</v>
      </c>
      <c r="D316" s="169"/>
      <c r="E316" s="169">
        <v>60</v>
      </c>
      <c r="F316" s="169">
        <v>90</v>
      </c>
      <c r="G316" s="147">
        <f t="shared" si="29"/>
        <v>0</v>
      </c>
      <c r="H316" s="148">
        <f t="shared" si="30"/>
        <v>5400</v>
      </c>
    </row>
    <row r="317" spans="1:8" ht="20.100000000000001" customHeight="1">
      <c r="A317" s="152" t="s">
        <v>748</v>
      </c>
      <c r="B317" s="164" t="s">
        <v>749</v>
      </c>
      <c r="C317" s="156" t="s">
        <v>28</v>
      </c>
      <c r="D317" s="169"/>
      <c r="E317" s="169">
        <v>160</v>
      </c>
      <c r="F317" s="169">
        <v>60</v>
      </c>
      <c r="G317" s="147">
        <f t="shared" si="29"/>
        <v>0</v>
      </c>
      <c r="H317" s="148">
        <f t="shared" si="30"/>
        <v>9600</v>
      </c>
    </row>
    <row r="318" spans="1:8" ht="20.100000000000001" customHeight="1">
      <c r="A318" s="152" t="s">
        <v>750</v>
      </c>
      <c r="B318" s="164" t="s">
        <v>751</v>
      </c>
      <c r="C318" s="156" t="s">
        <v>28</v>
      </c>
      <c r="D318" s="169" t="e">
        <f>recapitulatif!D300</f>
        <v>#REF!</v>
      </c>
      <c r="E318" s="169">
        <v>600</v>
      </c>
      <c r="F318" s="169">
        <v>50</v>
      </c>
      <c r="G318" s="147" t="e">
        <f t="shared" si="29"/>
        <v>#REF!</v>
      </c>
      <c r="H318" s="148">
        <f t="shared" si="30"/>
        <v>30000</v>
      </c>
    </row>
    <row r="319" spans="1:8" ht="20.100000000000001" customHeight="1">
      <c r="A319" s="152" t="s">
        <v>752</v>
      </c>
      <c r="B319" s="164" t="s">
        <v>753</v>
      </c>
      <c r="C319" s="156" t="s">
        <v>28</v>
      </c>
      <c r="D319" s="169"/>
      <c r="E319" s="169">
        <v>200</v>
      </c>
      <c r="F319" s="169">
        <v>40</v>
      </c>
      <c r="G319" s="147">
        <f t="shared" si="29"/>
        <v>0</v>
      </c>
      <c r="H319" s="148">
        <f t="shared" si="30"/>
        <v>8000</v>
      </c>
    </row>
    <row r="320" spans="1:8" ht="20.100000000000001" customHeight="1" thickBot="1">
      <c r="A320" s="152" t="s">
        <v>754</v>
      </c>
      <c r="B320" s="164" t="s">
        <v>755</v>
      </c>
      <c r="C320" s="156" t="s">
        <v>28</v>
      </c>
      <c r="D320" s="169" t="e">
        <f>recapitulatif!D301</f>
        <v>#REF!</v>
      </c>
      <c r="E320" s="169">
        <v>450</v>
      </c>
      <c r="F320" s="169">
        <v>30</v>
      </c>
      <c r="G320" s="147" t="e">
        <f t="shared" si="29"/>
        <v>#REF!</v>
      </c>
      <c r="H320" s="148">
        <f t="shared" si="30"/>
        <v>13500</v>
      </c>
    </row>
    <row r="321" spans="1:8" ht="20.100000000000001" customHeight="1" thickBot="1">
      <c r="A321" s="150"/>
      <c r="B321" s="562" t="s">
        <v>756</v>
      </c>
      <c r="C321" s="563"/>
      <c r="D321" s="563"/>
      <c r="E321" s="563"/>
      <c r="F321" s="564"/>
      <c r="G321" s="139" t="e">
        <f>SUM(G306:G320)</f>
        <v>#REF!</v>
      </c>
      <c r="H321" s="139">
        <f>SUM(H306:H320)</f>
        <v>372500</v>
      </c>
    </row>
    <row r="322" spans="1:8" ht="20.100000000000001" customHeight="1">
      <c r="A322" s="152" t="s">
        <v>757</v>
      </c>
      <c r="B322" s="153" t="s">
        <v>758</v>
      </c>
      <c r="C322" s="156"/>
      <c r="D322" s="169"/>
      <c r="E322" s="169"/>
      <c r="F322" s="169"/>
      <c r="G322" s="204"/>
      <c r="H322" s="145"/>
    </row>
    <row r="323" spans="1:8" ht="20.100000000000001" customHeight="1">
      <c r="A323" s="152" t="s">
        <v>759</v>
      </c>
      <c r="B323" s="164" t="s">
        <v>760</v>
      </c>
      <c r="C323" s="156"/>
      <c r="D323" s="169"/>
      <c r="E323" s="169"/>
      <c r="F323" s="169"/>
      <c r="G323" s="204"/>
      <c r="H323" s="145"/>
    </row>
    <row r="324" spans="1:8" ht="20.100000000000001" customHeight="1">
      <c r="A324" s="152" t="s">
        <v>761</v>
      </c>
      <c r="B324" s="164" t="s">
        <v>762</v>
      </c>
      <c r="C324" s="156" t="s">
        <v>28</v>
      </c>
      <c r="D324" s="169"/>
      <c r="E324" s="169">
        <v>250</v>
      </c>
      <c r="F324" s="169">
        <v>80</v>
      </c>
      <c r="G324" s="147">
        <f t="shared" ref="G324:G328" si="31">SUM(D324*F324)</f>
        <v>0</v>
      </c>
      <c r="H324" s="148">
        <f t="shared" ref="H324:H328" si="32">SUM(E324*F324)</f>
        <v>20000</v>
      </c>
    </row>
    <row r="325" spans="1:8" ht="20.100000000000001" customHeight="1">
      <c r="A325" s="152" t="s">
        <v>763</v>
      </c>
      <c r="B325" s="164" t="s">
        <v>764</v>
      </c>
      <c r="C325" s="156" t="s">
        <v>28</v>
      </c>
      <c r="D325" s="169" t="e">
        <f>recapitulatif!D307</f>
        <v>#REF!</v>
      </c>
      <c r="E325" s="169">
        <v>290</v>
      </c>
      <c r="F325" s="169">
        <v>60</v>
      </c>
      <c r="G325" s="147" t="e">
        <f t="shared" si="31"/>
        <v>#REF!</v>
      </c>
      <c r="H325" s="148">
        <f t="shared" si="32"/>
        <v>17400</v>
      </c>
    </row>
    <row r="326" spans="1:8" ht="20.100000000000001" customHeight="1">
      <c r="A326" s="152" t="s">
        <v>765</v>
      </c>
      <c r="B326" s="164" t="s">
        <v>766</v>
      </c>
      <c r="C326" s="156" t="s">
        <v>28</v>
      </c>
      <c r="D326" s="169" t="e">
        <f>recapitulatif!D308</f>
        <v>#REF!</v>
      </c>
      <c r="E326" s="169">
        <v>450</v>
      </c>
      <c r="F326" s="169">
        <v>50</v>
      </c>
      <c r="G326" s="147" t="e">
        <f t="shared" si="31"/>
        <v>#REF!</v>
      </c>
      <c r="H326" s="148">
        <f t="shared" si="32"/>
        <v>22500</v>
      </c>
    </row>
    <row r="327" spans="1:8" ht="20.100000000000001" customHeight="1">
      <c r="A327" s="152" t="s">
        <v>767</v>
      </c>
      <c r="B327" s="164" t="s">
        <v>768</v>
      </c>
      <c r="C327" s="156" t="s">
        <v>28</v>
      </c>
      <c r="D327" s="169" t="e">
        <f>recapitulatif!D309</f>
        <v>#REF!</v>
      </c>
      <c r="E327" s="169">
        <v>190</v>
      </c>
      <c r="F327" s="169">
        <v>100</v>
      </c>
      <c r="G327" s="147" t="e">
        <f t="shared" si="31"/>
        <v>#REF!</v>
      </c>
      <c r="H327" s="148">
        <f t="shared" si="32"/>
        <v>19000</v>
      </c>
    </row>
    <row r="328" spans="1:8" ht="20.100000000000001" customHeight="1">
      <c r="A328" s="152" t="s">
        <v>769</v>
      </c>
      <c r="B328" s="164" t="s">
        <v>770</v>
      </c>
      <c r="C328" s="156" t="s">
        <v>28</v>
      </c>
      <c r="D328" s="169" t="e">
        <f>recapitulatif!D310</f>
        <v>#REF!</v>
      </c>
      <c r="E328" s="169">
        <v>1260</v>
      </c>
      <c r="F328" s="169">
        <v>120</v>
      </c>
      <c r="G328" s="147" t="e">
        <f t="shared" si="31"/>
        <v>#REF!</v>
      </c>
      <c r="H328" s="148">
        <f t="shared" si="32"/>
        <v>151200</v>
      </c>
    </row>
    <row r="329" spans="1:8" ht="20.100000000000001" customHeight="1">
      <c r="A329" s="152" t="s">
        <v>771</v>
      </c>
      <c r="B329" s="164" t="s">
        <v>772</v>
      </c>
      <c r="C329" s="156"/>
      <c r="D329" s="169"/>
      <c r="E329" s="169"/>
      <c r="F329" s="169"/>
      <c r="G329" s="147"/>
      <c r="H329" s="148"/>
    </row>
    <row r="330" spans="1:8" ht="20.100000000000001" customHeight="1">
      <c r="A330" s="152" t="s">
        <v>1295</v>
      </c>
      <c r="B330" s="164" t="s">
        <v>773</v>
      </c>
      <c r="C330" s="156" t="s">
        <v>28</v>
      </c>
      <c r="D330" s="169"/>
      <c r="E330" s="169">
        <v>600</v>
      </c>
      <c r="F330" s="169">
        <v>50</v>
      </c>
      <c r="G330" s="147">
        <f t="shared" ref="G330:G333" si="33">SUM(D330*F330)</f>
        <v>0</v>
      </c>
      <c r="H330" s="148">
        <f t="shared" ref="H330:H333" si="34">SUM(E330*F330)</f>
        <v>30000</v>
      </c>
    </row>
    <row r="331" spans="1:8" ht="20.100000000000001" customHeight="1">
      <c r="A331" s="152" t="s">
        <v>1233</v>
      </c>
      <c r="B331" s="164" t="s">
        <v>774</v>
      </c>
      <c r="C331" s="156" t="s">
        <v>28</v>
      </c>
      <c r="D331" s="169" t="e">
        <f>recapitulatif!D312</f>
        <v>#REF!</v>
      </c>
      <c r="E331" s="169">
        <v>820</v>
      </c>
      <c r="F331" s="169">
        <v>40</v>
      </c>
      <c r="G331" s="147" t="e">
        <f t="shared" si="33"/>
        <v>#REF!</v>
      </c>
      <c r="H331" s="148">
        <f t="shared" si="34"/>
        <v>32800</v>
      </c>
    </row>
    <row r="332" spans="1:8" ht="20.100000000000001" customHeight="1">
      <c r="A332" s="152" t="s">
        <v>1234</v>
      </c>
      <c r="B332" s="164" t="s">
        <v>775</v>
      </c>
      <c r="C332" s="156" t="s">
        <v>28</v>
      </c>
      <c r="D332" s="169" t="e">
        <f>recapitulatif!D313</f>
        <v>#REF!</v>
      </c>
      <c r="E332" s="169">
        <v>770</v>
      </c>
      <c r="F332" s="169">
        <v>30</v>
      </c>
      <c r="G332" s="147" t="e">
        <f t="shared" si="33"/>
        <v>#REF!</v>
      </c>
      <c r="H332" s="148">
        <f t="shared" si="34"/>
        <v>23100</v>
      </c>
    </row>
    <row r="333" spans="1:8" ht="20.100000000000001" customHeight="1" thickBot="1">
      <c r="A333" s="152" t="s">
        <v>1296</v>
      </c>
      <c r="B333" s="164" t="s">
        <v>776</v>
      </c>
      <c r="C333" s="213" t="s">
        <v>16</v>
      </c>
      <c r="D333" s="169"/>
      <c r="E333" s="169">
        <v>35</v>
      </c>
      <c r="F333" s="169">
        <v>2000</v>
      </c>
      <c r="G333" s="147">
        <f t="shared" si="33"/>
        <v>0</v>
      </c>
      <c r="H333" s="148">
        <f t="shared" si="34"/>
        <v>70000</v>
      </c>
    </row>
    <row r="334" spans="1:8" ht="20.100000000000001" customHeight="1" thickBot="1">
      <c r="A334" s="150"/>
      <c r="B334" s="562" t="s">
        <v>777</v>
      </c>
      <c r="C334" s="563"/>
      <c r="D334" s="563"/>
      <c r="E334" s="563"/>
      <c r="F334" s="564"/>
      <c r="G334" s="139" t="e">
        <f>SUM(G324:G333)</f>
        <v>#REF!</v>
      </c>
      <c r="H334" s="139">
        <f>SUM(H324:H333)</f>
        <v>386000</v>
      </c>
    </row>
    <row r="335" spans="1:8" ht="20.100000000000001" customHeight="1">
      <c r="A335" s="152" t="s">
        <v>167</v>
      </c>
      <c r="B335" s="153" t="s">
        <v>168</v>
      </c>
      <c r="C335" s="154"/>
      <c r="D335" s="154"/>
      <c r="E335" s="154"/>
      <c r="F335" s="154"/>
      <c r="G335" s="144"/>
      <c r="H335" s="145"/>
    </row>
    <row r="336" spans="1:8" ht="20.100000000000001" customHeight="1">
      <c r="A336" s="152" t="s">
        <v>169</v>
      </c>
      <c r="B336" s="164" t="s">
        <v>170</v>
      </c>
      <c r="C336" s="213"/>
      <c r="D336" s="154"/>
      <c r="E336" s="154"/>
      <c r="F336" s="154"/>
      <c r="G336" s="144"/>
      <c r="H336" s="145"/>
    </row>
    <row r="337" spans="1:8" ht="20.100000000000001" customHeight="1">
      <c r="A337" s="152" t="s">
        <v>171</v>
      </c>
      <c r="B337" s="164" t="s">
        <v>175</v>
      </c>
      <c r="C337" s="156" t="s">
        <v>102</v>
      </c>
      <c r="D337" s="169">
        <v>3</v>
      </c>
      <c r="E337" s="169">
        <v>3</v>
      </c>
      <c r="F337" s="169">
        <v>4000</v>
      </c>
      <c r="G337" s="147">
        <f t="shared" ref="G337:G340" si="35">SUM(D337*F337)</f>
        <v>12000</v>
      </c>
      <c r="H337" s="148">
        <f t="shared" ref="H337:H340" si="36">SUM(E337*F337)</f>
        <v>12000</v>
      </c>
    </row>
    <row r="338" spans="1:8" ht="20.100000000000001" customHeight="1">
      <c r="A338" s="152" t="s">
        <v>172</v>
      </c>
      <c r="B338" s="164" t="s">
        <v>176</v>
      </c>
      <c r="C338" s="156" t="s">
        <v>102</v>
      </c>
      <c r="D338" s="169">
        <v>1</v>
      </c>
      <c r="E338" s="169">
        <v>1</v>
      </c>
      <c r="F338" s="169">
        <v>4000</v>
      </c>
      <c r="G338" s="147">
        <f t="shared" si="35"/>
        <v>4000</v>
      </c>
      <c r="H338" s="148">
        <f t="shared" si="36"/>
        <v>4000</v>
      </c>
    </row>
    <row r="339" spans="1:8" ht="20.100000000000001" customHeight="1">
      <c r="A339" s="152" t="s">
        <v>173</v>
      </c>
      <c r="B339" s="164" t="s">
        <v>177</v>
      </c>
      <c r="C339" s="156" t="s">
        <v>102</v>
      </c>
      <c r="D339" s="169">
        <v>2</v>
      </c>
      <c r="E339" s="169">
        <v>2</v>
      </c>
      <c r="F339" s="169">
        <v>4000</v>
      </c>
      <c r="G339" s="147">
        <f t="shared" si="35"/>
        <v>8000</v>
      </c>
      <c r="H339" s="148">
        <f t="shared" si="36"/>
        <v>8000</v>
      </c>
    </row>
    <row r="340" spans="1:8" ht="20.100000000000001" customHeight="1">
      <c r="A340" s="152" t="s">
        <v>174</v>
      </c>
      <c r="B340" s="164" t="s">
        <v>178</v>
      </c>
      <c r="C340" s="156" t="s">
        <v>102</v>
      </c>
      <c r="D340" s="169">
        <v>1</v>
      </c>
      <c r="E340" s="169">
        <v>1</v>
      </c>
      <c r="F340" s="169">
        <v>4000</v>
      </c>
      <c r="G340" s="147">
        <f t="shared" si="35"/>
        <v>4000</v>
      </c>
      <c r="H340" s="148">
        <f t="shared" si="36"/>
        <v>4000</v>
      </c>
    </row>
    <row r="341" spans="1:8" ht="20.100000000000001" customHeight="1">
      <c r="A341" s="152" t="s">
        <v>778</v>
      </c>
      <c r="B341" s="164" t="s">
        <v>779</v>
      </c>
      <c r="C341" s="154"/>
      <c r="D341" s="154"/>
      <c r="E341" s="154"/>
      <c r="F341" s="154"/>
      <c r="G341" s="144"/>
      <c r="H341" s="145"/>
    </row>
    <row r="342" spans="1:8" ht="27" customHeight="1">
      <c r="A342" s="152" t="s">
        <v>780</v>
      </c>
      <c r="B342" s="164" t="s">
        <v>781</v>
      </c>
      <c r="C342" s="156" t="s">
        <v>102</v>
      </c>
      <c r="D342" s="169"/>
      <c r="E342" s="169">
        <v>1</v>
      </c>
      <c r="F342" s="169">
        <v>4000</v>
      </c>
      <c r="G342" s="147">
        <f t="shared" ref="G342:G343" si="37">SUM(D342*F342)</f>
        <v>0</v>
      </c>
      <c r="H342" s="148">
        <f t="shared" ref="H342:H343" si="38">SUM(E342*F342)</f>
        <v>4000</v>
      </c>
    </row>
    <row r="343" spans="1:8" ht="20.100000000000001" customHeight="1">
      <c r="A343" s="152" t="s">
        <v>782</v>
      </c>
      <c r="B343" s="164" t="s">
        <v>783</v>
      </c>
      <c r="C343" s="156" t="s">
        <v>102</v>
      </c>
      <c r="D343" s="169"/>
      <c r="E343" s="169">
        <v>1</v>
      </c>
      <c r="F343" s="169">
        <v>4000</v>
      </c>
      <c r="G343" s="147">
        <f t="shared" si="37"/>
        <v>0</v>
      </c>
      <c r="H343" s="148">
        <f t="shared" si="38"/>
        <v>4000</v>
      </c>
    </row>
    <row r="344" spans="1:8" ht="20.100000000000001" customHeight="1">
      <c r="A344" s="152" t="s">
        <v>784</v>
      </c>
      <c r="B344" s="164" t="s">
        <v>785</v>
      </c>
      <c r="C344" s="154"/>
      <c r="D344" s="154"/>
      <c r="E344" s="154"/>
      <c r="F344" s="154"/>
      <c r="G344" s="144"/>
      <c r="H344" s="145"/>
    </row>
    <row r="345" spans="1:8" ht="20.100000000000001" customHeight="1">
      <c r="A345" s="152" t="s">
        <v>786</v>
      </c>
      <c r="B345" s="164" t="s">
        <v>787</v>
      </c>
      <c r="C345" s="156" t="s">
        <v>102</v>
      </c>
      <c r="D345" s="169">
        <v>3</v>
      </c>
      <c r="E345" s="169">
        <v>3</v>
      </c>
      <c r="F345" s="169">
        <v>1500</v>
      </c>
      <c r="G345" s="147">
        <f t="shared" ref="G345:G349" si="39">SUM(D345*F345)</f>
        <v>4500</v>
      </c>
      <c r="H345" s="148">
        <f t="shared" ref="H345:H349" si="40">SUM(E345*F345)</f>
        <v>4500</v>
      </c>
    </row>
    <row r="346" spans="1:8" ht="24.75" customHeight="1">
      <c r="A346" s="152" t="s">
        <v>788</v>
      </c>
      <c r="B346" s="164" t="s">
        <v>789</v>
      </c>
      <c r="C346" s="156" t="s">
        <v>102</v>
      </c>
      <c r="D346" s="169">
        <v>1</v>
      </c>
      <c r="E346" s="169">
        <v>1</v>
      </c>
      <c r="F346" s="169">
        <v>1500</v>
      </c>
      <c r="G346" s="147">
        <f t="shared" si="39"/>
        <v>1500</v>
      </c>
      <c r="H346" s="148">
        <f t="shared" si="40"/>
        <v>1500</v>
      </c>
    </row>
    <row r="347" spans="1:8" ht="27.75" customHeight="1">
      <c r="A347" s="152" t="s">
        <v>790</v>
      </c>
      <c r="B347" s="164" t="s">
        <v>791</v>
      </c>
      <c r="C347" s="156" t="s">
        <v>102</v>
      </c>
      <c r="D347" s="169">
        <v>2</v>
      </c>
      <c r="E347" s="169">
        <v>2</v>
      </c>
      <c r="F347" s="169">
        <v>1500</v>
      </c>
      <c r="G347" s="147">
        <f t="shared" si="39"/>
        <v>3000</v>
      </c>
      <c r="H347" s="148">
        <f t="shared" si="40"/>
        <v>3000</v>
      </c>
    </row>
    <row r="348" spans="1:8" ht="20.100000000000001" customHeight="1">
      <c r="A348" s="152" t="s">
        <v>792</v>
      </c>
      <c r="B348" s="164" t="s">
        <v>793</v>
      </c>
      <c r="C348" s="156" t="s">
        <v>102</v>
      </c>
      <c r="D348" s="169">
        <v>1</v>
      </c>
      <c r="E348" s="169">
        <v>1</v>
      </c>
      <c r="F348" s="169">
        <v>1500</v>
      </c>
      <c r="G348" s="147">
        <f t="shared" si="39"/>
        <v>1500</v>
      </c>
      <c r="H348" s="148">
        <f t="shared" si="40"/>
        <v>1500</v>
      </c>
    </row>
    <row r="349" spans="1:8" ht="20.100000000000001" customHeight="1" thickBot="1">
      <c r="A349" s="152" t="s">
        <v>794</v>
      </c>
      <c r="B349" s="164" t="s">
        <v>795</v>
      </c>
      <c r="C349" s="156" t="s">
        <v>102</v>
      </c>
      <c r="D349" s="169" t="e">
        <f>recapitulatif!D328</f>
        <v>#REF!</v>
      </c>
      <c r="E349" s="169">
        <v>53</v>
      </c>
      <c r="F349" s="169">
        <v>200</v>
      </c>
      <c r="G349" s="147" t="e">
        <f t="shared" si="39"/>
        <v>#REF!</v>
      </c>
      <c r="H349" s="148">
        <f t="shared" si="40"/>
        <v>10600</v>
      </c>
    </row>
    <row r="350" spans="1:8" ht="20.100000000000001" customHeight="1" thickBot="1">
      <c r="A350" s="150"/>
      <c r="B350" s="562" t="s">
        <v>796</v>
      </c>
      <c r="C350" s="563"/>
      <c r="D350" s="563"/>
      <c r="E350" s="563"/>
      <c r="F350" s="564"/>
      <c r="G350" s="139" t="e">
        <f>SUM(G337:G349)</f>
        <v>#REF!</v>
      </c>
      <c r="H350" s="139">
        <f>SUM(H337:H349)</f>
        <v>57100</v>
      </c>
    </row>
    <row r="351" spans="1:8" ht="20.100000000000001" customHeight="1">
      <c r="A351" s="152" t="s">
        <v>797</v>
      </c>
      <c r="B351" s="153" t="s">
        <v>798</v>
      </c>
      <c r="C351" s="154"/>
      <c r="D351" s="154"/>
      <c r="E351" s="154"/>
      <c r="F351" s="154"/>
      <c r="G351" s="144"/>
      <c r="H351" s="145"/>
    </row>
    <row r="352" spans="1:8" ht="27" customHeight="1">
      <c r="A352" s="152" t="s">
        <v>799</v>
      </c>
      <c r="B352" s="164" t="s">
        <v>800</v>
      </c>
      <c r="C352" s="156" t="s">
        <v>16</v>
      </c>
      <c r="D352" s="169" t="e">
        <f>recapitulatif!D333</f>
        <v>#REF!</v>
      </c>
      <c r="E352" s="169">
        <v>124</v>
      </c>
      <c r="F352" s="169">
        <v>550</v>
      </c>
      <c r="G352" s="147" t="e">
        <f t="shared" ref="G352:G354" si="41">SUM(D352*F352)</f>
        <v>#REF!</v>
      </c>
      <c r="H352" s="148">
        <f t="shared" ref="H352:H354" si="42">SUM(E352*F352)</f>
        <v>68200</v>
      </c>
    </row>
    <row r="353" spans="1:8" ht="28.5" customHeight="1">
      <c r="A353" s="152" t="s">
        <v>801</v>
      </c>
      <c r="B353" s="164" t="s">
        <v>802</v>
      </c>
      <c r="C353" s="213" t="s">
        <v>16</v>
      </c>
      <c r="D353" s="169" t="e">
        <f>recapitulatif!D334</f>
        <v>#REF!</v>
      </c>
      <c r="E353" s="169">
        <v>10</v>
      </c>
      <c r="F353" s="169">
        <v>1000</v>
      </c>
      <c r="G353" s="147" t="e">
        <f t="shared" si="41"/>
        <v>#REF!</v>
      </c>
      <c r="H353" s="148">
        <f t="shared" si="42"/>
        <v>10000</v>
      </c>
    </row>
    <row r="354" spans="1:8" ht="20.100000000000001" customHeight="1" thickBot="1">
      <c r="A354" s="152" t="s">
        <v>801</v>
      </c>
      <c r="B354" s="164" t="s">
        <v>803</v>
      </c>
      <c r="C354" s="213" t="s">
        <v>16</v>
      </c>
      <c r="D354" s="169"/>
      <c r="E354" s="169">
        <v>17</v>
      </c>
      <c r="F354" s="169">
        <v>1200</v>
      </c>
      <c r="G354" s="147">
        <f t="shared" si="41"/>
        <v>0</v>
      </c>
      <c r="H354" s="148">
        <f t="shared" si="42"/>
        <v>20400</v>
      </c>
    </row>
    <row r="355" spans="1:8" ht="20.100000000000001" customHeight="1" thickBot="1">
      <c r="A355" s="150"/>
      <c r="B355" s="562" t="s">
        <v>804</v>
      </c>
      <c r="C355" s="563"/>
      <c r="D355" s="563"/>
      <c r="E355" s="563"/>
      <c r="F355" s="564"/>
      <c r="G355" s="139" t="e">
        <f>SUM(G352:G354)</f>
        <v>#REF!</v>
      </c>
      <c r="H355" s="139">
        <f>SUM(H352:H354)</f>
        <v>98600</v>
      </c>
    </row>
    <row r="356" spans="1:8" ht="20.100000000000001" customHeight="1">
      <c r="A356" s="152" t="s">
        <v>805</v>
      </c>
      <c r="B356" s="153" t="s">
        <v>806</v>
      </c>
      <c r="C356" s="154"/>
      <c r="D356" s="154"/>
      <c r="E356" s="154"/>
      <c r="F356" s="154"/>
      <c r="G356" s="144"/>
      <c r="H356" s="145"/>
    </row>
    <row r="357" spans="1:8" ht="20.100000000000001" customHeight="1">
      <c r="A357" s="152" t="s">
        <v>807</v>
      </c>
      <c r="B357" s="153" t="s">
        <v>808</v>
      </c>
      <c r="C357" s="154"/>
      <c r="D357" s="169"/>
      <c r="E357" s="154"/>
      <c r="F357" s="154"/>
      <c r="G357" s="144"/>
      <c r="H357" s="145"/>
    </row>
    <row r="358" spans="1:8" ht="20.100000000000001" customHeight="1">
      <c r="A358" s="152" t="s">
        <v>809</v>
      </c>
      <c r="B358" s="164" t="s">
        <v>810</v>
      </c>
      <c r="C358" s="213" t="s">
        <v>16</v>
      </c>
      <c r="D358" s="169" t="e">
        <f>recapitulatif!D340</f>
        <v>#REF!</v>
      </c>
      <c r="E358" s="169">
        <v>73</v>
      </c>
      <c r="F358" s="169">
        <v>120</v>
      </c>
      <c r="G358" s="147" t="e">
        <f t="shared" ref="G358:G367" si="43">SUM(D358*F358)</f>
        <v>#REF!</v>
      </c>
      <c r="H358" s="148">
        <f t="shared" ref="H358:H367" si="44">SUM(E358*F358)</f>
        <v>8760</v>
      </c>
    </row>
    <row r="359" spans="1:8" ht="20.100000000000001" customHeight="1">
      <c r="A359" s="152" t="s">
        <v>811</v>
      </c>
      <c r="B359" s="164" t="s">
        <v>812</v>
      </c>
      <c r="C359" s="213" t="s">
        <v>16</v>
      </c>
      <c r="D359" s="169" t="e">
        <f>recapitulatif!D341</f>
        <v>#REF!</v>
      </c>
      <c r="E359" s="169">
        <v>177</v>
      </c>
      <c r="F359" s="169">
        <v>130</v>
      </c>
      <c r="G359" s="147" t="e">
        <f t="shared" si="43"/>
        <v>#REF!</v>
      </c>
      <c r="H359" s="148">
        <f t="shared" si="44"/>
        <v>23010</v>
      </c>
    </row>
    <row r="360" spans="1:8" ht="20.100000000000001" customHeight="1">
      <c r="A360" s="152" t="s">
        <v>813</v>
      </c>
      <c r="B360" s="164" t="s">
        <v>814</v>
      </c>
      <c r="C360" s="213" t="s">
        <v>16</v>
      </c>
      <c r="D360" s="169" t="e">
        <f>recapitulatif!D342</f>
        <v>#REF!</v>
      </c>
      <c r="E360" s="169">
        <v>12</v>
      </c>
      <c r="F360" s="169">
        <v>140</v>
      </c>
      <c r="G360" s="147" t="e">
        <f t="shared" si="43"/>
        <v>#REF!</v>
      </c>
      <c r="H360" s="148">
        <f t="shared" si="44"/>
        <v>1680</v>
      </c>
    </row>
    <row r="361" spans="1:8" ht="20.100000000000001" customHeight="1">
      <c r="A361" s="152" t="s">
        <v>815</v>
      </c>
      <c r="B361" s="164" t="s">
        <v>816</v>
      </c>
      <c r="C361" s="213" t="s">
        <v>16</v>
      </c>
      <c r="D361" s="169"/>
      <c r="E361" s="169">
        <v>4</v>
      </c>
      <c r="F361" s="169">
        <v>150</v>
      </c>
      <c r="G361" s="147">
        <f t="shared" si="43"/>
        <v>0</v>
      </c>
      <c r="H361" s="148">
        <f t="shared" si="44"/>
        <v>600</v>
      </c>
    </row>
    <row r="362" spans="1:8" ht="20.100000000000001" customHeight="1">
      <c r="A362" s="152" t="s">
        <v>817</v>
      </c>
      <c r="B362" s="164" t="s">
        <v>818</v>
      </c>
      <c r="C362" s="213" t="s">
        <v>16</v>
      </c>
      <c r="D362" s="169" t="e">
        <f>recapitulatif!D343</f>
        <v>#REF!</v>
      </c>
      <c r="E362" s="169">
        <v>60</v>
      </c>
      <c r="F362" s="169">
        <v>140</v>
      </c>
      <c r="G362" s="147" t="e">
        <f t="shared" si="43"/>
        <v>#REF!</v>
      </c>
      <c r="H362" s="148">
        <f t="shared" si="44"/>
        <v>8400</v>
      </c>
    </row>
    <row r="363" spans="1:8" ht="20.100000000000001" customHeight="1">
      <c r="A363" s="152" t="s">
        <v>819</v>
      </c>
      <c r="B363" s="164" t="s">
        <v>820</v>
      </c>
      <c r="C363" s="213" t="s">
        <v>16</v>
      </c>
      <c r="D363" s="169" t="e">
        <f>recapitulatif!D344</f>
        <v>#REF!</v>
      </c>
      <c r="E363" s="169">
        <v>4</v>
      </c>
      <c r="F363" s="169">
        <v>170</v>
      </c>
      <c r="G363" s="147" t="e">
        <f t="shared" si="43"/>
        <v>#REF!</v>
      </c>
      <c r="H363" s="148">
        <f t="shared" si="44"/>
        <v>680</v>
      </c>
    </row>
    <row r="364" spans="1:8" ht="20.100000000000001" customHeight="1">
      <c r="A364" s="152" t="s">
        <v>821</v>
      </c>
      <c r="B364" s="164" t="s">
        <v>822</v>
      </c>
      <c r="C364" s="213" t="s">
        <v>16</v>
      </c>
      <c r="D364" s="169"/>
      <c r="E364" s="169">
        <v>57</v>
      </c>
      <c r="F364" s="169">
        <v>120</v>
      </c>
      <c r="G364" s="147">
        <f t="shared" si="43"/>
        <v>0</v>
      </c>
      <c r="H364" s="148">
        <f t="shared" si="44"/>
        <v>6840</v>
      </c>
    </row>
    <row r="365" spans="1:8" ht="20.100000000000001" customHeight="1">
      <c r="A365" s="152" t="s">
        <v>823</v>
      </c>
      <c r="B365" s="164" t="s">
        <v>824</v>
      </c>
      <c r="C365" s="213" t="s">
        <v>16</v>
      </c>
      <c r="D365" s="169" t="e">
        <f>recapitulatif!D345</f>
        <v>#REF!</v>
      </c>
      <c r="E365" s="169">
        <v>165</v>
      </c>
      <c r="F365" s="169">
        <v>150</v>
      </c>
      <c r="G365" s="147" t="e">
        <f t="shared" si="43"/>
        <v>#REF!</v>
      </c>
      <c r="H365" s="148">
        <f t="shared" si="44"/>
        <v>24750</v>
      </c>
    </row>
    <row r="366" spans="1:8" ht="20.100000000000001" customHeight="1">
      <c r="A366" s="152" t="s">
        <v>825</v>
      </c>
      <c r="B366" s="164" t="s">
        <v>826</v>
      </c>
      <c r="C366" s="213" t="s">
        <v>16</v>
      </c>
      <c r="D366" s="169" t="e">
        <f>recapitulatif!D346</f>
        <v>#REF!</v>
      </c>
      <c r="E366" s="169">
        <v>24</v>
      </c>
      <c r="F366" s="169">
        <v>200</v>
      </c>
      <c r="G366" s="147" t="e">
        <f t="shared" si="43"/>
        <v>#REF!</v>
      </c>
      <c r="H366" s="148">
        <f t="shared" si="44"/>
        <v>4800</v>
      </c>
    </row>
    <row r="367" spans="1:8" ht="20.100000000000001" customHeight="1">
      <c r="A367" s="152" t="s">
        <v>827</v>
      </c>
      <c r="B367" s="164" t="s">
        <v>828</v>
      </c>
      <c r="C367" s="213" t="s">
        <v>16</v>
      </c>
      <c r="D367" s="169" t="e">
        <f>recapitulatif!D347</f>
        <v>#REF!</v>
      </c>
      <c r="E367" s="169">
        <v>436</v>
      </c>
      <c r="F367" s="169">
        <v>100</v>
      </c>
      <c r="G367" s="147" t="e">
        <f t="shared" si="43"/>
        <v>#REF!</v>
      </c>
      <c r="H367" s="148">
        <f t="shared" si="44"/>
        <v>43600</v>
      </c>
    </row>
    <row r="368" spans="1:8" ht="30" customHeight="1">
      <c r="A368" s="152" t="s">
        <v>829</v>
      </c>
      <c r="B368" s="153" t="s">
        <v>830</v>
      </c>
      <c r="C368" s="154"/>
      <c r="D368" s="169"/>
      <c r="E368" s="154"/>
      <c r="F368" s="154"/>
      <c r="G368" s="144"/>
      <c r="H368" s="145"/>
    </row>
    <row r="369" spans="1:8" ht="20.100000000000001" customHeight="1">
      <c r="A369" s="152" t="s">
        <v>831</v>
      </c>
      <c r="B369" s="164" t="s">
        <v>832</v>
      </c>
      <c r="C369" s="213" t="s">
        <v>16</v>
      </c>
      <c r="D369" s="169" t="e">
        <f>recapitulatif!D349</f>
        <v>#REF!</v>
      </c>
      <c r="E369" s="169">
        <v>420</v>
      </c>
      <c r="F369" s="169">
        <v>150</v>
      </c>
      <c r="G369" s="147" t="e">
        <f t="shared" ref="G369:G376" si="45">SUM(D369*F369)</f>
        <v>#REF!</v>
      </c>
      <c r="H369" s="148">
        <f t="shared" ref="H369:H376" si="46">SUM(E369*F369)</f>
        <v>63000</v>
      </c>
    </row>
    <row r="370" spans="1:8" ht="20.100000000000001" customHeight="1">
      <c r="A370" s="152" t="s">
        <v>833</v>
      </c>
      <c r="B370" s="164" t="s">
        <v>834</v>
      </c>
      <c r="C370" s="213" t="s">
        <v>16</v>
      </c>
      <c r="D370" s="169" t="e">
        <f>recapitulatif!D350</f>
        <v>#REF!</v>
      </c>
      <c r="E370" s="169">
        <v>48</v>
      </c>
      <c r="F370" s="169">
        <v>170</v>
      </c>
      <c r="G370" s="147" t="e">
        <f t="shared" si="45"/>
        <v>#REF!</v>
      </c>
      <c r="H370" s="148">
        <f t="shared" si="46"/>
        <v>8160</v>
      </c>
    </row>
    <row r="371" spans="1:8" ht="20.100000000000001" customHeight="1">
      <c r="A371" s="152" t="s">
        <v>835</v>
      </c>
      <c r="B371" s="164" t="s">
        <v>836</v>
      </c>
      <c r="C371" s="213" t="s">
        <v>16</v>
      </c>
      <c r="D371" s="169" t="e">
        <f>recapitulatif!D351</f>
        <v>#REF!</v>
      </c>
      <c r="E371" s="169">
        <v>35</v>
      </c>
      <c r="F371" s="169">
        <v>200</v>
      </c>
      <c r="G371" s="147" t="e">
        <f t="shared" si="45"/>
        <v>#REF!</v>
      </c>
      <c r="H371" s="148">
        <f t="shared" si="46"/>
        <v>7000</v>
      </c>
    </row>
    <row r="372" spans="1:8" ht="20.100000000000001" customHeight="1">
      <c r="A372" s="152" t="s">
        <v>837</v>
      </c>
      <c r="B372" s="164" t="s">
        <v>838</v>
      </c>
      <c r="C372" s="213" t="s">
        <v>16</v>
      </c>
      <c r="D372" s="169"/>
      <c r="E372" s="169">
        <v>15</v>
      </c>
      <c r="F372" s="169">
        <v>200</v>
      </c>
      <c r="G372" s="147">
        <f t="shared" si="45"/>
        <v>0</v>
      </c>
      <c r="H372" s="148">
        <f t="shared" si="46"/>
        <v>3000</v>
      </c>
    </row>
    <row r="373" spans="1:8" ht="20.100000000000001" customHeight="1">
      <c r="A373" s="152" t="s">
        <v>839</v>
      </c>
      <c r="B373" s="164" t="s">
        <v>840</v>
      </c>
      <c r="C373" s="213" t="s">
        <v>16</v>
      </c>
      <c r="D373" s="169"/>
      <c r="E373" s="169">
        <v>12</v>
      </c>
      <c r="F373" s="169">
        <v>500</v>
      </c>
      <c r="G373" s="147">
        <f t="shared" si="45"/>
        <v>0</v>
      </c>
      <c r="H373" s="148">
        <f t="shared" si="46"/>
        <v>6000</v>
      </c>
    </row>
    <row r="374" spans="1:8" ht="20.100000000000001" customHeight="1">
      <c r="A374" s="152" t="s">
        <v>841</v>
      </c>
      <c r="B374" s="164" t="s">
        <v>842</v>
      </c>
      <c r="C374" s="213" t="s">
        <v>16</v>
      </c>
      <c r="D374" s="169"/>
      <c r="E374" s="169">
        <v>5</v>
      </c>
      <c r="F374" s="169">
        <v>500</v>
      </c>
      <c r="G374" s="147">
        <f t="shared" si="45"/>
        <v>0</v>
      </c>
      <c r="H374" s="148">
        <f t="shared" si="46"/>
        <v>2500</v>
      </c>
    </row>
    <row r="375" spans="1:8" ht="20.100000000000001" customHeight="1">
      <c r="A375" s="152" t="s">
        <v>843</v>
      </c>
      <c r="B375" s="164" t="s">
        <v>844</v>
      </c>
      <c r="C375" s="213" t="s">
        <v>16</v>
      </c>
      <c r="D375" s="169" t="e">
        <f>recapitulatif!D352</f>
        <v>#REF!</v>
      </c>
      <c r="E375" s="169">
        <v>21</v>
      </c>
      <c r="F375" s="169">
        <v>200</v>
      </c>
      <c r="G375" s="147" t="e">
        <f t="shared" si="45"/>
        <v>#REF!</v>
      </c>
      <c r="H375" s="148">
        <f t="shared" si="46"/>
        <v>4200</v>
      </c>
    </row>
    <row r="376" spans="1:8" ht="20.100000000000001" customHeight="1" thickBot="1">
      <c r="A376" s="152" t="s">
        <v>845</v>
      </c>
      <c r="B376" s="164" t="s">
        <v>846</v>
      </c>
      <c r="C376" s="213" t="s">
        <v>16</v>
      </c>
      <c r="D376" s="169" t="e">
        <f>recapitulatif!D353</f>
        <v>#REF!</v>
      </c>
      <c r="E376" s="169">
        <v>21</v>
      </c>
      <c r="F376" s="169">
        <v>200</v>
      </c>
      <c r="G376" s="147" t="e">
        <f t="shared" si="45"/>
        <v>#REF!</v>
      </c>
      <c r="H376" s="148">
        <f t="shared" si="46"/>
        <v>4200</v>
      </c>
    </row>
    <row r="377" spans="1:8" ht="20.100000000000001" customHeight="1" thickBot="1">
      <c r="A377" s="150"/>
      <c r="B377" s="562" t="s">
        <v>847</v>
      </c>
      <c r="C377" s="563"/>
      <c r="D377" s="563"/>
      <c r="E377" s="563"/>
      <c r="F377" s="564"/>
      <c r="G377" s="139" t="e">
        <f>SUM(G357:G376)</f>
        <v>#REF!</v>
      </c>
      <c r="H377" s="139">
        <f>SUM(H358:H376)</f>
        <v>221180</v>
      </c>
    </row>
    <row r="378" spans="1:8" ht="20.100000000000001" customHeight="1">
      <c r="A378" s="152" t="s">
        <v>848</v>
      </c>
      <c r="B378" s="153" t="s">
        <v>849</v>
      </c>
      <c r="C378" s="154"/>
      <c r="D378" s="154"/>
      <c r="E378" s="154"/>
      <c r="F378" s="154"/>
      <c r="G378" s="144"/>
      <c r="H378" s="145"/>
    </row>
    <row r="379" spans="1:8" ht="20.100000000000001" customHeight="1">
      <c r="A379" s="152" t="s">
        <v>850</v>
      </c>
      <c r="B379" s="164" t="s">
        <v>851</v>
      </c>
      <c r="C379" s="156" t="s">
        <v>102</v>
      </c>
      <c r="D379" s="169" t="e">
        <f>recapitulatif!D358</f>
        <v>#REF!</v>
      </c>
      <c r="E379" s="169">
        <v>2</v>
      </c>
      <c r="F379" s="169">
        <v>50000</v>
      </c>
      <c r="G379" s="147" t="e">
        <f t="shared" ref="G379:G380" si="47">SUM(D379*F379)</f>
        <v>#REF!</v>
      </c>
      <c r="H379" s="148">
        <f t="shared" ref="H379:H380" si="48">SUM(E379*F379)</f>
        <v>100000</v>
      </c>
    </row>
    <row r="380" spans="1:8" ht="20.100000000000001" customHeight="1" thickBot="1">
      <c r="A380" s="152" t="s">
        <v>852</v>
      </c>
      <c r="B380" s="164" t="s">
        <v>853</v>
      </c>
      <c r="C380" s="156" t="s">
        <v>102</v>
      </c>
      <c r="D380" s="169" t="e">
        <f>recapitulatif!D359</f>
        <v>#REF!</v>
      </c>
      <c r="E380" s="169">
        <v>19</v>
      </c>
      <c r="F380" s="169">
        <v>1500</v>
      </c>
      <c r="G380" s="147" t="e">
        <f t="shared" si="47"/>
        <v>#REF!</v>
      </c>
      <c r="H380" s="148">
        <f t="shared" si="48"/>
        <v>28500</v>
      </c>
    </row>
    <row r="381" spans="1:8" ht="20.100000000000001" customHeight="1" thickBot="1">
      <c r="A381" s="150"/>
      <c r="B381" s="562" t="s">
        <v>854</v>
      </c>
      <c r="C381" s="563"/>
      <c r="D381" s="563"/>
      <c r="E381" s="563"/>
      <c r="F381" s="564"/>
      <c r="G381" s="139" t="e">
        <f>SUM(G379:G380)</f>
        <v>#REF!</v>
      </c>
      <c r="H381" s="139">
        <f>SUM(H379:H380)</f>
        <v>128500</v>
      </c>
    </row>
    <row r="382" spans="1:8" ht="20.100000000000001" customHeight="1">
      <c r="A382" s="152" t="s">
        <v>855</v>
      </c>
      <c r="B382" s="153" t="s">
        <v>856</v>
      </c>
      <c r="C382" s="154"/>
      <c r="D382" s="154"/>
      <c r="E382" s="154"/>
      <c r="F382" s="154"/>
      <c r="G382" s="144"/>
      <c r="H382" s="145"/>
    </row>
    <row r="383" spans="1:8" ht="20.100000000000001" customHeight="1">
      <c r="A383" s="152" t="s">
        <v>857</v>
      </c>
      <c r="B383" s="164" t="s">
        <v>858</v>
      </c>
      <c r="C383" s="213" t="s">
        <v>16</v>
      </c>
      <c r="D383" s="169" t="e">
        <f>recapitulatif!D364</f>
        <v>#REF!</v>
      </c>
      <c r="E383" s="169">
        <v>194</v>
      </c>
      <c r="F383" s="169">
        <v>350</v>
      </c>
      <c r="G383" s="147" t="e">
        <f t="shared" ref="G383:G395" si="49">SUM(D383*F383)</f>
        <v>#REF!</v>
      </c>
      <c r="H383" s="148">
        <f t="shared" ref="H383:H395" si="50">SUM(E383*F383)</f>
        <v>67900</v>
      </c>
    </row>
    <row r="384" spans="1:8" ht="20.100000000000001" customHeight="1">
      <c r="A384" s="152" t="s">
        <v>859</v>
      </c>
      <c r="B384" s="164" t="s">
        <v>860</v>
      </c>
      <c r="C384" s="213" t="s">
        <v>16</v>
      </c>
      <c r="D384" s="169"/>
      <c r="E384" s="169">
        <v>13</v>
      </c>
      <c r="F384" s="169">
        <v>700</v>
      </c>
      <c r="G384" s="147">
        <f t="shared" si="49"/>
        <v>0</v>
      </c>
      <c r="H384" s="148">
        <f t="shared" si="50"/>
        <v>9100</v>
      </c>
    </row>
    <row r="385" spans="1:8" ht="20.100000000000001" customHeight="1">
      <c r="A385" s="152" t="s">
        <v>861</v>
      </c>
      <c r="B385" s="164" t="s">
        <v>862</v>
      </c>
      <c r="C385" s="213" t="s">
        <v>16</v>
      </c>
      <c r="D385" s="169" t="e">
        <f>recapitulatif!D365</f>
        <v>#REF!</v>
      </c>
      <c r="E385" s="169">
        <v>339</v>
      </c>
      <c r="F385" s="169">
        <v>200</v>
      </c>
      <c r="G385" s="147" t="e">
        <f t="shared" si="49"/>
        <v>#REF!</v>
      </c>
      <c r="H385" s="148">
        <f t="shared" si="50"/>
        <v>67800</v>
      </c>
    </row>
    <row r="386" spans="1:8" ht="20.100000000000001" customHeight="1">
      <c r="A386" s="152" t="s">
        <v>863</v>
      </c>
      <c r="B386" s="164" t="s">
        <v>864</v>
      </c>
      <c r="C386" s="213" t="s">
        <v>16</v>
      </c>
      <c r="D386" s="169" t="e">
        <f>recapitulatif!D366</f>
        <v>#REF!</v>
      </c>
      <c r="E386" s="169">
        <v>79</v>
      </c>
      <c r="F386" s="169">
        <v>350</v>
      </c>
      <c r="G386" s="147" t="e">
        <f t="shared" si="49"/>
        <v>#REF!</v>
      </c>
      <c r="H386" s="148">
        <f t="shared" si="50"/>
        <v>27650</v>
      </c>
    </row>
    <row r="387" spans="1:8" ht="24" customHeight="1">
      <c r="A387" s="152" t="s">
        <v>865</v>
      </c>
      <c r="B387" s="164" t="s">
        <v>866</v>
      </c>
      <c r="C387" s="156" t="s">
        <v>16</v>
      </c>
      <c r="D387" s="169" t="e">
        <f>recapitulatif!D367</f>
        <v>#REF!</v>
      </c>
      <c r="E387" s="169">
        <v>264</v>
      </c>
      <c r="F387" s="169">
        <v>220</v>
      </c>
      <c r="G387" s="147" t="e">
        <f t="shared" si="49"/>
        <v>#REF!</v>
      </c>
      <c r="H387" s="148">
        <f t="shared" si="50"/>
        <v>58080</v>
      </c>
    </row>
    <row r="388" spans="1:8" ht="20.100000000000001" customHeight="1">
      <c r="A388" s="152" t="s">
        <v>867</v>
      </c>
      <c r="B388" s="164" t="s">
        <v>868</v>
      </c>
      <c r="C388" s="213" t="s">
        <v>16</v>
      </c>
      <c r="D388" s="169"/>
      <c r="E388" s="169">
        <v>10</v>
      </c>
      <c r="F388" s="169">
        <v>5000</v>
      </c>
      <c r="G388" s="147">
        <f t="shared" si="49"/>
        <v>0</v>
      </c>
      <c r="H388" s="148">
        <f t="shared" si="50"/>
        <v>50000</v>
      </c>
    </row>
    <row r="389" spans="1:8" ht="20.100000000000001" customHeight="1">
      <c r="A389" s="152" t="s">
        <v>869</v>
      </c>
      <c r="B389" s="164" t="s">
        <v>870</v>
      </c>
      <c r="C389" s="213" t="s">
        <v>16</v>
      </c>
      <c r="D389" s="169" t="e">
        <f>recapitulatif!D368</f>
        <v>#REF!</v>
      </c>
      <c r="E389" s="169">
        <v>69</v>
      </c>
      <c r="F389" s="169">
        <v>250</v>
      </c>
      <c r="G389" s="147" t="e">
        <f t="shared" si="49"/>
        <v>#REF!</v>
      </c>
      <c r="H389" s="148">
        <f t="shared" si="50"/>
        <v>17250</v>
      </c>
    </row>
    <row r="390" spans="1:8" ht="20.100000000000001" customHeight="1">
      <c r="A390" s="152" t="s">
        <v>871</v>
      </c>
      <c r="B390" s="164" t="s">
        <v>872</v>
      </c>
      <c r="C390" s="213" t="s">
        <v>16</v>
      </c>
      <c r="D390" s="169" t="e">
        <f>recapitulatif!D369</f>
        <v>#REF!</v>
      </c>
      <c r="E390" s="169">
        <v>49</v>
      </c>
      <c r="F390" s="169">
        <v>500</v>
      </c>
      <c r="G390" s="147" t="e">
        <f t="shared" si="49"/>
        <v>#REF!</v>
      </c>
      <c r="H390" s="148">
        <f t="shared" si="50"/>
        <v>24500</v>
      </c>
    </row>
    <row r="391" spans="1:8" ht="25.5" customHeight="1">
      <c r="A391" s="152" t="s">
        <v>873</v>
      </c>
      <c r="B391" s="164" t="s">
        <v>874</v>
      </c>
      <c r="C391" s="213" t="s">
        <v>16</v>
      </c>
      <c r="D391" s="169"/>
      <c r="E391" s="169">
        <v>10</v>
      </c>
      <c r="F391" s="169">
        <v>1000</v>
      </c>
      <c r="G391" s="147">
        <f t="shared" si="49"/>
        <v>0</v>
      </c>
      <c r="H391" s="148">
        <f t="shared" si="50"/>
        <v>10000</v>
      </c>
    </row>
    <row r="392" spans="1:8" ht="20.100000000000001" customHeight="1">
      <c r="A392" s="152" t="s">
        <v>875</v>
      </c>
      <c r="B392" s="164" t="s">
        <v>876</v>
      </c>
      <c r="C392" s="213" t="s">
        <v>16</v>
      </c>
      <c r="D392" s="169" t="e">
        <f>recapitulatif!D370</f>
        <v>#REF!</v>
      </c>
      <c r="E392" s="169">
        <v>12</v>
      </c>
      <c r="F392" s="169">
        <v>1000</v>
      </c>
      <c r="G392" s="147" t="e">
        <f t="shared" si="49"/>
        <v>#REF!</v>
      </c>
      <c r="H392" s="148">
        <f t="shared" si="50"/>
        <v>12000</v>
      </c>
    </row>
    <row r="393" spans="1:8" ht="27" customHeight="1">
      <c r="A393" s="152" t="s">
        <v>877</v>
      </c>
      <c r="B393" s="164" t="s">
        <v>878</v>
      </c>
      <c r="C393" s="213" t="s">
        <v>16</v>
      </c>
      <c r="D393" s="169"/>
      <c r="E393" s="169">
        <v>40</v>
      </c>
      <c r="F393" s="169">
        <v>700</v>
      </c>
      <c r="G393" s="147">
        <f t="shared" si="49"/>
        <v>0</v>
      </c>
      <c r="H393" s="148">
        <f t="shared" si="50"/>
        <v>28000</v>
      </c>
    </row>
    <row r="394" spans="1:8" ht="20.100000000000001" customHeight="1">
      <c r="A394" s="152" t="s">
        <v>879</v>
      </c>
      <c r="B394" s="164" t="s">
        <v>880</v>
      </c>
      <c r="C394" s="213" t="s">
        <v>16</v>
      </c>
      <c r="D394" s="169"/>
      <c r="E394" s="169">
        <v>18</v>
      </c>
      <c r="F394" s="169">
        <v>1000</v>
      </c>
      <c r="G394" s="147">
        <f t="shared" si="49"/>
        <v>0</v>
      </c>
      <c r="H394" s="148">
        <f t="shared" si="50"/>
        <v>18000</v>
      </c>
    </row>
    <row r="395" spans="1:8" ht="30" customHeight="1" thickBot="1">
      <c r="A395" s="152" t="s">
        <v>881</v>
      </c>
      <c r="B395" s="164" t="s">
        <v>882</v>
      </c>
      <c r="C395" s="156" t="s">
        <v>16</v>
      </c>
      <c r="D395" s="169"/>
      <c r="E395" s="169">
        <v>1</v>
      </c>
      <c r="F395" s="169">
        <v>15000</v>
      </c>
      <c r="G395" s="147">
        <f t="shared" si="49"/>
        <v>0</v>
      </c>
      <c r="H395" s="148">
        <f t="shared" si="50"/>
        <v>15000</v>
      </c>
    </row>
    <row r="396" spans="1:8" ht="20.100000000000001" customHeight="1" thickBot="1">
      <c r="A396" s="150"/>
      <c r="B396" s="562" t="s">
        <v>1252</v>
      </c>
      <c r="C396" s="563"/>
      <c r="D396" s="563"/>
      <c r="E396" s="563"/>
      <c r="F396" s="564"/>
      <c r="G396" s="139" t="e">
        <f>SUM(G383:G395)</f>
        <v>#REF!</v>
      </c>
      <c r="H396" s="139">
        <f>SUM(H383:H395)</f>
        <v>405280</v>
      </c>
    </row>
    <row r="397" spans="1:8" ht="20.100000000000001" customHeight="1">
      <c r="A397" s="152" t="s">
        <v>883</v>
      </c>
      <c r="B397" s="153" t="s">
        <v>884</v>
      </c>
      <c r="C397" s="154"/>
      <c r="D397" s="154"/>
      <c r="E397" s="154"/>
      <c r="F397" s="154"/>
      <c r="G397" s="144"/>
      <c r="H397" s="145"/>
    </row>
    <row r="398" spans="1:8" ht="24" customHeight="1">
      <c r="A398" s="152" t="s">
        <v>885</v>
      </c>
      <c r="B398" s="164" t="s">
        <v>886</v>
      </c>
      <c r="C398" s="156" t="s">
        <v>102</v>
      </c>
      <c r="D398" s="169"/>
      <c r="E398" s="169">
        <v>1</v>
      </c>
      <c r="F398" s="169">
        <v>150000</v>
      </c>
      <c r="G398" s="147">
        <f t="shared" ref="G398:G401" si="51">SUM(D398*F398)</f>
        <v>0</v>
      </c>
      <c r="H398" s="148">
        <f t="shared" ref="H398:H401" si="52">SUM(E398*F398)</f>
        <v>150000</v>
      </c>
    </row>
    <row r="399" spans="1:8" ht="20.100000000000001" customHeight="1">
      <c r="A399" s="152" t="s">
        <v>887</v>
      </c>
      <c r="B399" s="164" t="s">
        <v>888</v>
      </c>
      <c r="C399" s="213" t="s">
        <v>16</v>
      </c>
      <c r="D399" s="169"/>
      <c r="E399" s="169">
        <v>1</v>
      </c>
      <c r="F399" s="169">
        <v>2500</v>
      </c>
      <c r="G399" s="147">
        <f t="shared" si="51"/>
        <v>0</v>
      </c>
      <c r="H399" s="148">
        <f t="shared" si="52"/>
        <v>2500</v>
      </c>
    </row>
    <row r="400" spans="1:8" ht="20.100000000000001" customHeight="1">
      <c r="A400" s="152" t="s">
        <v>889</v>
      </c>
      <c r="B400" s="164" t="s">
        <v>890</v>
      </c>
      <c r="C400" s="213" t="s">
        <v>16</v>
      </c>
      <c r="D400" s="169"/>
      <c r="E400" s="169">
        <v>1</v>
      </c>
      <c r="F400" s="169">
        <v>3000</v>
      </c>
      <c r="G400" s="147">
        <f t="shared" si="51"/>
        <v>0</v>
      </c>
      <c r="H400" s="148">
        <f t="shared" si="52"/>
        <v>3000</v>
      </c>
    </row>
    <row r="401" spans="1:8" ht="24.75" customHeight="1">
      <c r="A401" s="152" t="s">
        <v>891</v>
      </c>
      <c r="B401" s="164" t="s">
        <v>892</v>
      </c>
      <c r="C401" s="213" t="s">
        <v>16</v>
      </c>
      <c r="D401" s="169"/>
      <c r="E401" s="169">
        <v>43</v>
      </c>
      <c r="F401" s="169">
        <v>4000</v>
      </c>
      <c r="G401" s="147">
        <f t="shared" si="51"/>
        <v>0</v>
      </c>
      <c r="H401" s="148">
        <f t="shared" si="52"/>
        <v>172000</v>
      </c>
    </row>
    <row r="402" spans="1:8" ht="20.100000000000001" customHeight="1">
      <c r="A402" s="152" t="s">
        <v>893</v>
      </c>
      <c r="B402" s="164" t="s">
        <v>894</v>
      </c>
      <c r="C402" s="154"/>
      <c r="D402" s="169"/>
      <c r="E402" s="154"/>
      <c r="F402" s="154"/>
      <c r="G402" s="144"/>
      <c r="H402" s="145"/>
    </row>
    <row r="403" spans="1:8" ht="25.5" customHeight="1">
      <c r="A403" s="152" t="s">
        <v>895</v>
      </c>
      <c r="B403" s="164" t="s">
        <v>896</v>
      </c>
      <c r="C403" s="156" t="s">
        <v>16</v>
      </c>
      <c r="D403" s="169"/>
      <c r="E403" s="169">
        <v>3</v>
      </c>
      <c r="F403" s="169">
        <v>2000</v>
      </c>
      <c r="G403" s="147">
        <f t="shared" ref="G403:G406" si="53">SUM(D403*F403)</f>
        <v>0</v>
      </c>
      <c r="H403" s="148">
        <f t="shared" ref="H403:H406" si="54">SUM(E403*F403)</f>
        <v>6000</v>
      </c>
    </row>
    <row r="404" spans="1:8" ht="27" customHeight="1">
      <c r="A404" s="152" t="s">
        <v>897</v>
      </c>
      <c r="B404" s="164" t="s">
        <v>898</v>
      </c>
      <c r="C404" s="156" t="s">
        <v>16</v>
      </c>
      <c r="D404" s="169"/>
      <c r="E404" s="169">
        <v>17</v>
      </c>
      <c r="F404" s="169">
        <v>1000</v>
      </c>
      <c r="G404" s="147">
        <f t="shared" si="53"/>
        <v>0</v>
      </c>
      <c r="H404" s="148">
        <f t="shared" si="54"/>
        <v>17000</v>
      </c>
    </row>
    <row r="405" spans="1:8" ht="20.100000000000001" customHeight="1">
      <c r="A405" s="152" t="s">
        <v>899</v>
      </c>
      <c r="B405" s="164" t="s">
        <v>900</v>
      </c>
      <c r="C405" s="156" t="s">
        <v>102</v>
      </c>
      <c r="D405" s="169"/>
      <c r="E405" s="169">
        <v>1</v>
      </c>
      <c r="F405" s="169">
        <v>15000</v>
      </c>
      <c r="G405" s="147">
        <f t="shared" si="53"/>
        <v>0</v>
      </c>
      <c r="H405" s="148">
        <f t="shared" si="54"/>
        <v>15000</v>
      </c>
    </row>
    <row r="406" spans="1:8" ht="20.100000000000001" customHeight="1" thickBot="1">
      <c r="A406" s="152" t="s">
        <v>901</v>
      </c>
      <c r="B406" s="164" t="s">
        <v>902</v>
      </c>
      <c r="C406" s="156" t="s">
        <v>16</v>
      </c>
      <c r="D406" s="169" t="e">
        <f>recapitulatif!D375</f>
        <v>#REF!</v>
      </c>
      <c r="E406" s="169">
        <v>67</v>
      </c>
      <c r="F406" s="169">
        <v>150</v>
      </c>
      <c r="G406" s="147" t="e">
        <f t="shared" si="53"/>
        <v>#REF!</v>
      </c>
      <c r="H406" s="148">
        <f t="shared" si="54"/>
        <v>10050</v>
      </c>
    </row>
    <row r="407" spans="1:8" ht="20.100000000000001" customHeight="1" thickBot="1">
      <c r="A407" s="150"/>
      <c r="B407" s="562" t="s">
        <v>903</v>
      </c>
      <c r="C407" s="563"/>
      <c r="D407" s="563"/>
      <c r="E407" s="563"/>
      <c r="F407" s="564"/>
      <c r="G407" s="139" t="e">
        <f>SUM(G398:G406)</f>
        <v>#REF!</v>
      </c>
      <c r="H407" s="139">
        <f>SUM(H398:H406)</f>
        <v>375550</v>
      </c>
    </row>
    <row r="408" spans="1:8" ht="20.100000000000001" customHeight="1">
      <c r="A408" s="152" t="s">
        <v>904</v>
      </c>
      <c r="B408" s="153" t="s">
        <v>905</v>
      </c>
      <c r="C408" s="154"/>
      <c r="D408" s="154"/>
      <c r="E408" s="154"/>
      <c r="F408" s="154"/>
      <c r="G408" s="144"/>
      <c r="H408" s="145"/>
    </row>
    <row r="409" spans="1:8" ht="20.100000000000001" customHeight="1">
      <c r="A409" s="152" t="s">
        <v>906</v>
      </c>
      <c r="B409" s="164" t="s">
        <v>907</v>
      </c>
      <c r="C409" s="154"/>
      <c r="D409" s="169"/>
      <c r="E409" s="154"/>
      <c r="F409" s="154"/>
      <c r="G409" s="144"/>
      <c r="H409" s="145"/>
    </row>
    <row r="410" spans="1:8" ht="20.100000000000001" customHeight="1">
      <c r="A410" s="152" t="s">
        <v>908</v>
      </c>
      <c r="B410" s="164" t="s">
        <v>909</v>
      </c>
      <c r="C410" s="156" t="s">
        <v>28</v>
      </c>
      <c r="D410" s="169"/>
      <c r="E410" s="169">
        <v>285</v>
      </c>
      <c r="F410" s="169">
        <v>30</v>
      </c>
      <c r="G410" s="147">
        <f t="shared" ref="G410:G415" si="55">SUM(D410*F410)</f>
        <v>0</v>
      </c>
      <c r="H410" s="148">
        <f t="shared" ref="H410:H415" si="56">SUM(E410*F410)</f>
        <v>8550</v>
      </c>
    </row>
    <row r="411" spans="1:8" ht="20.100000000000001" customHeight="1">
      <c r="A411" s="152" t="s">
        <v>910</v>
      </c>
      <c r="B411" s="164" t="s">
        <v>911</v>
      </c>
      <c r="C411" s="156" t="s">
        <v>28</v>
      </c>
      <c r="D411" s="169"/>
      <c r="E411" s="169">
        <v>520</v>
      </c>
      <c r="F411" s="169">
        <v>40</v>
      </c>
      <c r="G411" s="147">
        <f t="shared" si="55"/>
        <v>0</v>
      </c>
      <c r="H411" s="148">
        <f t="shared" si="56"/>
        <v>20800</v>
      </c>
    </row>
    <row r="412" spans="1:8" ht="20.100000000000001" customHeight="1">
      <c r="A412" s="152" t="s">
        <v>912</v>
      </c>
      <c r="B412" s="164" t="s">
        <v>913</v>
      </c>
      <c r="C412" s="156" t="s">
        <v>28</v>
      </c>
      <c r="D412" s="169"/>
      <c r="E412" s="169">
        <v>600</v>
      </c>
      <c r="F412" s="169">
        <v>50</v>
      </c>
      <c r="G412" s="147">
        <f t="shared" si="55"/>
        <v>0</v>
      </c>
      <c r="H412" s="148">
        <f t="shared" si="56"/>
        <v>30000</v>
      </c>
    </row>
    <row r="413" spans="1:8" ht="20.100000000000001" customHeight="1">
      <c r="A413" s="152" t="s">
        <v>914</v>
      </c>
      <c r="B413" s="164" t="s">
        <v>915</v>
      </c>
      <c r="C413" s="156" t="s">
        <v>28</v>
      </c>
      <c r="D413" s="169"/>
      <c r="E413" s="169">
        <v>15</v>
      </c>
      <c r="F413" s="169">
        <v>60</v>
      </c>
      <c r="G413" s="147">
        <f t="shared" si="55"/>
        <v>0</v>
      </c>
      <c r="H413" s="148">
        <f t="shared" si="56"/>
        <v>900</v>
      </c>
    </row>
    <row r="414" spans="1:8" ht="20.100000000000001" customHeight="1">
      <c r="A414" s="152" t="s">
        <v>916</v>
      </c>
      <c r="B414" s="164" t="s">
        <v>917</v>
      </c>
      <c r="C414" s="156" t="s">
        <v>28</v>
      </c>
      <c r="D414" s="169"/>
      <c r="E414" s="169">
        <v>30</v>
      </c>
      <c r="F414" s="169">
        <v>70</v>
      </c>
      <c r="G414" s="147">
        <f t="shared" si="55"/>
        <v>0</v>
      </c>
      <c r="H414" s="148">
        <f t="shared" si="56"/>
        <v>2100</v>
      </c>
    </row>
    <row r="415" spans="1:8" ht="20.100000000000001" customHeight="1">
      <c r="A415" s="152" t="s">
        <v>918</v>
      </c>
      <c r="B415" s="164" t="s">
        <v>919</v>
      </c>
      <c r="C415" s="156" t="s">
        <v>28</v>
      </c>
      <c r="D415" s="169"/>
      <c r="E415" s="169">
        <v>250</v>
      </c>
      <c r="F415" s="169">
        <v>80</v>
      </c>
      <c r="G415" s="147">
        <f t="shared" si="55"/>
        <v>0</v>
      </c>
      <c r="H415" s="148">
        <f t="shared" si="56"/>
        <v>20000</v>
      </c>
    </row>
    <row r="416" spans="1:8" ht="20.100000000000001" customHeight="1">
      <c r="A416" s="152" t="s">
        <v>920</v>
      </c>
      <c r="B416" s="164" t="s">
        <v>921</v>
      </c>
      <c r="C416" s="154"/>
      <c r="D416" s="169"/>
      <c r="E416" s="154"/>
      <c r="F416" s="154"/>
      <c r="G416" s="144"/>
      <c r="H416" s="145"/>
    </row>
    <row r="417" spans="1:8" ht="20.100000000000001" customHeight="1">
      <c r="A417" s="152" t="s">
        <v>922</v>
      </c>
      <c r="B417" s="164" t="s">
        <v>923</v>
      </c>
      <c r="C417" s="213" t="s">
        <v>16</v>
      </c>
      <c r="D417" s="169"/>
      <c r="E417" s="169">
        <v>4</v>
      </c>
      <c r="F417" s="169">
        <v>500</v>
      </c>
      <c r="G417" s="147">
        <f t="shared" ref="G417:G421" si="57">SUM(D417*F417)</f>
        <v>0</v>
      </c>
      <c r="H417" s="148">
        <f t="shared" ref="H417:H421" si="58">SUM(E417*F417)</f>
        <v>2000</v>
      </c>
    </row>
    <row r="418" spans="1:8" ht="20.100000000000001" customHeight="1">
      <c r="A418" s="152" t="s">
        <v>924</v>
      </c>
      <c r="B418" s="164" t="s">
        <v>925</v>
      </c>
      <c r="C418" s="213" t="s">
        <v>16</v>
      </c>
      <c r="D418" s="169"/>
      <c r="E418" s="169">
        <v>3</v>
      </c>
      <c r="F418" s="169">
        <v>1000</v>
      </c>
      <c r="G418" s="147">
        <f t="shared" si="57"/>
        <v>0</v>
      </c>
      <c r="H418" s="148">
        <f t="shared" si="58"/>
        <v>3000</v>
      </c>
    </row>
    <row r="419" spans="1:8" ht="20.100000000000001" customHeight="1">
      <c r="A419" s="152" t="s">
        <v>926</v>
      </c>
      <c r="B419" s="164" t="s">
        <v>927</v>
      </c>
      <c r="C419" s="213" t="s">
        <v>16</v>
      </c>
      <c r="D419" s="169"/>
      <c r="E419" s="169">
        <v>1</v>
      </c>
      <c r="F419" s="169">
        <v>2000</v>
      </c>
      <c r="G419" s="147">
        <f t="shared" si="57"/>
        <v>0</v>
      </c>
      <c r="H419" s="148">
        <f t="shared" si="58"/>
        <v>2000</v>
      </c>
    </row>
    <row r="420" spans="1:8" ht="20.100000000000001" customHeight="1">
      <c r="A420" s="152" t="s">
        <v>928</v>
      </c>
      <c r="B420" s="164" t="s">
        <v>929</v>
      </c>
      <c r="C420" s="213" t="s">
        <v>16</v>
      </c>
      <c r="D420" s="169"/>
      <c r="E420" s="169">
        <v>1</v>
      </c>
      <c r="F420" s="169">
        <v>5000</v>
      </c>
      <c r="G420" s="147">
        <f t="shared" si="57"/>
        <v>0</v>
      </c>
      <c r="H420" s="148">
        <f t="shared" si="58"/>
        <v>5000</v>
      </c>
    </row>
    <row r="421" spans="1:8" ht="20.100000000000001" customHeight="1">
      <c r="A421" s="152" t="s">
        <v>930</v>
      </c>
      <c r="B421" s="164" t="s">
        <v>931</v>
      </c>
      <c r="C421" s="213" t="s">
        <v>16</v>
      </c>
      <c r="D421" s="169"/>
      <c r="E421" s="169">
        <v>13</v>
      </c>
      <c r="F421" s="169">
        <v>2000</v>
      </c>
      <c r="G421" s="147">
        <f t="shared" si="57"/>
        <v>0</v>
      </c>
      <c r="H421" s="148">
        <f t="shared" si="58"/>
        <v>26000</v>
      </c>
    </row>
    <row r="422" spans="1:8" ht="20.100000000000001" customHeight="1">
      <c r="A422" s="152" t="s">
        <v>932</v>
      </c>
      <c r="B422" s="164" t="s">
        <v>933</v>
      </c>
      <c r="C422" s="154"/>
      <c r="D422" s="169"/>
      <c r="E422" s="154"/>
      <c r="F422" s="154"/>
      <c r="G422" s="144"/>
      <c r="H422" s="145"/>
    </row>
    <row r="423" spans="1:8" ht="20.100000000000001" customHeight="1">
      <c r="A423" s="152" t="s">
        <v>934</v>
      </c>
      <c r="B423" s="164" t="s">
        <v>935</v>
      </c>
      <c r="C423" s="156" t="s">
        <v>28</v>
      </c>
      <c r="D423" s="169"/>
      <c r="E423" s="169">
        <v>1155</v>
      </c>
      <c r="F423" s="169">
        <v>60</v>
      </c>
      <c r="G423" s="147">
        <f t="shared" ref="G423:G425" si="59">SUM(D423*F423)</f>
        <v>0</v>
      </c>
      <c r="H423" s="148">
        <f t="shared" ref="H423:H425" si="60">SUM(E423*F423)</f>
        <v>69300</v>
      </c>
    </row>
    <row r="424" spans="1:8" ht="20.100000000000001" customHeight="1">
      <c r="A424" s="152" t="s">
        <v>936</v>
      </c>
      <c r="B424" s="164" t="s">
        <v>937</v>
      </c>
      <c r="C424" s="156" t="s">
        <v>28</v>
      </c>
      <c r="D424" s="169"/>
      <c r="E424" s="169">
        <v>40</v>
      </c>
      <c r="F424" s="169">
        <v>80</v>
      </c>
      <c r="G424" s="147">
        <f t="shared" si="59"/>
        <v>0</v>
      </c>
      <c r="H424" s="148">
        <f t="shared" si="60"/>
        <v>3200</v>
      </c>
    </row>
    <row r="425" spans="1:8" ht="20.100000000000001" customHeight="1">
      <c r="A425" s="152" t="s">
        <v>938</v>
      </c>
      <c r="B425" s="164" t="s">
        <v>939</v>
      </c>
      <c r="C425" s="156" t="s">
        <v>28</v>
      </c>
      <c r="D425" s="169"/>
      <c r="E425" s="169">
        <v>240</v>
      </c>
      <c r="F425" s="169">
        <v>100</v>
      </c>
      <c r="G425" s="147">
        <f t="shared" si="59"/>
        <v>0</v>
      </c>
      <c r="H425" s="148">
        <f t="shared" si="60"/>
        <v>24000</v>
      </c>
    </row>
    <row r="426" spans="1:8" ht="20.100000000000001" customHeight="1">
      <c r="A426" s="152" t="s">
        <v>940</v>
      </c>
      <c r="B426" s="164" t="s">
        <v>941</v>
      </c>
      <c r="C426" s="154"/>
      <c r="D426" s="169"/>
      <c r="E426" s="154"/>
      <c r="F426" s="154"/>
      <c r="G426" s="144"/>
      <c r="H426" s="145"/>
    </row>
    <row r="427" spans="1:8" ht="20.100000000000001" customHeight="1">
      <c r="A427" s="152" t="s">
        <v>934</v>
      </c>
      <c r="B427" s="164" t="s">
        <v>942</v>
      </c>
      <c r="C427" s="156" t="s">
        <v>102</v>
      </c>
      <c r="D427" s="169"/>
      <c r="E427" s="169">
        <v>5</v>
      </c>
      <c r="F427" s="169">
        <v>1500</v>
      </c>
      <c r="G427" s="147">
        <f t="shared" ref="G427:G430" si="61">SUM(D427*F427)</f>
        <v>0</v>
      </c>
      <c r="H427" s="148">
        <f t="shared" ref="H427:H430" si="62">SUM(E427*F427)</f>
        <v>7500</v>
      </c>
    </row>
    <row r="428" spans="1:8" ht="20.100000000000001" customHeight="1">
      <c r="A428" s="152" t="s">
        <v>936</v>
      </c>
      <c r="B428" s="164" t="s">
        <v>943</v>
      </c>
      <c r="C428" s="156" t="s">
        <v>102</v>
      </c>
      <c r="D428" s="169"/>
      <c r="E428" s="169">
        <v>28</v>
      </c>
      <c r="F428" s="169">
        <v>1000</v>
      </c>
      <c r="G428" s="147">
        <f t="shared" si="61"/>
        <v>0</v>
      </c>
      <c r="H428" s="148">
        <f t="shared" si="62"/>
        <v>28000</v>
      </c>
    </row>
    <row r="429" spans="1:8" ht="20.100000000000001" customHeight="1">
      <c r="A429" s="152" t="s">
        <v>944</v>
      </c>
      <c r="B429" s="164" t="s">
        <v>945</v>
      </c>
      <c r="C429" s="213" t="s">
        <v>16</v>
      </c>
      <c r="D429" s="169"/>
      <c r="E429" s="169">
        <v>1</v>
      </c>
      <c r="F429" s="169">
        <v>1000</v>
      </c>
      <c r="G429" s="147">
        <f t="shared" si="61"/>
        <v>0</v>
      </c>
      <c r="H429" s="148">
        <f t="shared" si="62"/>
        <v>1000</v>
      </c>
    </row>
    <row r="430" spans="1:8" ht="20.100000000000001" customHeight="1" thickBot="1">
      <c r="A430" s="152" t="s">
        <v>946</v>
      </c>
      <c r="B430" s="164" t="s">
        <v>947</v>
      </c>
      <c r="C430" s="213" t="s">
        <v>16</v>
      </c>
      <c r="D430" s="169"/>
      <c r="E430" s="169">
        <v>1</v>
      </c>
      <c r="F430" s="169">
        <v>2000</v>
      </c>
      <c r="G430" s="147">
        <f t="shared" si="61"/>
        <v>0</v>
      </c>
      <c r="H430" s="148">
        <f t="shared" si="62"/>
        <v>2000</v>
      </c>
    </row>
    <row r="431" spans="1:8" ht="20.100000000000001" customHeight="1" thickBot="1">
      <c r="A431" s="150"/>
      <c r="B431" s="565" t="s">
        <v>948</v>
      </c>
      <c r="C431" s="566"/>
      <c r="D431" s="566"/>
      <c r="E431" s="566"/>
      <c r="F431" s="567"/>
      <c r="G431" s="139">
        <f>SUM(G410:G430)</f>
        <v>0</v>
      </c>
      <c r="H431" s="139">
        <f>SUM(H410:H430)</f>
        <v>255350</v>
      </c>
    </row>
    <row r="432" spans="1:8" ht="20.100000000000001" customHeight="1">
      <c r="A432" s="152" t="s">
        <v>949</v>
      </c>
      <c r="B432" s="153" t="s">
        <v>1255</v>
      </c>
      <c r="C432" s="156"/>
      <c r="D432" s="175"/>
      <c r="E432" s="175"/>
      <c r="F432" s="175"/>
      <c r="G432" s="147"/>
      <c r="H432" s="148"/>
    </row>
    <row r="433" spans="1:8" ht="20.100000000000001" customHeight="1">
      <c r="A433" s="152" t="s">
        <v>1258</v>
      </c>
      <c r="B433" s="164" t="s">
        <v>1259</v>
      </c>
      <c r="C433" s="156" t="s">
        <v>16</v>
      </c>
      <c r="D433" s="169"/>
      <c r="E433" s="169">
        <v>4</v>
      </c>
      <c r="F433" s="169">
        <v>2000</v>
      </c>
      <c r="G433" s="147">
        <f>F433*D433</f>
        <v>0</v>
      </c>
      <c r="H433" s="148">
        <f>F433*E433</f>
        <v>8000</v>
      </c>
    </row>
    <row r="434" spans="1:8" ht="20.100000000000001" customHeight="1">
      <c r="A434" s="152" t="s">
        <v>1260</v>
      </c>
      <c r="B434" s="164" t="s">
        <v>1261</v>
      </c>
      <c r="C434" s="156" t="s">
        <v>16</v>
      </c>
      <c r="D434" s="169"/>
      <c r="E434" s="169">
        <v>1</v>
      </c>
      <c r="F434" s="169">
        <v>7000</v>
      </c>
      <c r="G434" s="147">
        <f t="shared" ref="G434:G442" si="63">F434*D434</f>
        <v>0</v>
      </c>
      <c r="H434" s="148">
        <f t="shared" ref="H434:H442" si="64">F434*E434</f>
        <v>7000</v>
      </c>
    </row>
    <row r="435" spans="1:8" ht="24.75" customHeight="1">
      <c r="A435" s="152" t="s">
        <v>1262</v>
      </c>
      <c r="B435" s="164" t="s">
        <v>1270</v>
      </c>
      <c r="C435" s="156" t="s">
        <v>16</v>
      </c>
      <c r="D435" s="169"/>
      <c r="E435" s="169">
        <v>5</v>
      </c>
      <c r="F435" s="169">
        <v>3500</v>
      </c>
      <c r="G435" s="147">
        <f t="shared" si="63"/>
        <v>0</v>
      </c>
      <c r="H435" s="148">
        <f t="shared" si="64"/>
        <v>17500</v>
      </c>
    </row>
    <row r="436" spans="1:8" ht="20.100000000000001" customHeight="1">
      <c r="A436" s="152" t="s">
        <v>1263</v>
      </c>
      <c r="B436" s="164" t="s">
        <v>1271</v>
      </c>
      <c r="C436" s="156" t="s">
        <v>16</v>
      </c>
      <c r="D436" s="169"/>
      <c r="E436" s="169">
        <v>1</v>
      </c>
      <c r="F436" s="169">
        <v>7000</v>
      </c>
      <c r="G436" s="147">
        <f t="shared" si="63"/>
        <v>0</v>
      </c>
      <c r="H436" s="148">
        <f t="shared" si="64"/>
        <v>7000</v>
      </c>
    </row>
    <row r="437" spans="1:8" ht="20.100000000000001" customHeight="1">
      <c r="A437" s="152" t="s">
        <v>1264</v>
      </c>
      <c r="B437" s="164" t="s">
        <v>1272</v>
      </c>
      <c r="C437" s="156" t="s">
        <v>16</v>
      </c>
      <c r="D437" s="169"/>
      <c r="E437" s="169">
        <v>4</v>
      </c>
      <c r="F437" s="169">
        <v>2500</v>
      </c>
      <c r="G437" s="147">
        <f t="shared" si="63"/>
        <v>0</v>
      </c>
      <c r="H437" s="148">
        <f t="shared" si="64"/>
        <v>10000</v>
      </c>
    </row>
    <row r="438" spans="1:8" ht="20.100000000000001" customHeight="1">
      <c r="A438" s="152" t="s">
        <v>1265</v>
      </c>
      <c r="B438" s="164" t="s">
        <v>1273</v>
      </c>
      <c r="C438" s="156" t="s">
        <v>17</v>
      </c>
      <c r="D438" s="169"/>
      <c r="E438" s="169">
        <v>2100</v>
      </c>
      <c r="F438" s="169">
        <v>15</v>
      </c>
      <c r="G438" s="147">
        <f t="shared" si="63"/>
        <v>0</v>
      </c>
      <c r="H438" s="148">
        <f t="shared" si="64"/>
        <v>31500</v>
      </c>
    </row>
    <row r="439" spans="1:8" ht="20.100000000000001" customHeight="1">
      <c r="A439" s="152" t="s">
        <v>1266</v>
      </c>
      <c r="B439" s="164" t="s">
        <v>1274</v>
      </c>
      <c r="C439" s="156" t="s">
        <v>16</v>
      </c>
      <c r="D439" s="169"/>
      <c r="E439" s="169">
        <v>35</v>
      </c>
      <c r="F439" s="169">
        <v>50</v>
      </c>
      <c r="G439" s="147">
        <f t="shared" si="63"/>
        <v>0</v>
      </c>
      <c r="H439" s="148">
        <f t="shared" si="64"/>
        <v>1750</v>
      </c>
    </row>
    <row r="440" spans="1:8" ht="20.100000000000001" customHeight="1">
      <c r="A440" s="152" t="s">
        <v>1267</v>
      </c>
      <c r="B440" s="164" t="s">
        <v>1275</v>
      </c>
      <c r="C440" s="156" t="s">
        <v>16</v>
      </c>
      <c r="D440" s="169"/>
      <c r="E440" s="169">
        <v>35</v>
      </c>
      <c r="F440" s="169">
        <v>50</v>
      </c>
      <c r="G440" s="147">
        <f t="shared" si="63"/>
        <v>0</v>
      </c>
      <c r="H440" s="148">
        <f t="shared" si="64"/>
        <v>1750</v>
      </c>
    </row>
    <row r="441" spans="1:8" ht="20.100000000000001" customHeight="1">
      <c r="A441" s="152" t="s">
        <v>1268</v>
      </c>
      <c r="B441" s="164" t="s">
        <v>1276</v>
      </c>
      <c r="C441" s="156" t="s">
        <v>16</v>
      </c>
      <c r="D441" s="169" t="e">
        <f>recapitulatif!D414</f>
        <v>#REF!</v>
      </c>
      <c r="E441" s="169">
        <v>35</v>
      </c>
      <c r="F441" s="169">
        <v>150</v>
      </c>
      <c r="G441" s="147" t="e">
        <f t="shared" si="63"/>
        <v>#REF!</v>
      </c>
      <c r="H441" s="148">
        <f t="shared" si="64"/>
        <v>5250</v>
      </c>
    </row>
    <row r="442" spans="1:8" ht="20.100000000000001" customHeight="1" thickBot="1">
      <c r="A442" s="152" t="s">
        <v>1269</v>
      </c>
      <c r="B442" s="164" t="s">
        <v>1277</v>
      </c>
      <c r="C442" s="156" t="s">
        <v>102</v>
      </c>
      <c r="D442" s="169"/>
      <c r="E442" s="169">
        <v>1</v>
      </c>
      <c r="F442" s="169">
        <v>15000</v>
      </c>
      <c r="G442" s="147">
        <f t="shared" si="63"/>
        <v>0</v>
      </c>
      <c r="H442" s="148">
        <f t="shared" si="64"/>
        <v>15000</v>
      </c>
    </row>
    <row r="443" spans="1:8" ht="20.100000000000001" customHeight="1" thickBot="1">
      <c r="A443" s="150"/>
      <c r="B443" s="572" t="s">
        <v>948</v>
      </c>
      <c r="C443" s="573"/>
      <c r="D443" s="573"/>
      <c r="E443" s="573"/>
      <c r="F443" s="574"/>
      <c r="G443" s="139" t="e">
        <f>SUM(G433:G442)</f>
        <v>#REF!</v>
      </c>
      <c r="H443" s="139">
        <f>SUM(H433:H442)</f>
        <v>104750</v>
      </c>
    </row>
    <row r="444" spans="1:8" ht="20.100000000000001" customHeight="1">
      <c r="A444" s="173" t="s">
        <v>950</v>
      </c>
      <c r="B444" s="174" t="s">
        <v>951</v>
      </c>
      <c r="C444" s="175"/>
      <c r="D444" s="175"/>
      <c r="E444" s="175"/>
      <c r="F444" s="175"/>
      <c r="G444" s="147"/>
      <c r="H444" s="148"/>
    </row>
    <row r="445" spans="1:8" ht="20.100000000000001" customHeight="1">
      <c r="A445" s="152" t="s">
        <v>1280</v>
      </c>
      <c r="B445" s="164" t="s">
        <v>1281</v>
      </c>
      <c r="C445" s="154"/>
      <c r="D445" s="169" t="e">
        <f>recapitulatif!D420</f>
        <v>#REF!</v>
      </c>
      <c r="E445" s="169">
        <v>10</v>
      </c>
      <c r="F445" s="169">
        <v>150</v>
      </c>
      <c r="G445" s="147" t="e">
        <f>F445*D445</f>
        <v>#REF!</v>
      </c>
      <c r="H445" s="148">
        <f>F445*E445</f>
        <v>1500</v>
      </c>
    </row>
    <row r="446" spans="1:8" ht="20.100000000000001" customHeight="1">
      <c r="A446" s="152" t="s">
        <v>1282</v>
      </c>
      <c r="B446" s="164" t="s">
        <v>1283</v>
      </c>
      <c r="C446" s="154"/>
      <c r="D446" s="169" t="e">
        <f>recapitulatif!D421</f>
        <v>#REF!</v>
      </c>
      <c r="E446" s="169">
        <v>600</v>
      </c>
      <c r="F446" s="169">
        <v>20</v>
      </c>
      <c r="G446" s="147" t="e">
        <f t="shared" ref="G446:G447" si="65">F446*D446</f>
        <v>#REF!</v>
      </c>
      <c r="H446" s="148">
        <f t="shared" ref="H446:H447" si="66">F446*E446</f>
        <v>12000</v>
      </c>
    </row>
    <row r="447" spans="1:8" ht="20.100000000000001" customHeight="1" thickBot="1">
      <c r="A447" s="152" t="s">
        <v>1284</v>
      </c>
      <c r="B447" s="164" t="s">
        <v>1285</v>
      </c>
      <c r="C447" s="154"/>
      <c r="D447" s="154"/>
      <c r="E447" s="169">
        <v>5</v>
      </c>
      <c r="F447" s="169">
        <v>10000</v>
      </c>
      <c r="G447" s="147">
        <f t="shared" si="65"/>
        <v>0</v>
      </c>
      <c r="H447" s="148">
        <f t="shared" si="66"/>
        <v>50000</v>
      </c>
    </row>
    <row r="448" spans="1:8" ht="20.100000000000001" customHeight="1" thickBot="1">
      <c r="A448" s="150"/>
      <c r="B448" s="572" t="s">
        <v>948</v>
      </c>
      <c r="C448" s="573"/>
      <c r="D448" s="573"/>
      <c r="E448" s="573"/>
      <c r="F448" s="574"/>
      <c r="G448" s="139" t="e">
        <f>SUM(G445:G447)</f>
        <v>#REF!</v>
      </c>
      <c r="H448" s="139">
        <f>SUM(H445:H447)</f>
        <v>63500</v>
      </c>
    </row>
    <row r="449" spans="1:8" ht="20.100000000000001" customHeight="1">
      <c r="A449" s="568" t="s">
        <v>1297</v>
      </c>
      <c r="B449" s="569"/>
      <c r="C449" s="569"/>
      <c r="D449" s="569"/>
      <c r="E449" s="569"/>
      <c r="F449" s="570"/>
      <c r="G449" s="151" t="e">
        <f>SUM(G448+G443+G431+G407+G396+G381+G377+G355+G350+G334+G321+G304+G302+G279+G259)</f>
        <v>#REF!</v>
      </c>
      <c r="H449" s="151">
        <f>SUM(H448+H443+H431+H407+H396+H381+H377+H355+H350+H334+H321+H304+H302+H279+H259)</f>
        <v>3493610</v>
      </c>
    </row>
    <row r="450" spans="1:8" ht="43.5" customHeight="1">
      <c r="A450" s="571" t="s">
        <v>952</v>
      </c>
      <c r="B450" s="571"/>
      <c r="C450" s="149"/>
      <c r="D450" s="149"/>
      <c r="E450" s="149"/>
      <c r="F450" s="232"/>
      <c r="G450" s="144"/>
      <c r="H450" s="145"/>
    </row>
    <row r="451" spans="1:8" ht="20.100000000000001" customHeight="1">
      <c r="A451" s="152">
        <v>601</v>
      </c>
      <c r="B451" s="153" t="s">
        <v>187</v>
      </c>
      <c r="C451" s="154"/>
      <c r="D451" s="154"/>
      <c r="E451" s="154"/>
      <c r="F451" s="154"/>
      <c r="G451" s="144"/>
      <c r="H451" s="145"/>
    </row>
    <row r="452" spans="1:8" ht="20.100000000000001" customHeight="1">
      <c r="A452" s="152" t="s">
        <v>953</v>
      </c>
      <c r="B452" s="164" t="s">
        <v>954</v>
      </c>
      <c r="C452" s="156" t="s">
        <v>102</v>
      </c>
      <c r="D452" s="157"/>
      <c r="E452" s="157">
        <v>24</v>
      </c>
      <c r="F452" s="169">
        <v>10000</v>
      </c>
      <c r="G452" s="144">
        <f>F452*D452</f>
        <v>0</v>
      </c>
      <c r="H452" s="148">
        <f>F452*E452</f>
        <v>240000</v>
      </c>
    </row>
    <row r="453" spans="1:8" ht="20.100000000000001" customHeight="1">
      <c r="A453" s="158" t="s">
        <v>955</v>
      </c>
      <c r="B453" s="159" t="s">
        <v>956</v>
      </c>
      <c r="C453" s="160"/>
      <c r="D453" s="157"/>
      <c r="E453" s="157"/>
      <c r="F453" s="169"/>
      <c r="G453" s="144">
        <f t="shared" ref="G453:G486" si="67">F453*D453</f>
        <v>0</v>
      </c>
      <c r="H453" s="148">
        <f t="shared" ref="H453:H486" si="68">F453*E453</f>
        <v>0</v>
      </c>
    </row>
    <row r="454" spans="1:8" ht="20.100000000000001" customHeight="1">
      <c r="A454" s="152" t="s">
        <v>957</v>
      </c>
      <c r="B454" s="161" t="s">
        <v>958</v>
      </c>
      <c r="C454" s="156" t="s">
        <v>28</v>
      </c>
      <c r="D454" s="157"/>
      <c r="E454" s="157">
        <v>75</v>
      </c>
      <c r="F454" s="169">
        <v>80</v>
      </c>
      <c r="G454" s="144">
        <f t="shared" si="67"/>
        <v>0</v>
      </c>
      <c r="H454" s="148">
        <f t="shared" si="68"/>
        <v>6000</v>
      </c>
    </row>
    <row r="455" spans="1:8" ht="20.100000000000001" customHeight="1">
      <c r="A455" s="152" t="s">
        <v>959</v>
      </c>
      <c r="B455" s="161" t="s">
        <v>960</v>
      </c>
      <c r="C455" s="156" t="s">
        <v>28</v>
      </c>
      <c r="D455" s="157"/>
      <c r="E455" s="157">
        <v>75</v>
      </c>
      <c r="F455" s="169">
        <v>70</v>
      </c>
      <c r="G455" s="144">
        <f t="shared" si="67"/>
        <v>0</v>
      </c>
      <c r="H455" s="148">
        <f t="shared" si="68"/>
        <v>5250</v>
      </c>
    </row>
    <row r="456" spans="1:8" ht="20.100000000000001" customHeight="1">
      <c r="A456" s="152" t="s">
        <v>961</v>
      </c>
      <c r="B456" s="161" t="s">
        <v>962</v>
      </c>
      <c r="C456" s="156" t="s">
        <v>28</v>
      </c>
      <c r="D456" s="157"/>
      <c r="E456" s="157">
        <v>30</v>
      </c>
      <c r="F456" s="169">
        <v>60</v>
      </c>
      <c r="G456" s="144">
        <f t="shared" si="67"/>
        <v>0</v>
      </c>
      <c r="H456" s="148">
        <f t="shared" si="68"/>
        <v>1800</v>
      </c>
    </row>
    <row r="457" spans="1:8" ht="20.100000000000001" customHeight="1">
      <c r="A457" s="158" t="s">
        <v>963</v>
      </c>
      <c r="B457" s="159" t="s">
        <v>964</v>
      </c>
      <c r="C457" s="160"/>
      <c r="D457" s="157"/>
      <c r="E457" s="157"/>
      <c r="F457" s="169"/>
      <c r="G457" s="144">
        <f t="shared" si="67"/>
        <v>0</v>
      </c>
      <c r="H457" s="148">
        <f t="shared" si="68"/>
        <v>0</v>
      </c>
    </row>
    <row r="458" spans="1:8" ht="20.100000000000001" customHeight="1">
      <c r="A458" s="162" t="s">
        <v>965</v>
      </c>
      <c r="B458" s="163" t="s">
        <v>966</v>
      </c>
      <c r="C458" s="160" t="s">
        <v>28</v>
      </c>
      <c r="D458" s="157"/>
      <c r="E458" s="157">
        <v>30</v>
      </c>
      <c r="F458" s="169">
        <v>80</v>
      </c>
      <c r="G458" s="144">
        <f t="shared" si="67"/>
        <v>0</v>
      </c>
      <c r="H458" s="148">
        <f t="shared" si="68"/>
        <v>2400</v>
      </c>
    </row>
    <row r="459" spans="1:8" ht="20.100000000000001" customHeight="1">
      <c r="A459" s="162" t="s">
        <v>967</v>
      </c>
      <c r="B459" s="163" t="s">
        <v>968</v>
      </c>
      <c r="C459" s="160" t="s">
        <v>28</v>
      </c>
      <c r="D459" s="157"/>
      <c r="E459" s="157">
        <v>150</v>
      </c>
      <c r="F459" s="169">
        <v>70</v>
      </c>
      <c r="G459" s="144">
        <f t="shared" si="67"/>
        <v>0</v>
      </c>
      <c r="H459" s="148">
        <f t="shared" si="68"/>
        <v>10500</v>
      </c>
    </row>
    <row r="460" spans="1:8" ht="20.100000000000001" customHeight="1">
      <c r="A460" s="158" t="s">
        <v>969</v>
      </c>
      <c r="B460" s="159" t="s">
        <v>970</v>
      </c>
      <c r="C460" s="160"/>
      <c r="D460" s="157"/>
      <c r="E460" s="157"/>
      <c r="F460" s="169"/>
      <c r="G460" s="144">
        <f t="shared" si="67"/>
        <v>0</v>
      </c>
      <c r="H460" s="148">
        <f t="shared" si="68"/>
        <v>0</v>
      </c>
    </row>
    <row r="461" spans="1:8" ht="20.100000000000001" customHeight="1">
      <c r="A461" s="162" t="s">
        <v>971</v>
      </c>
      <c r="B461" s="163" t="s">
        <v>972</v>
      </c>
      <c r="C461" s="160" t="s">
        <v>28</v>
      </c>
      <c r="D461" s="157"/>
      <c r="E461" s="157">
        <v>61</v>
      </c>
      <c r="F461" s="169">
        <v>70</v>
      </c>
      <c r="G461" s="144">
        <f t="shared" si="67"/>
        <v>0</v>
      </c>
      <c r="H461" s="148">
        <f t="shared" si="68"/>
        <v>4270</v>
      </c>
    </row>
    <row r="462" spans="1:8" ht="20.100000000000001" customHeight="1">
      <c r="A462" s="162" t="s">
        <v>973</v>
      </c>
      <c r="B462" s="163" t="s">
        <v>974</v>
      </c>
      <c r="C462" s="160" t="s">
        <v>28</v>
      </c>
      <c r="D462" s="157" t="e">
        <f>recapitulatif!D431</f>
        <v>#REF!</v>
      </c>
      <c r="E462" s="157">
        <v>460</v>
      </c>
      <c r="F462" s="169">
        <v>60</v>
      </c>
      <c r="G462" s="144" t="e">
        <f t="shared" si="67"/>
        <v>#REF!</v>
      </c>
      <c r="H462" s="148">
        <f t="shared" si="68"/>
        <v>27600</v>
      </c>
    </row>
    <row r="463" spans="1:8" ht="20.100000000000001" customHeight="1">
      <c r="A463" s="158" t="s">
        <v>975</v>
      </c>
      <c r="B463" s="159" t="s">
        <v>976</v>
      </c>
      <c r="C463" s="160"/>
      <c r="D463" s="157"/>
      <c r="E463" s="157"/>
      <c r="F463" s="169"/>
      <c r="G463" s="144">
        <f t="shared" si="67"/>
        <v>0</v>
      </c>
      <c r="H463" s="148">
        <f t="shared" si="68"/>
        <v>0</v>
      </c>
    </row>
    <row r="464" spans="1:8" ht="20.100000000000001" customHeight="1">
      <c r="A464" s="162" t="s">
        <v>977</v>
      </c>
      <c r="B464" s="163" t="s">
        <v>978</v>
      </c>
      <c r="C464" s="160" t="s">
        <v>28</v>
      </c>
      <c r="D464" s="157"/>
      <c r="E464" s="157">
        <v>15</v>
      </c>
      <c r="F464" s="169">
        <v>80</v>
      </c>
      <c r="G464" s="144">
        <f t="shared" si="67"/>
        <v>0</v>
      </c>
      <c r="H464" s="148">
        <f t="shared" si="68"/>
        <v>1200</v>
      </c>
    </row>
    <row r="465" spans="1:8" ht="20.100000000000001" customHeight="1">
      <c r="A465" s="162" t="s">
        <v>979</v>
      </c>
      <c r="B465" s="163" t="s">
        <v>980</v>
      </c>
      <c r="C465" s="160" t="s">
        <v>28</v>
      </c>
      <c r="D465" s="157"/>
      <c r="E465" s="157">
        <v>25</v>
      </c>
      <c r="F465" s="169">
        <v>75</v>
      </c>
      <c r="G465" s="144">
        <f t="shared" si="67"/>
        <v>0</v>
      </c>
      <c r="H465" s="148">
        <f t="shared" si="68"/>
        <v>1875</v>
      </c>
    </row>
    <row r="466" spans="1:8" ht="20.100000000000001" customHeight="1">
      <c r="A466" s="152" t="s">
        <v>981</v>
      </c>
      <c r="B466" s="161" t="s">
        <v>982</v>
      </c>
      <c r="C466" s="156" t="s">
        <v>28</v>
      </c>
      <c r="D466" s="157"/>
      <c r="E466" s="157">
        <v>74</v>
      </c>
      <c r="F466" s="169">
        <v>70</v>
      </c>
      <c r="G466" s="144">
        <f t="shared" si="67"/>
        <v>0</v>
      </c>
      <c r="H466" s="148">
        <f t="shared" si="68"/>
        <v>5180</v>
      </c>
    </row>
    <row r="467" spans="1:8" ht="20.100000000000001" customHeight="1">
      <c r="A467" s="152" t="s">
        <v>983</v>
      </c>
      <c r="B467" s="161" t="s">
        <v>984</v>
      </c>
      <c r="C467" s="156" t="s">
        <v>28</v>
      </c>
      <c r="D467" s="157" t="e">
        <f>recapitulatif!D433</f>
        <v>#REF!</v>
      </c>
      <c r="E467" s="157">
        <v>358</v>
      </c>
      <c r="F467" s="169">
        <v>60</v>
      </c>
      <c r="G467" s="144" t="e">
        <f t="shared" si="67"/>
        <v>#REF!</v>
      </c>
      <c r="H467" s="148">
        <f t="shared" si="68"/>
        <v>21480</v>
      </c>
    </row>
    <row r="468" spans="1:8" ht="20.100000000000001" customHeight="1">
      <c r="A468" s="152" t="s">
        <v>985</v>
      </c>
      <c r="B468" s="161" t="s">
        <v>986</v>
      </c>
      <c r="C468" s="156" t="s">
        <v>28</v>
      </c>
      <c r="D468" s="157" t="e">
        <f>recapitulatif!D434</f>
        <v>#REF!</v>
      </c>
      <c r="E468" s="157">
        <v>824</v>
      </c>
      <c r="F468" s="169">
        <v>50</v>
      </c>
      <c r="G468" s="144" t="e">
        <f t="shared" si="67"/>
        <v>#REF!</v>
      </c>
      <c r="H468" s="148">
        <f t="shared" si="68"/>
        <v>41200</v>
      </c>
    </row>
    <row r="469" spans="1:8" ht="20.100000000000001" customHeight="1">
      <c r="A469" s="152" t="s">
        <v>987</v>
      </c>
      <c r="B469" s="161" t="s">
        <v>988</v>
      </c>
      <c r="C469" s="156" t="s">
        <v>28</v>
      </c>
      <c r="D469" s="157" t="e">
        <f>recapitulatif!D435</f>
        <v>#REF!</v>
      </c>
      <c r="E469" s="157">
        <v>608</v>
      </c>
      <c r="F469" s="169">
        <v>45</v>
      </c>
      <c r="G469" s="144" t="e">
        <f t="shared" si="67"/>
        <v>#REF!</v>
      </c>
      <c r="H469" s="148">
        <f t="shared" si="68"/>
        <v>27360</v>
      </c>
    </row>
    <row r="470" spans="1:8" ht="20.100000000000001" customHeight="1">
      <c r="A470" s="152" t="s">
        <v>989</v>
      </c>
      <c r="B470" s="161" t="s">
        <v>990</v>
      </c>
      <c r="C470" s="156" t="s">
        <v>28</v>
      </c>
      <c r="D470" s="157" t="e">
        <f>recapitulatif!D436</f>
        <v>#REF!</v>
      </c>
      <c r="E470" s="157">
        <v>416</v>
      </c>
      <c r="F470" s="169">
        <v>40</v>
      </c>
      <c r="G470" s="144" t="e">
        <f t="shared" si="67"/>
        <v>#REF!</v>
      </c>
      <c r="H470" s="148">
        <f t="shared" si="68"/>
        <v>16640</v>
      </c>
    </row>
    <row r="471" spans="1:8" ht="20.100000000000001" customHeight="1">
      <c r="A471" s="152" t="s">
        <v>220</v>
      </c>
      <c r="B471" s="164" t="s">
        <v>991</v>
      </c>
      <c r="C471" s="156" t="s">
        <v>28</v>
      </c>
      <c r="D471" s="157" t="e">
        <f>recapitulatif!D437</f>
        <v>#REF!</v>
      </c>
      <c r="E471" s="157">
        <v>1206</v>
      </c>
      <c r="F471" s="169">
        <v>30</v>
      </c>
      <c r="G471" s="144" t="e">
        <f t="shared" si="67"/>
        <v>#REF!</v>
      </c>
      <c r="H471" s="148">
        <f t="shared" si="68"/>
        <v>36180</v>
      </c>
    </row>
    <row r="472" spans="1:8" ht="20.100000000000001" customHeight="1">
      <c r="A472" s="158" t="s">
        <v>221</v>
      </c>
      <c r="B472" s="159" t="s">
        <v>223</v>
      </c>
      <c r="C472" s="165"/>
      <c r="D472" s="157"/>
      <c r="E472" s="157"/>
      <c r="F472" s="169"/>
      <c r="G472" s="144"/>
      <c r="H472" s="148"/>
    </row>
    <row r="473" spans="1:8" ht="20.100000000000001" customHeight="1">
      <c r="A473" s="162" t="s">
        <v>992</v>
      </c>
      <c r="B473" s="163" t="s">
        <v>993</v>
      </c>
      <c r="C473" s="160" t="s">
        <v>28</v>
      </c>
      <c r="D473" s="157"/>
      <c r="E473" s="157">
        <v>110</v>
      </c>
      <c r="F473" s="169">
        <v>45</v>
      </c>
      <c r="G473" s="144">
        <f t="shared" si="67"/>
        <v>0</v>
      </c>
      <c r="H473" s="148">
        <f t="shared" si="68"/>
        <v>4950</v>
      </c>
    </row>
    <row r="474" spans="1:8" ht="20.100000000000001" customHeight="1">
      <c r="A474" s="162" t="s">
        <v>994</v>
      </c>
      <c r="B474" s="163" t="s">
        <v>995</v>
      </c>
      <c r="C474" s="160" t="s">
        <v>28</v>
      </c>
      <c r="D474" s="157"/>
      <c r="E474" s="157">
        <v>261</v>
      </c>
      <c r="F474" s="169">
        <v>40</v>
      </c>
      <c r="G474" s="144">
        <f t="shared" si="67"/>
        <v>0</v>
      </c>
      <c r="H474" s="148">
        <f t="shared" si="68"/>
        <v>10440</v>
      </c>
    </row>
    <row r="475" spans="1:8" ht="20.100000000000001" customHeight="1">
      <c r="A475" s="162" t="s">
        <v>222</v>
      </c>
      <c r="B475" s="163" t="s">
        <v>996</v>
      </c>
      <c r="C475" s="160" t="s">
        <v>28</v>
      </c>
      <c r="D475" s="157" t="e">
        <f>recapitulatif!D439</f>
        <v>#REF!</v>
      </c>
      <c r="E475" s="157">
        <v>1620</v>
      </c>
      <c r="F475" s="169">
        <v>35</v>
      </c>
      <c r="G475" s="144" t="e">
        <f t="shared" si="67"/>
        <v>#REF!</v>
      </c>
      <c r="H475" s="148">
        <f t="shared" si="68"/>
        <v>56700</v>
      </c>
    </row>
    <row r="476" spans="1:8" ht="20.100000000000001" customHeight="1">
      <c r="A476" s="162" t="s">
        <v>225</v>
      </c>
      <c r="B476" s="163" t="s">
        <v>997</v>
      </c>
      <c r="C476" s="160" t="s">
        <v>28</v>
      </c>
      <c r="D476" s="157" t="e">
        <f>recapitulatif!D440</f>
        <v>#REF!</v>
      </c>
      <c r="E476" s="157">
        <v>2860</v>
      </c>
      <c r="F476" s="169">
        <v>30</v>
      </c>
      <c r="G476" s="144" t="e">
        <f t="shared" si="67"/>
        <v>#REF!</v>
      </c>
      <c r="H476" s="148">
        <f t="shared" si="68"/>
        <v>85800</v>
      </c>
    </row>
    <row r="477" spans="1:8" ht="20.100000000000001" customHeight="1">
      <c r="A477" s="162" t="s">
        <v>227</v>
      </c>
      <c r="B477" s="166" t="s">
        <v>998</v>
      </c>
      <c r="C477" s="160" t="s">
        <v>16</v>
      </c>
      <c r="D477" s="157" t="e">
        <f>recapitulatif!D441</f>
        <v>#REF!</v>
      </c>
      <c r="E477" s="157">
        <v>90</v>
      </c>
      <c r="F477" s="169">
        <v>400</v>
      </c>
      <c r="G477" s="144" t="e">
        <f t="shared" si="67"/>
        <v>#REF!</v>
      </c>
      <c r="H477" s="148">
        <f t="shared" si="68"/>
        <v>36000</v>
      </c>
    </row>
    <row r="478" spans="1:8" ht="20.100000000000001" customHeight="1">
      <c r="A478" s="158" t="s">
        <v>999</v>
      </c>
      <c r="B478" s="159" t="s">
        <v>1000</v>
      </c>
      <c r="C478" s="160"/>
      <c r="D478" s="157"/>
      <c r="E478" s="157"/>
      <c r="F478" s="169"/>
      <c r="G478" s="144"/>
      <c r="H478" s="148"/>
    </row>
    <row r="479" spans="1:8" ht="20.100000000000001" customHeight="1">
      <c r="A479" s="152" t="s">
        <v>1001</v>
      </c>
      <c r="B479" s="167" t="s">
        <v>1002</v>
      </c>
      <c r="C479" s="156" t="s">
        <v>16</v>
      </c>
      <c r="D479" s="157"/>
      <c r="E479" s="157">
        <v>3</v>
      </c>
      <c r="F479" s="169">
        <v>300</v>
      </c>
      <c r="G479" s="144">
        <f t="shared" si="67"/>
        <v>0</v>
      </c>
      <c r="H479" s="148">
        <f t="shared" si="68"/>
        <v>900</v>
      </c>
    </row>
    <row r="480" spans="1:8" ht="20.100000000000001" customHeight="1">
      <c r="A480" s="152" t="s">
        <v>1003</v>
      </c>
      <c r="B480" s="167" t="s">
        <v>1004</v>
      </c>
      <c r="C480" s="156" t="s">
        <v>16</v>
      </c>
      <c r="D480" s="157"/>
      <c r="E480" s="157">
        <v>1</v>
      </c>
      <c r="F480" s="169">
        <v>200</v>
      </c>
      <c r="G480" s="144">
        <f t="shared" si="67"/>
        <v>0</v>
      </c>
      <c r="H480" s="148">
        <f t="shared" si="68"/>
        <v>200</v>
      </c>
    </row>
    <row r="481" spans="1:8" ht="20.100000000000001" customHeight="1">
      <c r="A481" s="152" t="s">
        <v>1005</v>
      </c>
      <c r="B481" s="167" t="s">
        <v>1006</v>
      </c>
      <c r="C481" s="156" t="s">
        <v>16</v>
      </c>
      <c r="D481" s="157"/>
      <c r="E481" s="157">
        <v>15</v>
      </c>
      <c r="F481" s="169">
        <v>180</v>
      </c>
      <c r="G481" s="144">
        <f t="shared" si="67"/>
        <v>0</v>
      </c>
      <c r="H481" s="148">
        <f t="shared" si="68"/>
        <v>2700</v>
      </c>
    </row>
    <row r="482" spans="1:8" ht="20.100000000000001" customHeight="1">
      <c r="A482" s="152" t="s">
        <v>1007</v>
      </c>
      <c r="B482" s="167" t="s">
        <v>1008</v>
      </c>
      <c r="C482" s="156" t="s">
        <v>16</v>
      </c>
      <c r="D482" s="157" t="e">
        <f>recapitulatif!D443</f>
        <v>#REF!</v>
      </c>
      <c r="E482" s="157">
        <v>47</v>
      </c>
      <c r="F482" s="169">
        <v>150</v>
      </c>
      <c r="G482" s="144" t="e">
        <f t="shared" si="67"/>
        <v>#REF!</v>
      </c>
      <c r="H482" s="148">
        <f t="shared" si="68"/>
        <v>7050</v>
      </c>
    </row>
    <row r="483" spans="1:8" ht="20.100000000000001" customHeight="1">
      <c r="A483" s="152" t="s">
        <v>1009</v>
      </c>
      <c r="B483" s="167" t="s">
        <v>1010</v>
      </c>
      <c r="C483" s="156" t="s">
        <v>16</v>
      </c>
      <c r="D483" s="157"/>
      <c r="E483" s="157">
        <v>61</v>
      </c>
      <c r="F483" s="169">
        <v>120</v>
      </c>
      <c r="G483" s="144">
        <f t="shared" si="67"/>
        <v>0</v>
      </c>
      <c r="H483" s="148">
        <f t="shared" si="68"/>
        <v>7320</v>
      </c>
    </row>
    <row r="484" spans="1:8" ht="20.100000000000001" customHeight="1">
      <c r="A484" s="152" t="s">
        <v>1011</v>
      </c>
      <c r="B484" s="167" t="s">
        <v>1012</v>
      </c>
      <c r="C484" s="156" t="s">
        <v>16</v>
      </c>
      <c r="D484" s="157"/>
      <c r="E484" s="157">
        <v>42</v>
      </c>
      <c r="F484" s="169">
        <v>100</v>
      </c>
      <c r="G484" s="144">
        <f t="shared" si="67"/>
        <v>0</v>
      </c>
      <c r="H484" s="148">
        <f t="shared" si="68"/>
        <v>4200</v>
      </c>
    </row>
    <row r="485" spans="1:8" ht="20.100000000000001" customHeight="1">
      <c r="A485" s="152" t="s">
        <v>1013</v>
      </c>
      <c r="B485" s="164" t="s">
        <v>1014</v>
      </c>
      <c r="C485" s="156" t="s">
        <v>16</v>
      </c>
      <c r="D485" s="157"/>
      <c r="E485" s="157">
        <v>52</v>
      </c>
      <c r="F485" s="169">
        <v>200</v>
      </c>
      <c r="G485" s="144">
        <f t="shared" si="67"/>
        <v>0</v>
      </c>
      <c r="H485" s="148">
        <f t="shared" si="68"/>
        <v>10400</v>
      </c>
    </row>
    <row r="486" spans="1:8" ht="20.100000000000001" customHeight="1" thickBot="1">
      <c r="A486" s="152" t="s">
        <v>1015</v>
      </c>
      <c r="B486" s="164" t="s">
        <v>1016</v>
      </c>
      <c r="C486" s="156" t="s">
        <v>16</v>
      </c>
      <c r="D486" s="157"/>
      <c r="E486" s="157">
        <v>64</v>
      </c>
      <c r="F486" s="169">
        <v>400</v>
      </c>
      <c r="G486" s="144">
        <f t="shared" si="67"/>
        <v>0</v>
      </c>
      <c r="H486" s="148">
        <f t="shared" si="68"/>
        <v>25600</v>
      </c>
    </row>
    <row r="487" spans="1:8" ht="20.100000000000001" customHeight="1" thickBot="1">
      <c r="A487" s="150"/>
      <c r="B487" s="562" t="s">
        <v>1017</v>
      </c>
      <c r="C487" s="563"/>
      <c r="D487" s="563"/>
      <c r="E487" s="563"/>
      <c r="F487" s="564"/>
      <c r="G487" s="139" t="e">
        <f>SUM(G452:G486)</f>
        <v>#REF!</v>
      </c>
      <c r="H487" s="139">
        <f>SUM(H452:H486)</f>
        <v>701195</v>
      </c>
    </row>
    <row r="488" spans="1:8" ht="20.100000000000001" customHeight="1">
      <c r="A488" s="154"/>
      <c r="B488" s="154"/>
      <c r="C488" s="154"/>
      <c r="D488" s="154"/>
      <c r="E488" s="154"/>
      <c r="F488" s="154"/>
      <c r="G488" s="144"/>
      <c r="H488" s="145"/>
    </row>
    <row r="489" spans="1:8" ht="20.100000000000001" customHeight="1">
      <c r="A489" s="152">
        <v>602</v>
      </c>
      <c r="B489" s="153" t="s">
        <v>1018</v>
      </c>
      <c r="C489" s="154"/>
      <c r="D489" s="154"/>
      <c r="E489" s="154"/>
      <c r="F489" s="154"/>
      <c r="G489" s="144"/>
      <c r="H489" s="145"/>
    </row>
    <row r="490" spans="1:8" ht="20.100000000000001" customHeight="1">
      <c r="A490" s="158" t="s">
        <v>229</v>
      </c>
      <c r="B490" s="159" t="s">
        <v>1019</v>
      </c>
      <c r="C490" s="154"/>
      <c r="D490" s="154" t="s">
        <v>1357</v>
      </c>
      <c r="E490" s="154"/>
      <c r="F490" s="169"/>
      <c r="G490" s="144"/>
      <c r="H490" s="145"/>
    </row>
    <row r="491" spans="1:8" ht="20.100000000000001" customHeight="1">
      <c r="A491" s="152" t="s">
        <v>1020</v>
      </c>
      <c r="B491" s="161" t="s">
        <v>1021</v>
      </c>
      <c r="C491" s="156" t="s">
        <v>321</v>
      </c>
      <c r="D491" s="169"/>
      <c r="E491" s="157">
        <v>30</v>
      </c>
      <c r="F491" s="169">
        <v>150</v>
      </c>
      <c r="G491" s="144">
        <f>F491*D491</f>
        <v>0</v>
      </c>
      <c r="H491" s="148">
        <f>F491*E491</f>
        <v>4500</v>
      </c>
    </row>
    <row r="492" spans="1:8" ht="20.100000000000001" customHeight="1">
      <c r="A492" s="152" t="s">
        <v>1022</v>
      </c>
      <c r="B492" s="161" t="s">
        <v>1023</v>
      </c>
      <c r="C492" s="156" t="s">
        <v>321</v>
      </c>
      <c r="D492" s="169"/>
      <c r="E492" s="157">
        <v>20</v>
      </c>
      <c r="F492" s="169">
        <v>120</v>
      </c>
      <c r="G492" s="144">
        <f t="shared" ref="G492:G498" si="69">F492*D492</f>
        <v>0</v>
      </c>
      <c r="H492" s="148">
        <f t="shared" ref="H492:H497" si="70">F492*E492</f>
        <v>2400</v>
      </c>
    </row>
    <row r="493" spans="1:8" ht="20.100000000000001" customHeight="1">
      <c r="A493" s="152" t="s">
        <v>231</v>
      </c>
      <c r="B493" s="161" t="s">
        <v>1024</v>
      </c>
      <c r="C493" s="156" t="s">
        <v>321</v>
      </c>
      <c r="D493" s="169" t="e">
        <f>recapitulatif!D449</f>
        <v>#REF!</v>
      </c>
      <c r="E493" s="157">
        <v>564</v>
      </c>
      <c r="F493" s="169">
        <v>100</v>
      </c>
      <c r="G493" s="144" t="e">
        <f t="shared" si="69"/>
        <v>#REF!</v>
      </c>
      <c r="H493" s="148">
        <f t="shared" si="70"/>
        <v>56400</v>
      </c>
    </row>
    <row r="494" spans="1:8" ht="20.100000000000001" customHeight="1">
      <c r="A494" s="152" t="s">
        <v>232</v>
      </c>
      <c r="B494" s="161" t="s">
        <v>1025</v>
      </c>
      <c r="C494" s="156" t="s">
        <v>321</v>
      </c>
      <c r="D494" s="169" t="e">
        <f>recapitulatif!D450</f>
        <v>#REF!</v>
      </c>
      <c r="E494" s="157">
        <v>634</v>
      </c>
      <c r="F494" s="169">
        <v>70</v>
      </c>
      <c r="G494" s="144" t="e">
        <f t="shared" si="69"/>
        <v>#REF!</v>
      </c>
      <c r="H494" s="148">
        <f t="shared" si="70"/>
        <v>44380</v>
      </c>
    </row>
    <row r="495" spans="1:8" ht="20.100000000000001" customHeight="1">
      <c r="A495" s="152" t="s">
        <v>233</v>
      </c>
      <c r="B495" s="161" t="s">
        <v>1026</v>
      </c>
      <c r="C495" s="156" t="s">
        <v>321</v>
      </c>
      <c r="D495" s="169" t="e">
        <f>recapitulatif!D451</f>
        <v>#REF!</v>
      </c>
      <c r="E495" s="157">
        <v>550</v>
      </c>
      <c r="F495" s="169">
        <v>50</v>
      </c>
      <c r="G495" s="144" t="e">
        <f t="shared" si="69"/>
        <v>#REF!</v>
      </c>
      <c r="H495" s="148">
        <f t="shared" si="70"/>
        <v>27500</v>
      </c>
    </row>
    <row r="496" spans="1:8" ht="20.100000000000001" customHeight="1">
      <c r="A496" s="152" t="s">
        <v>316</v>
      </c>
      <c r="B496" s="164" t="s">
        <v>1027</v>
      </c>
      <c r="C496" s="156" t="s">
        <v>16</v>
      </c>
      <c r="D496" s="169" t="e">
        <f>recapitulatif!D452</f>
        <v>#REF!</v>
      </c>
      <c r="E496" s="157">
        <v>59</v>
      </c>
      <c r="F496" s="169">
        <v>400</v>
      </c>
      <c r="G496" s="144" t="e">
        <f t="shared" si="69"/>
        <v>#REF!</v>
      </c>
      <c r="H496" s="148">
        <f t="shared" si="70"/>
        <v>23600</v>
      </c>
    </row>
    <row r="497" spans="1:8" ht="20.100000000000001" customHeight="1">
      <c r="A497" s="152" t="s">
        <v>1028</v>
      </c>
      <c r="B497" s="168" t="s">
        <v>1029</v>
      </c>
      <c r="C497" s="156" t="s">
        <v>16</v>
      </c>
      <c r="D497" s="169"/>
      <c r="E497" s="157">
        <v>84</v>
      </c>
      <c r="F497" s="169">
        <v>250</v>
      </c>
      <c r="G497" s="144">
        <f t="shared" si="69"/>
        <v>0</v>
      </c>
      <c r="H497" s="148">
        <f t="shared" si="70"/>
        <v>21000</v>
      </c>
    </row>
    <row r="498" spans="1:8" ht="20.100000000000001" customHeight="1" thickBot="1">
      <c r="A498" s="152" t="s">
        <v>317</v>
      </c>
      <c r="B498" s="168" t="s">
        <v>320</v>
      </c>
      <c r="C498" s="156" t="s">
        <v>16</v>
      </c>
      <c r="D498" s="169" t="e">
        <f>recapitulatif!D453</f>
        <v>#REF!</v>
      </c>
      <c r="E498" s="157">
        <v>119</v>
      </c>
      <c r="F498" s="169">
        <v>150</v>
      </c>
      <c r="G498" s="144" t="e">
        <f t="shared" si="69"/>
        <v>#REF!</v>
      </c>
      <c r="H498" s="148">
        <f>F498*E498</f>
        <v>17850</v>
      </c>
    </row>
    <row r="499" spans="1:8" ht="20.100000000000001" customHeight="1" thickBot="1">
      <c r="A499" s="150"/>
      <c r="B499" s="562" t="s">
        <v>1030</v>
      </c>
      <c r="C499" s="563"/>
      <c r="D499" s="563"/>
      <c r="E499" s="563"/>
      <c r="F499" s="564"/>
      <c r="G499" s="139" t="e">
        <f>SUM(G491:G498)</f>
        <v>#REF!</v>
      </c>
      <c r="H499" s="139">
        <f>SUM(H491:H498)</f>
        <v>197630</v>
      </c>
    </row>
    <row r="500" spans="1:8" ht="20.100000000000001" customHeight="1">
      <c r="A500" s="154"/>
      <c r="B500" s="154"/>
      <c r="C500" s="154"/>
      <c r="D500" s="154"/>
      <c r="E500" s="157"/>
      <c r="F500" s="154"/>
      <c r="G500" s="154"/>
      <c r="H500" s="154"/>
    </row>
    <row r="501" spans="1:8" ht="20.100000000000001" customHeight="1">
      <c r="A501" s="152">
        <v>603</v>
      </c>
      <c r="B501" s="153" t="s">
        <v>1031</v>
      </c>
      <c r="C501" s="154"/>
      <c r="D501" s="154"/>
      <c r="E501" s="154"/>
      <c r="F501" s="154"/>
      <c r="G501" s="144"/>
      <c r="H501" s="145"/>
    </row>
    <row r="502" spans="1:8" ht="20.100000000000001" customHeight="1">
      <c r="A502" s="152" t="s">
        <v>1032</v>
      </c>
      <c r="B502" s="168" t="s">
        <v>1033</v>
      </c>
      <c r="C502" s="156" t="s">
        <v>16</v>
      </c>
      <c r="D502" s="169" t="e">
        <f>recapitulatif!D458</f>
        <v>#REF!</v>
      </c>
      <c r="E502" s="157">
        <v>91</v>
      </c>
      <c r="F502" s="169">
        <v>3200</v>
      </c>
      <c r="G502" s="144" t="e">
        <f>F502*D502</f>
        <v>#REF!</v>
      </c>
      <c r="H502" s="145">
        <f>F502*E502</f>
        <v>291200</v>
      </c>
    </row>
    <row r="503" spans="1:8" ht="20.100000000000001" customHeight="1">
      <c r="A503" s="152" t="s">
        <v>1034</v>
      </c>
      <c r="B503" s="168" t="s">
        <v>1035</v>
      </c>
      <c r="C503" s="156" t="s">
        <v>16</v>
      </c>
      <c r="D503" s="169" t="e">
        <f>recapitulatif!D459</f>
        <v>#REF!</v>
      </c>
      <c r="E503" s="157">
        <v>23</v>
      </c>
      <c r="F503" s="169">
        <v>1000</v>
      </c>
      <c r="G503" s="144" t="e">
        <f t="shared" ref="G503:G509" si="71">F503*D503</f>
        <v>#REF!</v>
      </c>
      <c r="H503" s="145">
        <f t="shared" ref="H503:H509" si="72">F503*E503</f>
        <v>23000</v>
      </c>
    </row>
    <row r="504" spans="1:8" ht="20.100000000000001" customHeight="1">
      <c r="A504" s="152" t="s">
        <v>1036</v>
      </c>
      <c r="B504" s="168" t="s">
        <v>1037</v>
      </c>
      <c r="C504" s="156" t="s">
        <v>16</v>
      </c>
      <c r="D504" s="169" t="e">
        <f>recapitulatif!D460</f>
        <v>#REF!</v>
      </c>
      <c r="E504" s="157">
        <v>96</v>
      </c>
      <c r="F504" s="169">
        <v>3700</v>
      </c>
      <c r="G504" s="144" t="e">
        <f t="shared" si="71"/>
        <v>#REF!</v>
      </c>
      <c r="H504" s="145">
        <f t="shared" si="72"/>
        <v>355200</v>
      </c>
    </row>
    <row r="505" spans="1:8" ht="20.100000000000001" customHeight="1">
      <c r="A505" s="152" t="s">
        <v>1038</v>
      </c>
      <c r="B505" s="168" t="s">
        <v>1039</v>
      </c>
      <c r="C505" s="156" t="s">
        <v>16</v>
      </c>
      <c r="D505" s="169" t="e">
        <f>recapitulatif!D461</f>
        <v>#REF!</v>
      </c>
      <c r="E505" s="157">
        <v>27</v>
      </c>
      <c r="F505" s="169">
        <v>1600</v>
      </c>
      <c r="G505" s="144" t="e">
        <f t="shared" si="71"/>
        <v>#REF!</v>
      </c>
      <c r="H505" s="145">
        <f t="shared" si="72"/>
        <v>43200</v>
      </c>
    </row>
    <row r="506" spans="1:8" ht="20.100000000000001" customHeight="1">
      <c r="A506" s="152" t="s">
        <v>1040</v>
      </c>
      <c r="B506" s="168" t="s">
        <v>1041</v>
      </c>
      <c r="C506" s="156" t="s">
        <v>16</v>
      </c>
      <c r="D506" s="169" t="e">
        <f>recapitulatif!D462</f>
        <v>#REF!</v>
      </c>
      <c r="E506" s="157">
        <v>12</v>
      </c>
      <c r="F506" s="169">
        <v>2300</v>
      </c>
      <c r="G506" s="144" t="e">
        <f t="shared" si="71"/>
        <v>#REF!</v>
      </c>
      <c r="H506" s="145">
        <f t="shared" si="72"/>
        <v>27600</v>
      </c>
    </row>
    <row r="507" spans="1:8" ht="20.100000000000001" customHeight="1">
      <c r="A507" s="152" t="s">
        <v>1042</v>
      </c>
      <c r="B507" s="168" t="s">
        <v>1043</v>
      </c>
      <c r="C507" s="156" t="s">
        <v>16</v>
      </c>
      <c r="D507" s="169" t="e">
        <f>recapitulatif!D463</f>
        <v>#REF!</v>
      </c>
      <c r="E507" s="157">
        <v>76</v>
      </c>
      <c r="F507" s="169">
        <v>500</v>
      </c>
      <c r="G507" s="144" t="e">
        <f t="shared" si="71"/>
        <v>#REF!</v>
      </c>
      <c r="H507" s="145">
        <f t="shared" si="72"/>
        <v>38000</v>
      </c>
    </row>
    <row r="508" spans="1:8" ht="20.100000000000001" customHeight="1">
      <c r="A508" s="152" t="s">
        <v>1044</v>
      </c>
      <c r="B508" s="168" t="s">
        <v>1045</v>
      </c>
      <c r="C508" s="156" t="s">
        <v>16</v>
      </c>
      <c r="D508" s="169" t="e">
        <f>recapitulatif!D464</f>
        <v>#REF!</v>
      </c>
      <c r="E508" s="157">
        <v>1</v>
      </c>
      <c r="F508" s="169">
        <v>15000</v>
      </c>
      <c r="G508" s="144" t="e">
        <f t="shared" si="71"/>
        <v>#REF!</v>
      </c>
      <c r="H508" s="145">
        <f t="shared" si="72"/>
        <v>15000</v>
      </c>
    </row>
    <row r="509" spans="1:8" ht="20.100000000000001" customHeight="1" thickBot="1">
      <c r="A509" s="152" t="s">
        <v>1046</v>
      </c>
      <c r="B509" s="168" t="s">
        <v>1047</v>
      </c>
      <c r="C509" s="156" t="s">
        <v>16</v>
      </c>
      <c r="D509" s="169" t="e">
        <f>recapitulatif!D465</f>
        <v>#REF!</v>
      </c>
      <c r="E509" s="157">
        <v>15</v>
      </c>
      <c r="F509" s="169">
        <v>300</v>
      </c>
      <c r="G509" s="144" t="e">
        <f t="shared" si="71"/>
        <v>#REF!</v>
      </c>
      <c r="H509" s="145">
        <f t="shared" si="72"/>
        <v>4500</v>
      </c>
    </row>
    <row r="510" spans="1:8" ht="20.100000000000001" customHeight="1" thickBot="1">
      <c r="A510" s="150"/>
      <c r="B510" s="562" t="s">
        <v>1048</v>
      </c>
      <c r="C510" s="563"/>
      <c r="D510" s="563"/>
      <c r="E510" s="563"/>
      <c r="F510" s="564"/>
      <c r="G510" s="139" t="e">
        <f>SUM(G502:G509)</f>
        <v>#REF!</v>
      </c>
      <c r="H510" s="139">
        <f>SUM(H502:H509)</f>
        <v>797700</v>
      </c>
    </row>
    <row r="511" spans="1:8" ht="20.100000000000001" customHeight="1">
      <c r="A511" s="154"/>
      <c r="B511" s="154"/>
      <c r="C511" s="154"/>
      <c r="D511" s="154"/>
      <c r="E511" s="154"/>
      <c r="F511" s="154"/>
      <c r="G511" s="144"/>
      <c r="H511" s="145"/>
    </row>
    <row r="512" spans="1:8" ht="20.100000000000001" customHeight="1">
      <c r="A512" s="152">
        <v>604</v>
      </c>
      <c r="B512" s="153" t="s">
        <v>1049</v>
      </c>
      <c r="C512" s="154"/>
      <c r="D512" s="154"/>
      <c r="E512" s="154"/>
      <c r="F512" s="154"/>
      <c r="G512" s="144"/>
      <c r="H512" s="145"/>
    </row>
    <row r="513" spans="1:8" ht="20.100000000000001" customHeight="1">
      <c r="A513" s="152" t="s">
        <v>1050</v>
      </c>
      <c r="B513" s="168" t="s">
        <v>1051</v>
      </c>
      <c r="C513" s="156" t="s">
        <v>16</v>
      </c>
      <c r="D513" s="169"/>
      <c r="E513" s="157">
        <v>4</v>
      </c>
      <c r="F513" s="169">
        <v>10000</v>
      </c>
      <c r="G513" s="144">
        <f>F513*D513</f>
        <v>0</v>
      </c>
      <c r="H513" s="145">
        <f>F513*E513</f>
        <v>40000</v>
      </c>
    </row>
    <row r="514" spans="1:8" ht="20.100000000000001" customHeight="1">
      <c r="A514" s="152" t="s">
        <v>1052</v>
      </c>
      <c r="B514" s="168" t="s">
        <v>1053</v>
      </c>
      <c r="C514" s="156" t="s">
        <v>16</v>
      </c>
      <c r="D514" s="169" t="e">
        <f>recapitulatif!D470</f>
        <v>#REF!</v>
      </c>
      <c r="E514" s="157">
        <v>27</v>
      </c>
      <c r="F514" s="169">
        <v>4000</v>
      </c>
      <c r="G514" s="144" t="e">
        <f t="shared" ref="G514:G515" si="73">F514*D514</f>
        <v>#REF!</v>
      </c>
      <c r="H514" s="145">
        <f t="shared" ref="H514:H515" si="74">F514*E514</f>
        <v>108000</v>
      </c>
    </row>
    <row r="515" spans="1:8" ht="20.100000000000001" customHeight="1" thickBot="1">
      <c r="A515" s="152" t="s">
        <v>1054</v>
      </c>
      <c r="B515" s="168" t="s">
        <v>1055</v>
      </c>
      <c r="C515" s="156" t="s">
        <v>16</v>
      </c>
      <c r="D515" s="169"/>
      <c r="E515" s="157">
        <v>103</v>
      </c>
      <c r="F515" s="169">
        <v>900</v>
      </c>
      <c r="G515" s="144">
        <f t="shared" si="73"/>
        <v>0</v>
      </c>
      <c r="H515" s="145">
        <f t="shared" si="74"/>
        <v>92700</v>
      </c>
    </row>
    <row r="516" spans="1:8" ht="20.100000000000001" customHeight="1" thickBot="1">
      <c r="A516" s="150"/>
      <c r="B516" s="562" t="s">
        <v>1056</v>
      </c>
      <c r="C516" s="563"/>
      <c r="D516" s="563"/>
      <c r="E516" s="563"/>
      <c r="F516" s="564"/>
      <c r="G516" s="139" t="e">
        <f>SUM(G513:G515)</f>
        <v>#REF!</v>
      </c>
      <c r="H516" s="139">
        <f>SUM(H513:H515)</f>
        <v>240700</v>
      </c>
    </row>
    <row r="517" spans="1:8" ht="20.100000000000001" customHeight="1">
      <c r="A517" s="154"/>
      <c r="B517" s="154"/>
      <c r="C517" s="154"/>
      <c r="D517" s="154"/>
      <c r="E517" s="154"/>
      <c r="F517" s="154"/>
      <c r="G517" s="144"/>
      <c r="H517" s="145"/>
    </row>
    <row r="518" spans="1:8" ht="20.100000000000001" customHeight="1">
      <c r="A518" s="152">
        <v>605</v>
      </c>
      <c r="B518" s="153" t="s">
        <v>1057</v>
      </c>
      <c r="C518" s="154"/>
      <c r="D518" s="154"/>
      <c r="E518" s="154"/>
      <c r="F518" s="154"/>
      <c r="G518" s="144"/>
      <c r="H518" s="145"/>
    </row>
    <row r="519" spans="1:8" ht="20.100000000000001" customHeight="1">
      <c r="A519" s="152" t="s">
        <v>1058</v>
      </c>
      <c r="B519" s="168" t="s">
        <v>1059</v>
      </c>
      <c r="C519" s="156" t="s">
        <v>16</v>
      </c>
      <c r="D519" s="169" t="e">
        <f>recapitulatif!D475</f>
        <v>#REF!</v>
      </c>
      <c r="E519" s="157">
        <v>10</v>
      </c>
      <c r="F519" s="169">
        <v>41000</v>
      </c>
      <c r="G519" s="144" t="e">
        <f>F519*D519</f>
        <v>#REF!</v>
      </c>
      <c r="H519" s="145">
        <f>F519*E519</f>
        <v>410000</v>
      </c>
    </row>
    <row r="520" spans="1:8" ht="20.100000000000001" customHeight="1">
      <c r="A520" s="152" t="s">
        <v>1060</v>
      </c>
      <c r="B520" s="168" t="s">
        <v>1061</v>
      </c>
      <c r="C520" s="156" t="s">
        <v>16</v>
      </c>
      <c r="D520" s="169" t="e">
        <f>recapitulatif!D476</f>
        <v>#REF!</v>
      </c>
      <c r="E520" s="157">
        <v>3</v>
      </c>
      <c r="F520" s="169">
        <v>22000</v>
      </c>
      <c r="G520" s="144" t="e">
        <f t="shared" ref="G520:G522" si="75">F520*D520</f>
        <v>#REF!</v>
      </c>
      <c r="H520" s="145">
        <f t="shared" ref="H520:H522" si="76">F520*E520</f>
        <v>66000</v>
      </c>
    </row>
    <row r="521" spans="1:8" ht="20.100000000000001" customHeight="1">
      <c r="A521" s="152" t="s">
        <v>1062</v>
      </c>
      <c r="B521" s="168" t="s">
        <v>1063</v>
      </c>
      <c r="C521" s="156" t="s">
        <v>16</v>
      </c>
      <c r="D521" s="169"/>
      <c r="E521" s="157">
        <v>12</v>
      </c>
      <c r="F521" s="169">
        <v>8000</v>
      </c>
      <c r="G521" s="144">
        <f t="shared" si="75"/>
        <v>0</v>
      </c>
      <c r="H521" s="145">
        <f t="shared" si="76"/>
        <v>96000</v>
      </c>
    </row>
    <row r="522" spans="1:8" ht="20.100000000000001" customHeight="1" thickBot="1">
      <c r="A522" s="152" t="s">
        <v>1064</v>
      </c>
      <c r="B522" s="168" t="s">
        <v>1065</v>
      </c>
      <c r="C522" s="156" t="s">
        <v>16</v>
      </c>
      <c r="D522" s="169" t="e">
        <f>recapitulatif!D477</f>
        <v>#REF!</v>
      </c>
      <c r="E522" s="157">
        <v>8</v>
      </c>
      <c r="F522" s="169">
        <v>2000</v>
      </c>
      <c r="G522" s="144" t="e">
        <f t="shared" si="75"/>
        <v>#REF!</v>
      </c>
      <c r="H522" s="145">
        <f t="shared" si="76"/>
        <v>16000</v>
      </c>
    </row>
    <row r="523" spans="1:8" ht="20.100000000000001" customHeight="1" thickBot="1">
      <c r="A523" s="150"/>
      <c r="B523" s="562" t="s">
        <v>1066</v>
      </c>
      <c r="C523" s="563"/>
      <c r="D523" s="563"/>
      <c r="E523" s="563"/>
      <c r="F523" s="564"/>
      <c r="G523" s="139" t="e">
        <f>SUM(G519:G522)</f>
        <v>#REF!</v>
      </c>
      <c r="H523" s="139">
        <f>SUM(H519:H522)</f>
        <v>588000</v>
      </c>
    </row>
    <row r="524" spans="1:8" ht="20.100000000000001" customHeight="1">
      <c r="A524" s="154"/>
      <c r="B524" s="154"/>
      <c r="C524" s="154"/>
      <c r="D524" s="154"/>
      <c r="E524" s="154"/>
      <c r="F524" s="154"/>
      <c r="G524" s="144"/>
      <c r="H524" s="145"/>
    </row>
    <row r="525" spans="1:8" ht="20.100000000000001" customHeight="1">
      <c r="A525" s="152">
        <v>606</v>
      </c>
      <c r="B525" s="153" t="s">
        <v>1067</v>
      </c>
      <c r="C525" s="154"/>
      <c r="D525" s="154"/>
      <c r="E525" s="154"/>
      <c r="F525" s="154"/>
      <c r="G525" s="144"/>
      <c r="H525" s="145"/>
    </row>
    <row r="526" spans="1:8" ht="20.100000000000001" customHeight="1">
      <c r="A526" s="152" t="s">
        <v>1068</v>
      </c>
      <c r="B526" s="168" t="s">
        <v>1069</v>
      </c>
      <c r="C526" s="156" t="s">
        <v>16</v>
      </c>
      <c r="D526" s="169">
        <f>recapitulatif!D481</f>
        <v>85</v>
      </c>
      <c r="E526" s="157">
        <v>165</v>
      </c>
      <c r="F526" s="169">
        <v>150</v>
      </c>
      <c r="G526" s="144">
        <f>F526*D526</f>
        <v>12750</v>
      </c>
      <c r="H526" s="145">
        <f>F526*E526</f>
        <v>24750</v>
      </c>
    </row>
    <row r="527" spans="1:8" ht="20.100000000000001" customHeight="1">
      <c r="A527" s="152" t="s">
        <v>1070</v>
      </c>
      <c r="B527" s="168" t="s">
        <v>1071</v>
      </c>
      <c r="C527" s="156"/>
      <c r="D527" s="169"/>
      <c r="E527" s="157"/>
      <c r="F527" s="169"/>
      <c r="G527" s="144"/>
      <c r="H527" s="145"/>
    </row>
    <row r="528" spans="1:8" ht="20.100000000000001" customHeight="1">
      <c r="A528" s="152" t="s">
        <v>1072</v>
      </c>
      <c r="B528" s="170" t="s">
        <v>1073</v>
      </c>
      <c r="C528" s="156" t="s">
        <v>16</v>
      </c>
      <c r="D528" s="169">
        <v>0</v>
      </c>
      <c r="E528" s="157">
        <v>1</v>
      </c>
      <c r="F528" s="169">
        <v>2500</v>
      </c>
      <c r="G528" s="144">
        <f t="shared" ref="G528:G540" si="77">F528*D528</f>
        <v>0</v>
      </c>
      <c r="H528" s="145">
        <f>F528*E528</f>
        <v>2500</v>
      </c>
    </row>
    <row r="529" spans="1:8" ht="20.100000000000001" customHeight="1">
      <c r="A529" s="152" t="s">
        <v>1074</v>
      </c>
      <c r="B529" s="170" t="s">
        <v>1075</v>
      </c>
      <c r="C529" s="156" t="s">
        <v>16</v>
      </c>
      <c r="D529" s="169">
        <v>0</v>
      </c>
      <c r="E529" s="157">
        <v>3</v>
      </c>
      <c r="F529" s="169">
        <v>2800</v>
      </c>
      <c r="G529" s="144">
        <f t="shared" si="77"/>
        <v>0</v>
      </c>
      <c r="H529" s="145">
        <f t="shared" ref="H529:H540" si="78">F529*E529</f>
        <v>8400</v>
      </c>
    </row>
    <row r="530" spans="1:8" ht="20.100000000000001" customHeight="1">
      <c r="A530" s="152" t="s">
        <v>1076</v>
      </c>
      <c r="B530" s="170" t="s">
        <v>1077</v>
      </c>
      <c r="C530" s="156" t="s">
        <v>16</v>
      </c>
      <c r="D530" s="169">
        <v>7</v>
      </c>
      <c r="E530" s="157">
        <v>9</v>
      </c>
      <c r="F530" s="169">
        <v>2500</v>
      </c>
      <c r="G530" s="144">
        <f t="shared" si="77"/>
        <v>17500</v>
      </c>
      <c r="H530" s="145">
        <f t="shared" si="78"/>
        <v>22500</v>
      </c>
    </row>
    <row r="531" spans="1:8" ht="20.100000000000001" customHeight="1">
      <c r="A531" s="152" t="s">
        <v>1078</v>
      </c>
      <c r="B531" s="170" t="s">
        <v>1079</v>
      </c>
      <c r="C531" s="156" t="s">
        <v>16</v>
      </c>
      <c r="D531" s="169">
        <v>0</v>
      </c>
      <c r="E531" s="157">
        <v>1</v>
      </c>
      <c r="F531" s="169">
        <v>2300</v>
      </c>
      <c r="G531" s="144">
        <f t="shared" si="77"/>
        <v>0</v>
      </c>
      <c r="H531" s="145">
        <f t="shared" si="78"/>
        <v>2300</v>
      </c>
    </row>
    <row r="532" spans="1:8" ht="20.100000000000001" customHeight="1">
      <c r="A532" s="152" t="s">
        <v>1080</v>
      </c>
      <c r="B532" s="170" t="s">
        <v>1081</v>
      </c>
      <c r="C532" s="156" t="s">
        <v>16</v>
      </c>
      <c r="D532" s="169">
        <v>0</v>
      </c>
      <c r="E532" s="157">
        <v>4</v>
      </c>
      <c r="F532" s="169">
        <v>2000</v>
      </c>
      <c r="G532" s="144">
        <f t="shared" si="77"/>
        <v>0</v>
      </c>
      <c r="H532" s="145">
        <f t="shared" si="78"/>
        <v>8000</v>
      </c>
    </row>
    <row r="533" spans="1:8" ht="20.100000000000001" customHeight="1">
      <c r="A533" s="152" t="s">
        <v>1082</v>
      </c>
      <c r="B533" s="170" t="s">
        <v>1083</v>
      </c>
      <c r="C533" s="156" t="s">
        <v>16</v>
      </c>
      <c r="D533" s="169">
        <v>0</v>
      </c>
      <c r="E533" s="157">
        <v>1</v>
      </c>
      <c r="F533" s="169">
        <v>1800</v>
      </c>
      <c r="G533" s="144">
        <f t="shared" si="77"/>
        <v>0</v>
      </c>
      <c r="H533" s="145">
        <f t="shared" si="78"/>
        <v>1800</v>
      </c>
    </row>
    <row r="534" spans="1:8" ht="20.100000000000001" customHeight="1">
      <c r="A534" s="152" t="s">
        <v>1084</v>
      </c>
      <c r="B534" s="170" t="s">
        <v>1085</v>
      </c>
      <c r="C534" s="156" t="s">
        <v>16</v>
      </c>
      <c r="D534" s="169">
        <v>5</v>
      </c>
      <c r="E534" s="157">
        <v>9</v>
      </c>
      <c r="F534" s="169">
        <v>1500</v>
      </c>
      <c r="G534" s="144">
        <f t="shared" si="77"/>
        <v>7500</v>
      </c>
      <c r="H534" s="145">
        <f t="shared" si="78"/>
        <v>13500</v>
      </c>
    </row>
    <row r="535" spans="1:8" ht="20.100000000000001" customHeight="1">
      <c r="A535" s="152" t="s">
        <v>1086</v>
      </c>
      <c r="B535" s="168" t="s">
        <v>1087</v>
      </c>
      <c r="C535" s="156"/>
      <c r="D535" s="169"/>
      <c r="E535" s="154"/>
      <c r="F535" s="154"/>
      <c r="G535" s="144"/>
      <c r="H535" s="145"/>
    </row>
    <row r="536" spans="1:8" ht="20.100000000000001" customHeight="1">
      <c r="A536" s="152" t="s">
        <v>1088</v>
      </c>
      <c r="B536" s="171" t="s">
        <v>1089</v>
      </c>
      <c r="C536" s="156" t="s">
        <v>16</v>
      </c>
      <c r="D536" s="169">
        <v>0</v>
      </c>
      <c r="E536" s="157">
        <v>102</v>
      </c>
      <c r="F536" s="169">
        <v>130</v>
      </c>
      <c r="G536" s="144">
        <f t="shared" si="77"/>
        <v>0</v>
      </c>
      <c r="H536" s="145">
        <f t="shared" si="78"/>
        <v>13260</v>
      </c>
    </row>
    <row r="537" spans="1:8" ht="20.100000000000001" customHeight="1">
      <c r="A537" s="152" t="s">
        <v>1090</v>
      </c>
      <c r="B537" s="171" t="s">
        <v>1021</v>
      </c>
      <c r="C537" s="156" t="s">
        <v>16</v>
      </c>
      <c r="D537" s="169">
        <v>30</v>
      </c>
      <c r="E537" s="157">
        <v>320</v>
      </c>
      <c r="F537" s="169">
        <v>110</v>
      </c>
      <c r="G537" s="144">
        <f t="shared" si="77"/>
        <v>3300</v>
      </c>
      <c r="H537" s="145">
        <f t="shared" si="78"/>
        <v>35200</v>
      </c>
    </row>
    <row r="538" spans="1:8" ht="20.100000000000001" customHeight="1">
      <c r="A538" s="152" t="s">
        <v>1091</v>
      </c>
      <c r="B538" s="171" t="s">
        <v>1023</v>
      </c>
      <c r="C538" s="156" t="s">
        <v>16</v>
      </c>
      <c r="D538" s="169">
        <v>420</v>
      </c>
      <c r="E538" s="157">
        <v>458</v>
      </c>
      <c r="F538" s="169">
        <v>90</v>
      </c>
      <c r="G538" s="144">
        <f t="shared" si="77"/>
        <v>37800</v>
      </c>
      <c r="H538" s="145">
        <f t="shared" si="78"/>
        <v>41220</v>
      </c>
    </row>
    <row r="539" spans="1:8" ht="20.100000000000001" customHeight="1">
      <c r="A539" s="152" t="s">
        <v>1092</v>
      </c>
      <c r="B539" s="171" t="s">
        <v>1024</v>
      </c>
      <c r="C539" s="156" t="s">
        <v>16</v>
      </c>
      <c r="D539" s="169">
        <v>380</v>
      </c>
      <c r="E539" s="157">
        <v>382</v>
      </c>
      <c r="F539" s="169">
        <v>70</v>
      </c>
      <c r="G539" s="144">
        <f t="shared" si="77"/>
        <v>26600</v>
      </c>
      <c r="H539" s="145">
        <f t="shared" si="78"/>
        <v>26740</v>
      </c>
    </row>
    <row r="540" spans="1:8" ht="20.100000000000001" customHeight="1" thickBot="1">
      <c r="A540" s="152" t="s">
        <v>1093</v>
      </c>
      <c r="B540" s="171" t="s">
        <v>1094</v>
      </c>
      <c r="C540" s="156" t="s">
        <v>16</v>
      </c>
      <c r="D540" s="169">
        <v>670</v>
      </c>
      <c r="E540" s="157">
        <v>678</v>
      </c>
      <c r="F540" s="169">
        <v>50</v>
      </c>
      <c r="G540" s="144">
        <f t="shared" si="77"/>
        <v>33500</v>
      </c>
      <c r="H540" s="145">
        <f t="shared" si="78"/>
        <v>33900</v>
      </c>
    </row>
    <row r="541" spans="1:8" ht="20.100000000000001" customHeight="1" thickBot="1">
      <c r="A541" s="150"/>
      <c r="B541" s="565" t="s">
        <v>1095</v>
      </c>
      <c r="C541" s="566"/>
      <c r="D541" s="566"/>
      <c r="E541" s="566"/>
      <c r="F541" s="567"/>
      <c r="G541" s="139">
        <f>SUM(G526:G540)</f>
        <v>138950</v>
      </c>
      <c r="H541" s="139">
        <f>SUM(H525:H540)</f>
        <v>234070</v>
      </c>
    </row>
    <row r="542" spans="1:8" ht="20.100000000000001" customHeight="1">
      <c r="A542" s="568" t="s">
        <v>1096</v>
      </c>
      <c r="B542" s="569"/>
      <c r="C542" s="569"/>
      <c r="D542" s="569"/>
      <c r="E542" s="569"/>
      <c r="F542" s="570"/>
      <c r="G542" s="151" t="e">
        <f>SUM(G541+G523+G516+G510+G499+G487)</f>
        <v>#REF!</v>
      </c>
      <c r="H542" s="151">
        <f>H541+H523+H516+H510+H499+H487</f>
        <v>2759295</v>
      </c>
    </row>
    <row r="543" spans="1:8" ht="20.100000000000001" customHeight="1">
      <c r="A543" s="154"/>
      <c r="B543" s="154"/>
      <c r="C543" s="154"/>
      <c r="D543" s="154"/>
      <c r="E543" s="154"/>
      <c r="F543" s="154"/>
      <c r="G543" s="154"/>
      <c r="H543" s="154"/>
    </row>
    <row r="544" spans="1:8" ht="20.100000000000001" customHeight="1">
      <c r="A544" s="571" t="s">
        <v>1097</v>
      </c>
      <c r="B544" s="571"/>
      <c r="C544" s="149"/>
      <c r="D544" s="149"/>
      <c r="E544" s="149"/>
      <c r="F544" s="232"/>
      <c r="G544" s="144"/>
      <c r="H544" s="145"/>
    </row>
    <row r="545" spans="1:8" ht="20.100000000000001" customHeight="1">
      <c r="A545" s="152">
        <v>701</v>
      </c>
      <c r="B545" s="153" t="s">
        <v>1098</v>
      </c>
      <c r="C545" s="154"/>
      <c r="D545" s="154"/>
      <c r="E545" s="154"/>
      <c r="F545" s="154"/>
      <c r="G545" s="144"/>
      <c r="H545" s="145"/>
    </row>
    <row r="546" spans="1:8" ht="20.100000000000001" customHeight="1">
      <c r="A546" s="152" t="s">
        <v>1099</v>
      </c>
      <c r="B546" s="172" t="s">
        <v>1100</v>
      </c>
      <c r="C546" s="156" t="s">
        <v>259</v>
      </c>
      <c r="D546" s="169" t="e">
        <f>recapitulatif!D503</f>
        <v>#REF!</v>
      </c>
      <c r="E546" s="169">
        <v>28780</v>
      </c>
      <c r="F546" s="169">
        <v>20</v>
      </c>
      <c r="G546" s="144" t="e">
        <f>F546*D546</f>
        <v>#REF!</v>
      </c>
      <c r="H546" s="145">
        <f>F546*E546</f>
        <v>575600</v>
      </c>
    </row>
    <row r="547" spans="1:8" ht="20.100000000000001" customHeight="1">
      <c r="A547" s="152" t="s">
        <v>1101</v>
      </c>
      <c r="B547" s="154" t="s">
        <v>1102</v>
      </c>
      <c r="C547" s="156" t="s">
        <v>259</v>
      </c>
      <c r="D547" s="169" t="e">
        <f>recapitulatif!D504</f>
        <v>#REF!</v>
      </c>
      <c r="E547" s="169">
        <v>11165</v>
      </c>
      <c r="F547" s="169">
        <v>20</v>
      </c>
      <c r="G547" s="144" t="e">
        <f t="shared" ref="G547:G554" si="79">F547*D547</f>
        <v>#REF!</v>
      </c>
      <c r="H547" s="145">
        <f t="shared" ref="H547:H554" si="80">F547*E547</f>
        <v>223300</v>
      </c>
    </row>
    <row r="548" spans="1:8" ht="20.100000000000001" customHeight="1">
      <c r="A548" s="152" t="s">
        <v>1103</v>
      </c>
      <c r="B548" s="154" t="s">
        <v>1104</v>
      </c>
      <c r="C548" s="156" t="s">
        <v>259</v>
      </c>
      <c r="D548" s="169" t="e">
        <f>recapitulatif!D505</f>
        <v>#REF!</v>
      </c>
      <c r="E548" s="169">
        <v>10930</v>
      </c>
      <c r="F548" s="169">
        <v>20</v>
      </c>
      <c r="G548" s="144" t="e">
        <f t="shared" si="79"/>
        <v>#REF!</v>
      </c>
      <c r="H548" s="145">
        <f t="shared" si="80"/>
        <v>218600</v>
      </c>
    </row>
    <row r="549" spans="1:8" ht="20.100000000000001" customHeight="1">
      <c r="A549" s="152" t="s">
        <v>1105</v>
      </c>
      <c r="B549" s="154" t="s">
        <v>1106</v>
      </c>
      <c r="C549" s="156" t="s">
        <v>259</v>
      </c>
      <c r="D549" s="169" t="e">
        <f>recapitulatif!D506</f>
        <v>#REF!</v>
      </c>
      <c r="E549" s="169">
        <v>695</v>
      </c>
      <c r="F549" s="169">
        <v>20</v>
      </c>
      <c r="G549" s="144" t="e">
        <f t="shared" si="79"/>
        <v>#REF!</v>
      </c>
      <c r="H549" s="145">
        <f t="shared" si="80"/>
        <v>13900</v>
      </c>
    </row>
    <row r="550" spans="1:8" ht="20.100000000000001" customHeight="1">
      <c r="A550" s="152" t="s">
        <v>1107</v>
      </c>
      <c r="B550" s="154" t="s">
        <v>1108</v>
      </c>
      <c r="C550" s="156" t="s">
        <v>259</v>
      </c>
      <c r="D550" s="169"/>
      <c r="E550" s="169">
        <v>365</v>
      </c>
      <c r="F550" s="169">
        <v>20</v>
      </c>
      <c r="G550" s="144">
        <f t="shared" si="79"/>
        <v>0</v>
      </c>
      <c r="H550" s="145">
        <f t="shared" si="80"/>
        <v>7300</v>
      </c>
    </row>
    <row r="551" spans="1:8" ht="20.100000000000001" customHeight="1">
      <c r="A551" s="152" t="s">
        <v>1109</v>
      </c>
      <c r="B551" s="154" t="s">
        <v>1110</v>
      </c>
      <c r="C551" s="156" t="s">
        <v>259</v>
      </c>
      <c r="D551" s="169"/>
      <c r="E551" s="169">
        <v>320</v>
      </c>
      <c r="F551" s="169">
        <v>40</v>
      </c>
      <c r="G551" s="144">
        <f t="shared" si="79"/>
        <v>0</v>
      </c>
      <c r="H551" s="145">
        <f t="shared" si="80"/>
        <v>12800</v>
      </c>
    </row>
    <row r="552" spans="1:8" ht="20.100000000000001" customHeight="1">
      <c r="A552" s="152">
        <v>702</v>
      </c>
      <c r="B552" s="153" t="s">
        <v>1111</v>
      </c>
      <c r="C552" s="154"/>
      <c r="D552" s="234"/>
      <c r="E552" s="234"/>
      <c r="F552" s="154"/>
      <c r="G552" s="144">
        <f t="shared" si="79"/>
        <v>0</v>
      </c>
      <c r="H552" s="145"/>
    </row>
    <row r="553" spans="1:8" ht="20.100000000000001" customHeight="1">
      <c r="A553" s="152" t="s">
        <v>256</v>
      </c>
      <c r="B553" s="154" t="s">
        <v>1112</v>
      </c>
      <c r="C553" s="156" t="s">
        <v>259</v>
      </c>
      <c r="D553" s="169" t="e">
        <f>recapitulatif!D511</f>
        <v>#REF!</v>
      </c>
      <c r="E553" s="169">
        <v>2975</v>
      </c>
      <c r="F553" s="169">
        <v>130</v>
      </c>
      <c r="G553" s="144" t="e">
        <f t="shared" si="79"/>
        <v>#REF!</v>
      </c>
      <c r="H553" s="145">
        <f t="shared" si="80"/>
        <v>386750</v>
      </c>
    </row>
    <row r="554" spans="1:8" ht="20.100000000000001" customHeight="1" thickBot="1">
      <c r="A554" s="152" t="s">
        <v>1113</v>
      </c>
      <c r="B554" s="154" t="s">
        <v>1114</v>
      </c>
      <c r="C554" s="156" t="s">
        <v>28</v>
      </c>
      <c r="D554" s="169"/>
      <c r="E554" s="169">
        <v>270</v>
      </c>
      <c r="F554" s="169">
        <v>50</v>
      </c>
      <c r="G554" s="144">
        <f t="shared" si="79"/>
        <v>0</v>
      </c>
      <c r="H554" s="145">
        <f t="shared" si="80"/>
        <v>13500</v>
      </c>
    </row>
    <row r="555" spans="1:8" ht="20.100000000000001" customHeight="1">
      <c r="A555" s="553" t="s">
        <v>1115</v>
      </c>
      <c r="B555" s="554"/>
      <c r="C555" s="554"/>
      <c r="D555" s="554"/>
      <c r="E555" s="554"/>
      <c r="F555" s="555"/>
      <c r="G555" s="151" t="e">
        <f>SUM(G546:G554)</f>
        <v>#REF!</v>
      </c>
      <c r="H555" s="151">
        <f>SUM(H546:H554)</f>
        <v>1451750</v>
      </c>
    </row>
    <row r="556" spans="1:8" s="93" customFormat="1" ht="20.100000000000001" customHeight="1" thickBot="1">
      <c r="A556" s="149"/>
      <c r="B556" s="149"/>
      <c r="C556" s="149"/>
      <c r="D556" s="149"/>
      <c r="E556" s="149"/>
      <c r="F556" s="149"/>
      <c r="G556" s="236"/>
      <c r="H556" s="236"/>
    </row>
    <row r="557" spans="1:8" s="93" customFormat="1" ht="20.100000000000001" customHeight="1" thickBot="1">
      <c r="A557" s="550" t="s">
        <v>400</v>
      </c>
      <c r="B557" s="551"/>
      <c r="C557" s="551"/>
      <c r="D557" s="551"/>
      <c r="E557" s="551"/>
      <c r="F557" s="552"/>
      <c r="G557" s="246" t="e">
        <f>G27</f>
        <v>#REF!</v>
      </c>
      <c r="H557" s="246">
        <f>H27</f>
        <v>175050</v>
      </c>
    </row>
    <row r="558" spans="1:8" s="93" customFormat="1" ht="20.100000000000001" customHeight="1" thickBot="1">
      <c r="A558" s="550" t="s">
        <v>472</v>
      </c>
      <c r="B558" s="551"/>
      <c r="C558" s="551"/>
      <c r="D558" s="551"/>
      <c r="E558" s="551"/>
      <c r="F558" s="552"/>
      <c r="G558" s="246" t="e">
        <f>G106</f>
        <v>#REF!</v>
      </c>
      <c r="H558" s="246">
        <f>H106</f>
        <v>12541120</v>
      </c>
    </row>
    <row r="559" spans="1:8" s="93" customFormat="1" ht="20.100000000000001" customHeight="1" thickBot="1">
      <c r="A559" s="550" t="s">
        <v>484</v>
      </c>
      <c r="B559" s="551"/>
      <c r="C559" s="551"/>
      <c r="D559" s="551"/>
      <c r="E559" s="551"/>
      <c r="F559" s="552"/>
      <c r="G559" s="246" t="e">
        <f>G119</f>
        <v>#REF!</v>
      </c>
      <c r="H559" s="246">
        <f>H119</f>
        <v>1050215</v>
      </c>
    </row>
    <row r="560" spans="1:8" s="93" customFormat="1" ht="20.100000000000001" customHeight="1" thickBot="1">
      <c r="A560" s="550" t="s">
        <v>500</v>
      </c>
      <c r="B560" s="551"/>
      <c r="C560" s="551"/>
      <c r="D560" s="551"/>
      <c r="E560" s="551"/>
      <c r="F560" s="552"/>
      <c r="G560" s="246" t="e">
        <f>G138</f>
        <v>#REF!</v>
      </c>
      <c r="H560" s="246">
        <f>H138</f>
        <v>2718075</v>
      </c>
    </row>
    <row r="561" spans="1:8" s="93" customFormat="1" ht="20.100000000000001" customHeight="1" thickBot="1">
      <c r="A561" s="550" t="s">
        <v>666</v>
      </c>
      <c r="B561" s="551"/>
      <c r="C561" s="551"/>
      <c r="D561" s="551"/>
      <c r="E561" s="551"/>
      <c r="F561" s="552"/>
      <c r="G561" s="246" t="e">
        <f>G248</f>
        <v>#REF!</v>
      </c>
      <c r="H561" s="246">
        <f>H248</f>
        <v>2450020</v>
      </c>
    </row>
    <row r="562" spans="1:8" s="93" customFormat="1" ht="20.100000000000001" customHeight="1" thickBot="1">
      <c r="A562" s="550" t="s">
        <v>1297</v>
      </c>
      <c r="B562" s="551"/>
      <c r="C562" s="551"/>
      <c r="D562" s="551"/>
      <c r="E562" s="551"/>
      <c r="F562" s="552"/>
      <c r="G562" s="246" t="e">
        <f>G449</f>
        <v>#REF!</v>
      </c>
      <c r="H562" s="246">
        <f>H449</f>
        <v>3493610</v>
      </c>
    </row>
    <row r="563" spans="1:8" s="93" customFormat="1" ht="20.100000000000001" customHeight="1" thickBot="1">
      <c r="A563" s="550" t="s">
        <v>1096</v>
      </c>
      <c r="B563" s="551"/>
      <c r="C563" s="551"/>
      <c r="D563" s="551"/>
      <c r="E563" s="551"/>
      <c r="F563" s="552"/>
      <c r="G563" s="246" t="e">
        <f>G542</f>
        <v>#REF!</v>
      </c>
      <c r="H563" s="246">
        <f>H542</f>
        <v>2759295</v>
      </c>
    </row>
    <row r="564" spans="1:8" s="93" customFormat="1" ht="20.100000000000001" customHeight="1">
      <c r="A564" s="550" t="s">
        <v>1115</v>
      </c>
      <c r="B564" s="551"/>
      <c r="C564" s="551"/>
      <c r="D564" s="551"/>
      <c r="E564" s="551"/>
      <c r="F564" s="552"/>
      <c r="G564" s="246" t="e">
        <f>G555</f>
        <v>#REF!</v>
      </c>
      <c r="H564" s="246">
        <f>H555</f>
        <v>1451750</v>
      </c>
    </row>
    <row r="565" spans="1:8" s="93" customFormat="1" ht="20.100000000000001" customHeight="1">
      <c r="A565" s="149"/>
      <c r="B565" s="149"/>
      <c r="C565" s="149"/>
      <c r="D565" s="149"/>
      <c r="E565" s="149"/>
      <c r="F565" s="149"/>
      <c r="G565" s="236"/>
      <c r="H565" s="236"/>
    </row>
    <row r="566" spans="1:8" s="93" customFormat="1" ht="21.75" customHeight="1">
      <c r="A566" s="237"/>
      <c r="B566" s="237"/>
      <c r="C566" s="237"/>
      <c r="D566" s="237"/>
      <c r="E566" s="237"/>
      <c r="F566" s="237"/>
      <c r="G566" s="238" t="e">
        <f>SUM(G557:G564)</f>
        <v>#REF!</v>
      </c>
      <c r="H566" s="238">
        <f>SUM(H557:H564)</f>
        <v>26639135</v>
      </c>
    </row>
    <row r="567" spans="1:8" ht="20.100000000000001" customHeight="1">
      <c r="A567" s="154"/>
      <c r="B567" s="154"/>
      <c r="C567" s="154"/>
      <c r="D567" s="154"/>
      <c r="E567" s="154"/>
      <c r="F567" s="154"/>
      <c r="G567" s="154"/>
      <c r="H567" s="154"/>
    </row>
    <row r="568" spans="1:8" ht="20.100000000000001" customHeight="1" thickBot="1">
      <c r="A568" s="556" t="s">
        <v>1116</v>
      </c>
      <c r="B568" s="557"/>
      <c r="C568" s="557"/>
      <c r="D568" s="557"/>
      <c r="E568" s="557"/>
      <c r="F568" s="558"/>
      <c r="G568" s="235" t="e">
        <f>G566</f>
        <v>#REF!</v>
      </c>
      <c r="H568" s="235">
        <f>H566</f>
        <v>26639135</v>
      </c>
    </row>
    <row r="569" spans="1:8" ht="20.100000000000001" customHeight="1" thickBot="1">
      <c r="A569" s="559" t="s">
        <v>1117</v>
      </c>
      <c r="B569" s="560"/>
      <c r="C569" s="560"/>
      <c r="D569" s="560"/>
      <c r="E569" s="560"/>
      <c r="F569" s="561"/>
      <c r="G569" s="133" t="e">
        <f>SUM(G568*20/100)</f>
        <v>#REF!</v>
      </c>
      <c r="H569" s="133">
        <f>SUM(H568*20/100)</f>
        <v>5327827</v>
      </c>
    </row>
    <row r="570" spans="1:8" ht="20.100000000000001" customHeight="1" thickBot="1">
      <c r="A570" s="559" t="s">
        <v>1118</v>
      </c>
      <c r="B570" s="560"/>
      <c r="C570" s="560"/>
      <c r="D570" s="560"/>
      <c r="E570" s="560"/>
      <c r="F570" s="561"/>
      <c r="G570" s="133" t="e">
        <f>SUM(G568+G569)</f>
        <v>#REF!</v>
      </c>
      <c r="H570" s="133">
        <f>SUM(H568:H569)</f>
        <v>31966962</v>
      </c>
    </row>
    <row r="571" spans="1:8" ht="20.100000000000001" customHeight="1"/>
    <row r="572" spans="1:8" ht="20.100000000000001" customHeight="1"/>
    <row r="574" spans="1:8">
      <c r="E574" s="154"/>
      <c r="F574" s="154"/>
      <c r="G574" s="154"/>
    </row>
    <row r="575" spans="1:8">
      <c r="E575" s="234">
        <f>H570</f>
        <v>31966962</v>
      </c>
      <c r="F575" s="154"/>
      <c r="G575" s="154"/>
    </row>
    <row r="576" spans="1:8">
      <c r="E576" s="234" t="e">
        <f>G570</f>
        <v>#REF!</v>
      </c>
      <c r="F576" s="154"/>
      <c r="G576" s="154"/>
    </row>
    <row r="577" spans="5:7">
      <c r="E577" s="154"/>
      <c r="F577" s="154"/>
      <c r="G577" s="154"/>
    </row>
    <row r="578" spans="5:7">
      <c r="E578" s="234" t="e">
        <f>E575-E576</f>
        <v>#REF!</v>
      </c>
      <c r="F578" s="154"/>
      <c r="G578" s="245" t="e">
        <f>G570</f>
        <v>#REF!</v>
      </c>
    </row>
    <row r="579" spans="5:7">
      <c r="E579" s="154"/>
      <c r="F579" s="154"/>
      <c r="G579" s="245" t="e">
        <f>recapitulatif!F518</f>
        <v>#REF!</v>
      </c>
    </row>
    <row r="580" spans="5:7">
      <c r="E580" s="154"/>
      <c r="F580" s="154"/>
      <c r="G580" s="154"/>
    </row>
    <row r="581" spans="5:7">
      <c r="E581" s="154"/>
      <c r="F581" s="154"/>
      <c r="G581" s="154"/>
    </row>
    <row r="582" spans="5:7">
      <c r="E582" s="154"/>
      <c r="F582" s="154"/>
      <c r="G582" s="234" t="e">
        <f>G578-G579</f>
        <v>#REF!</v>
      </c>
    </row>
    <row r="583" spans="5:7">
      <c r="E583" s="154"/>
      <c r="F583" s="154"/>
      <c r="G583" s="154"/>
    </row>
  </sheetData>
  <mergeCells count="66">
    <mergeCell ref="B66:F66"/>
    <mergeCell ref="A6:B6"/>
    <mergeCell ref="A8:G8"/>
    <mergeCell ref="A12:A13"/>
    <mergeCell ref="B12:B13"/>
    <mergeCell ref="C12:C13"/>
    <mergeCell ref="G12:G13"/>
    <mergeCell ref="H12:H13"/>
    <mergeCell ref="A27:F27"/>
    <mergeCell ref="B37:F37"/>
    <mergeCell ref="B49:F49"/>
    <mergeCell ref="B61:F61"/>
    <mergeCell ref="B162:F162"/>
    <mergeCell ref="B80:F80"/>
    <mergeCell ref="B87:F87"/>
    <mergeCell ref="B91:F91"/>
    <mergeCell ref="B104:F104"/>
    <mergeCell ref="A105:H105"/>
    <mergeCell ref="A106:F106"/>
    <mergeCell ref="A108:B108"/>
    <mergeCell ref="A119:F119"/>
    <mergeCell ref="A121:B121"/>
    <mergeCell ref="A138:F138"/>
    <mergeCell ref="A140:B140"/>
    <mergeCell ref="B350:F350"/>
    <mergeCell ref="B225:F225"/>
    <mergeCell ref="B231:F231"/>
    <mergeCell ref="B247:F247"/>
    <mergeCell ref="A248:F248"/>
    <mergeCell ref="A249:B249"/>
    <mergeCell ref="B259:F259"/>
    <mergeCell ref="B279:F279"/>
    <mergeCell ref="B302:F302"/>
    <mergeCell ref="B304:F304"/>
    <mergeCell ref="B321:F321"/>
    <mergeCell ref="B334:F334"/>
    <mergeCell ref="B499:F499"/>
    <mergeCell ref="B355:F355"/>
    <mergeCell ref="B377:F377"/>
    <mergeCell ref="B381:F381"/>
    <mergeCell ref="B396:F396"/>
    <mergeCell ref="B407:F407"/>
    <mergeCell ref="B431:F431"/>
    <mergeCell ref="B443:F443"/>
    <mergeCell ref="B448:F448"/>
    <mergeCell ref="A449:F449"/>
    <mergeCell ref="A450:B450"/>
    <mergeCell ref="B487:F487"/>
    <mergeCell ref="A544:B544"/>
    <mergeCell ref="A557:F557"/>
    <mergeCell ref="A558:F558"/>
    <mergeCell ref="A559:F559"/>
    <mergeCell ref="A560:F560"/>
    <mergeCell ref="B510:F510"/>
    <mergeCell ref="B516:F516"/>
    <mergeCell ref="B523:F523"/>
    <mergeCell ref="B541:F541"/>
    <mergeCell ref="A542:F542"/>
    <mergeCell ref="A564:F564"/>
    <mergeCell ref="A555:F555"/>
    <mergeCell ref="A568:F568"/>
    <mergeCell ref="A569:F569"/>
    <mergeCell ref="A570:F570"/>
    <mergeCell ref="A561:F561"/>
    <mergeCell ref="A562:F562"/>
    <mergeCell ref="A563:F563"/>
  </mergeCells>
  <pageMargins left="0.23622047244094491" right="0.23622047244094491" top="0.74803149606299213" bottom="0.74803149606299213" header="0.31496062992125984" footer="0.31496062992125984"/>
  <pageSetup paperSize="9" scale="80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K80"/>
  <sheetViews>
    <sheetView topLeftCell="C40" workbookViewId="0">
      <selection activeCell="E67" sqref="E67"/>
    </sheetView>
  </sheetViews>
  <sheetFormatPr baseColWidth="10" defaultColWidth="11.42578125" defaultRowHeight="15"/>
  <cols>
    <col min="3" max="3" width="32.28515625" customWidth="1"/>
    <col min="4" max="4" width="6.85546875" customWidth="1"/>
  </cols>
  <sheetData>
    <row r="11" spans="3:11" ht="17.25">
      <c r="C11" s="118" t="s">
        <v>292</v>
      </c>
      <c r="D11" s="98">
        <v>4</v>
      </c>
      <c r="E11" s="94">
        <v>1.45</v>
      </c>
      <c r="F11" s="94" t="s">
        <v>257</v>
      </c>
      <c r="G11" s="95"/>
      <c r="H11" s="94"/>
      <c r="I11" s="154"/>
      <c r="J11" s="96" t="s">
        <v>20</v>
      </c>
      <c r="K11" s="97">
        <f>E11*D11</f>
        <v>5.8</v>
      </c>
    </row>
    <row r="12" spans="3:11" ht="17.25">
      <c r="C12" s="118"/>
      <c r="D12" s="98">
        <v>4</v>
      </c>
      <c r="E12" s="94">
        <v>1.45</v>
      </c>
      <c r="F12" s="94" t="s">
        <v>257</v>
      </c>
      <c r="G12" s="95"/>
      <c r="H12" s="94"/>
      <c r="I12" s="154"/>
      <c r="J12" s="96" t="s">
        <v>20</v>
      </c>
      <c r="K12" s="97">
        <f t="shared" ref="K12:K75" si="0">E12*D12</f>
        <v>5.8</v>
      </c>
    </row>
    <row r="13" spans="3:11" ht="17.25">
      <c r="C13" s="118"/>
      <c r="D13" s="98">
        <v>1</v>
      </c>
      <c r="E13" s="94">
        <v>1.61</v>
      </c>
      <c r="F13" s="94" t="s">
        <v>257</v>
      </c>
      <c r="G13" s="95"/>
      <c r="H13" s="94"/>
      <c r="I13" s="154"/>
      <c r="J13" s="96" t="s">
        <v>20</v>
      </c>
      <c r="K13" s="97">
        <f t="shared" si="0"/>
        <v>1.61</v>
      </c>
    </row>
    <row r="14" spans="3:11" ht="17.25">
      <c r="C14" s="118"/>
      <c r="D14" s="98">
        <v>4</v>
      </c>
      <c r="E14" s="94">
        <v>1.45</v>
      </c>
      <c r="F14" s="94" t="s">
        <v>257</v>
      </c>
      <c r="G14" s="95"/>
      <c r="H14" s="94"/>
      <c r="I14" s="154"/>
      <c r="J14" s="96" t="s">
        <v>20</v>
      </c>
      <c r="K14" s="97">
        <f t="shared" si="0"/>
        <v>5.8</v>
      </c>
    </row>
    <row r="15" spans="3:11" ht="17.25">
      <c r="C15" s="118"/>
      <c r="D15" s="98">
        <v>1</v>
      </c>
      <c r="E15" s="94">
        <v>1.6</v>
      </c>
      <c r="F15" s="94" t="s">
        <v>257</v>
      </c>
      <c r="G15" s="95"/>
      <c r="H15" s="94"/>
      <c r="I15" s="154"/>
      <c r="J15" s="96" t="s">
        <v>20</v>
      </c>
      <c r="K15" s="97">
        <f t="shared" si="0"/>
        <v>1.6</v>
      </c>
    </row>
    <row r="16" spans="3:11" ht="17.25">
      <c r="C16" s="176"/>
      <c r="D16" s="98">
        <v>2</v>
      </c>
      <c r="E16" s="94">
        <v>0.65</v>
      </c>
      <c r="F16" s="94" t="s">
        <v>257</v>
      </c>
      <c r="G16" s="95"/>
      <c r="H16" s="94"/>
      <c r="I16" s="154"/>
      <c r="J16" s="96" t="s">
        <v>20</v>
      </c>
      <c r="K16" s="97">
        <f t="shared" si="0"/>
        <v>1.3</v>
      </c>
    </row>
    <row r="17" spans="3:11" ht="17.25">
      <c r="C17" s="118"/>
      <c r="D17" s="98">
        <v>2</v>
      </c>
      <c r="E17" s="94">
        <v>0.65</v>
      </c>
      <c r="F17" s="94" t="s">
        <v>257</v>
      </c>
      <c r="G17" s="95"/>
      <c r="H17" s="94"/>
      <c r="I17" s="116"/>
      <c r="J17" s="96" t="s">
        <v>20</v>
      </c>
      <c r="K17" s="97">
        <f t="shared" si="0"/>
        <v>1.3</v>
      </c>
    </row>
    <row r="18" spans="3:11" ht="17.25">
      <c r="C18" s="118"/>
      <c r="D18" s="98">
        <v>2</v>
      </c>
      <c r="E18" s="94">
        <v>2.4</v>
      </c>
      <c r="F18" s="94" t="s">
        <v>257</v>
      </c>
      <c r="G18" s="95"/>
      <c r="H18" s="94"/>
      <c r="I18" s="116"/>
      <c r="J18" s="96" t="s">
        <v>20</v>
      </c>
      <c r="K18" s="97">
        <f t="shared" si="0"/>
        <v>4.8</v>
      </c>
    </row>
    <row r="19" spans="3:11" ht="17.25">
      <c r="C19" s="248" t="s">
        <v>1217</v>
      </c>
      <c r="D19" s="98">
        <v>2</v>
      </c>
      <c r="E19" s="94">
        <v>12.45</v>
      </c>
      <c r="F19" s="94" t="s">
        <v>257</v>
      </c>
      <c r="G19" s="95"/>
      <c r="H19" s="94"/>
      <c r="I19" s="116"/>
      <c r="J19" s="96" t="s">
        <v>20</v>
      </c>
      <c r="K19" s="97">
        <f t="shared" si="0"/>
        <v>24.9</v>
      </c>
    </row>
    <row r="20" spans="3:11" ht="17.25">
      <c r="C20" s="248" t="s">
        <v>1214</v>
      </c>
      <c r="D20" s="98">
        <v>1</v>
      </c>
      <c r="E20" s="94">
        <v>15.43</v>
      </c>
      <c r="F20" s="94" t="s">
        <v>257</v>
      </c>
      <c r="G20" s="95"/>
      <c r="H20" s="94"/>
      <c r="I20" s="154"/>
      <c r="J20" s="96" t="s">
        <v>20</v>
      </c>
      <c r="K20" s="97">
        <f t="shared" si="0"/>
        <v>15.43</v>
      </c>
    </row>
    <row r="21" spans="3:11" ht="17.25">
      <c r="C21" s="248" t="s">
        <v>1215</v>
      </c>
      <c r="D21" s="98">
        <v>1</v>
      </c>
      <c r="E21" s="94">
        <v>15.42</v>
      </c>
      <c r="F21" s="94" t="s">
        <v>257</v>
      </c>
      <c r="G21" s="95"/>
      <c r="H21" s="94"/>
      <c r="I21" s="154"/>
      <c r="J21" s="96" t="s">
        <v>20</v>
      </c>
      <c r="K21" s="97">
        <f t="shared" si="0"/>
        <v>15.42</v>
      </c>
    </row>
    <row r="22" spans="3:11" ht="17.25">
      <c r="C22" s="118"/>
      <c r="D22" s="98">
        <v>2</v>
      </c>
      <c r="E22" s="94">
        <v>1.8</v>
      </c>
      <c r="F22" s="94" t="s">
        <v>257</v>
      </c>
      <c r="G22" s="95"/>
      <c r="H22" s="94"/>
      <c r="I22" s="154"/>
      <c r="J22" s="96" t="s">
        <v>20</v>
      </c>
      <c r="K22" s="97">
        <f t="shared" si="0"/>
        <v>3.6</v>
      </c>
    </row>
    <row r="23" spans="3:11" ht="17.25">
      <c r="C23" s="118"/>
      <c r="D23" s="98">
        <v>2</v>
      </c>
      <c r="E23" s="94">
        <v>0.61</v>
      </c>
      <c r="F23" s="94" t="s">
        <v>257</v>
      </c>
      <c r="G23" s="95"/>
      <c r="H23" s="94"/>
      <c r="I23" s="154"/>
      <c r="J23" s="96" t="s">
        <v>20</v>
      </c>
      <c r="K23" s="97">
        <f t="shared" si="0"/>
        <v>1.22</v>
      </c>
    </row>
    <row r="24" spans="3:11" ht="17.25">
      <c r="C24" s="247"/>
      <c r="D24" s="37">
        <v>2</v>
      </c>
      <c r="E24" s="95">
        <v>0.62</v>
      </c>
      <c r="F24" s="95" t="s">
        <v>257</v>
      </c>
      <c r="G24" s="95"/>
      <c r="H24" s="95"/>
      <c r="I24" s="154"/>
      <c r="J24" s="177" t="s">
        <v>20</v>
      </c>
      <c r="K24" s="97">
        <f t="shared" si="0"/>
        <v>1.24</v>
      </c>
    </row>
    <row r="25" spans="3:11" ht="17.25">
      <c r="C25" s="247"/>
      <c r="D25" s="37">
        <v>2</v>
      </c>
      <c r="E25" s="95">
        <v>0.98</v>
      </c>
      <c r="F25" s="95" t="s">
        <v>257</v>
      </c>
      <c r="G25" s="95"/>
      <c r="H25" s="95"/>
      <c r="I25" s="154"/>
      <c r="J25" s="177" t="s">
        <v>20</v>
      </c>
      <c r="K25" s="97">
        <f t="shared" si="0"/>
        <v>1.96</v>
      </c>
    </row>
    <row r="26" spans="3:11" ht="17.25">
      <c r="C26" s="118" t="s">
        <v>292</v>
      </c>
      <c r="D26" s="37">
        <v>12</v>
      </c>
      <c r="E26" s="95">
        <v>0.41</v>
      </c>
      <c r="F26" s="95" t="s">
        <v>257</v>
      </c>
      <c r="G26" s="95"/>
      <c r="H26" s="95"/>
      <c r="I26" s="154"/>
      <c r="J26" s="177" t="s">
        <v>20</v>
      </c>
      <c r="K26" s="97">
        <f t="shared" si="0"/>
        <v>4.92</v>
      </c>
    </row>
    <row r="27" spans="3:11" ht="17.25">
      <c r="C27" s="118" t="s">
        <v>1218</v>
      </c>
      <c r="D27" s="37">
        <v>1</v>
      </c>
      <c r="E27" s="95">
        <v>1.89</v>
      </c>
      <c r="F27" s="95" t="s">
        <v>257</v>
      </c>
      <c r="G27" s="95"/>
      <c r="H27" s="95"/>
      <c r="I27" s="154"/>
      <c r="J27" s="177" t="s">
        <v>20</v>
      </c>
      <c r="K27" s="97">
        <f t="shared" si="0"/>
        <v>1.89</v>
      </c>
    </row>
    <row r="28" spans="3:11" ht="17.25">
      <c r="C28" s="118"/>
      <c r="D28" s="37">
        <v>2</v>
      </c>
      <c r="E28" s="95">
        <v>0.63</v>
      </c>
      <c r="F28" s="95" t="s">
        <v>257</v>
      </c>
      <c r="G28" s="95"/>
      <c r="H28" s="95"/>
      <c r="I28" s="154"/>
      <c r="J28" s="177" t="s">
        <v>20</v>
      </c>
      <c r="K28" s="97">
        <f t="shared" si="0"/>
        <v>1.26</v>
      </c>
    </row>
    <row r="29" spans="3:11" ht="17.25">
      <c r="C29" s="118"/>
      <c r="D29" s="37">
        <v>1</v>
      </c>
      <c r="E29" s="95">
        <v>1.75</v>
      </c>
      <c r="F29" s="95" t="s">
        <v>257</v>
      </c>
      <c r="G29" s="95"/>
      <c r="H29" s="95"/>
      <c r="I29" s="154"/>
      <c r="J29" s="177" t="s">
        <v>20</v>
      </c>
      <c r="K29" s="97">
        <f t="shared" si="0"/>
        <v>1.75</v>
      </c>
    </row>
    <row r="30" spans="3:11" ht="17.25">
      <c r="C30" s="118"/>
      <c r="D30" s="37">
        <v>1</v>
      </c>
      <c r="E30" s="95">
        <v>6.6</v>
      </c>
      <c r="F30" s="95"/>
      <c r="G30" s="95"/>
      <c r="H30" s="95"/>
      <c r="I30" s="154"/>
      <c r="J30" s="177" t="s">
        <v>20</v>
      </c>
      <c r="K30" s="97">
        <f t="shared" si="0"/>
        <v>6.6</v>
      </c>
    </row>
    <row r="31" spans="3:11" ht="17.25">
      <c r="C31" s="118"/>
      <c r="D31" s="37">
        <v>2</v>
      </c>
      <c r="E31" s="95">
        <v>2.38</v>
      </c>
      <c r="F31" s="95"/>
      <c r="G31" s="95"/>
      <c r="H31" s="95"/>
      <c r="I31" s="154"/>
      <c r="J31" s="177" t="s">
        <v>20</v>
      </c>
      <c r="K31" s="97">
        <f t="shared" si="0"/>
        <v>4.76</v>
      </c>
    </row>
    <row r="32" spans="3:11" ht="17.25">
      <c r="C32" s="247" t="s">
        <v>1219</v>
      </c>
      <c r="D32" s="37">
        <v>2</v>
      </c>
      <c r="E32" s="95">
        <v>0.96</v>
      </c>
      <c r="F32" s="95" t="s">
        <v>257</v>
      </c>
      <c r="G32" s="95"/>
      <c r="H32" s="95"/>
      <c r="I32" s="154"/>
      <c r="J32" s="177" t="s">
        <v>20</v>
      </c>
      <c r="K32" s="97">
        <f t="shared" si="0"/>
        <v>1.92</v>
      </c>
    </row>
    <row r="33" spans="3:11" ht="17.25">
      <c r="C33" s="118"/>
      <c r="D33" s="37">
        <v>4</v>
      </c>
      <c r="E33" s="95">
        <v>1.4</v>
      </c>
      <c r="F33" s="95" t="s">
        <v>257</v>
      </c>
      <c r="G33" s="95"/>
      <c r="H33" s="95"/>
      <c r="I33" s="154"/>
      <c r="J33" s="177" t="s">
        <v>20</v>
      </c>
      <c r="K33" s="97">
        <f t="shared" si="0"/>
        <v>5.6</v>
      </c>
    </row>
    <row r="34" spans="3:11" ht="17.25">
      <c r="C34" s="118"/>
      <c r="D34" s="37">
        <v>4</v>
      </c>
      <c r="E34" s="95">
        <v>0.64</v>
      </c>
      <c r="F34" s="95" t="s">
        <v>257</v>
      </c>
      <c r="G34" s="95"/>
      <c r="H34" s="95"/>
      <c r="I34" s="154"/>
      <c r="J34" s="177" t="s">
        <v>20</v>
      </c>
      <c r="K34" s="97">
        <f t="shared" si="0"/>
        <v>2.56</v>
      </c>
    </row>
    <row r="35" spans="3:11" ht="17.25">
      <c r="C35" s="118" t="s">
        <v>1119</v>
      </c>
      <c r="D35" s="98">
        <v>1</v>
      </c>
      <c r="E35" s="94">
        <v>0.76</v>
      </c>
      <c r="F35" s="94" t="s">
        <v>257</v>
      </c>
      <c r="G35" s="95"/>
      <c r="H35" s="94"/>
      <c r="I35" s="154"/>
      <c r="J35" s="96" t="s">
        <v>20</v>
      </c>
      <c r="K35" s="97">
        <f t="shared" si="0"/>
        <v>0.76</v>
      </c>
    </row>
    <row r="36" spans="3:11" ht="17.25">
      <c r="C36" s="118"/>
      <c r="D36" s="98">
        <v>1</v>
      </c>
      <c r="E36" s="94">
        <v>0.95</v>
      </c>
      <c r="F36" s="94" t="s">
        <v>257</v>
      </c>
      <c r="G36" s="95"/>
      <c r="H36" s="94"/>
      <c r="I36" s="154"/>
      <c r="J36" s="96" t="s">
        <v>20</v>
      </c>
      <c r="K36" s="97">
        <f t="shared" si="0"/>
        <v>0.95</v>
      </c>
    </row>
    <row r="37" spans="3:11" ht="17.25">
      <c r="C37" s="118"/>
      <c r="D37" s="98">
        <v>2</v>
      </c>
      <c r="E37" s="94">
        <v>0.95</v>
      </c>
      <c r="F37" s="94" t="s">
        <v>257</v>
      </c>
      <c r="G37" s="95"/>
      <c r="H37" s="94"/>
      <c r="I37" s="154"/>
      <c r="J37" s="96" t="s">
        <v>20</v>
      </c>
      <c r="K37" s="97">
        <f t="shared" si="0"/>
        <v>1.9</v>
      </c>
    </row>
    <row r="38" spans="3:11" ht="17.25">
      <c r="C38" s="118"/>
      <c r="D38" s="98">
        <v>1</v>
      </c>
      <c r="E38" s="94">
        <v>0.95</v>
      </c>
      <c r="F38" s="94" t="s">
        <v>257</v>
      </c>
      <c r="G38" s="95"/>
      <c r="H38" s="94"/>
      <c r="I38" s="154"/>
      <c r="J38" s="96" t="s">
        <v>20</v>
      </c>
      <c r="K38" s="97">
        <f t="shared" si="0"/>
        <v>0.95</v>
      </c>
    </row>
    <row r="39" spans="3:11" ht="17.25">
      <c r="C39" s="118"/>
      <c r="D39" s="98">
        <v>1</v>
      </c>
      <c r="E39" s="94">
        <v>0.94</v>
      </c>
      <c r="F39" s="94" t="s">
        <v>257</v>
      </c>
      <c r="G39" s="95"/>
      <c r="H39" s="94"/>
      <c r="I39" s="154"/>
      <c r="J39" s="96" t="s">
        <v>20</v>
      </c>
      <c r="K39" s="97">
        <f t="shared" si="0"/>
        <v>0.94</v>
      </c>
    </row>
    <row r="40" spans="3:11" ht="17.25">
      <c r="C40" s="118"/>
      <c r="D40" s="98">
        <v>4</v>
      </c>
      <c r="E40" s="94">
        <v>0.95</v>
      </c>
      <c r="F40" s="94" t="s">
        <v>257</v>
      </c>
      <c r="G40" s="95"/>
      <c r="H40" s="94"/>
      <c r="I40" s="154"/>
      <c r="J40" s="96" t="s">
        <v>20</v>
      </c>
      <c r="K40" s="97">
        <f t="shared" si="0"/>
        <v>3.8</v>
      </c>
    </row>
    <row r="41" spans="3:11" ht="17.25">
      <c r="C41" s="118" t="s">
        <v>292</v>
      </c>
      <c r="D41" s="98">
        <v>16</v>
      </c>
      <c r="E41" s="94">
        <v>0.4</v>
      </c>
      <c r="F41" s="94" t="s">
        <v>257</v>
      </c>
      <c r="G41" s="95"/>
      <c r="H41" s="94"/>
      <c r="I41" s="154"/>
      <c r="J41" s="96" t="s">
        <v>20</v>
      </c>
      <c r="K41" s="97">
        <f t="shared" si="0"/>
        <v>6.4</v>
      </c>
    </row>
    <row r="42" spans="3:11" ht="17.25">
      <c r="C42" s="118"/>
      <c r="D42" s="98">
        <v>2</v>
      </c>
      <c r="E42" s="94">
        <v>2.46</v>
      </c>
      <c r="F42" s="94" t="s">
        <v>257</v>
      </c>
      <c r="G42" s="95"/>
      <c r="H42" s="94"/>
      <c r="I42" s="154"/>
      <c r="J42" s="96" t="s">
        <v>20</v>
      </c>
      <c r="K42" s="97">
        <f t="shared" si="0"/>
        <v>4.92</v>
      </c>
    </row>
    <row r="43" spans="3:11" ht="17.25">
      <c r="C43" s="118"/>
      <c r="D43" s="98">
        <v>2</v>
      </c>
      <c r="E43" s="94">
        <v>0.62</v>
      </c>
      <c r="F43" s="94" t="s">
        <v>257</v>
      </c>
      <c r="G43" s="95"/>
      <c r="H43" s="94"/>
      <c r="I43" s="154"/>
      <c r="J43" s="96" t="s">
        <v>20</v>
      </c>
      <c r="K43" s="97">
        <f t="shared" si="0"/>
        <v>1.24</v>
      </c>
    </row>
    <row r="44" spans="3:11" ht="17.25">
      <c r="C44" s="118"/>
      <c r="D44" s="98">
        <v>1</v>
      </c>
      <c r="E44" s="94">
        <v>2.46</v>
      </c>
      <c r="F44" s="94" t="s">
        <v>257</v>
      </c>
      <c r="G44" s="95"/>
      <c r="H44" s="94"/>
      <c r="I44" s="154"/>
      <c r="J44" s="96" t="s">
        <v>20</v>
      </c>
      <c r="K44" s="97">
        <f t="shared" si="0"/>
        <v>2.46</v>
      </c>
    </row>
    <row r="45" spans="3:11" ht="17.25">
      <c r="C45" s="117"/>
      <c r="D45" s="98">
        <v>1</v>
      </c>
      <c r="E45" s="94">
        <v>0.62</v>
      </c>
      <c r="F45" s="94" t="s">
        <v>257</v>
      </c>
      <c r="G45" s="95"/>
      <c r="H45" s="94"/>
      <c r="I45" s="154"/>
      <c r="J45" s="96" t="s">
        <v>20</v>
      </c>
      <c r="K45" s="97">
        <f t="shared" si="0"/>
        <v>0.62</v>
      </c>
    </row>
    <row r="46" spans="3:11" ht="17.25">
      <c r="C46" s="118" t="s">
        <v>1217</v>
      </c>
      <c r="D46" s="98">
        <v>1</v>
      </c>
      <c r="E46" s="94">
        <v>8.1</v>
      </c>
      <c r="F46" s="94" t="s">
        <v>257</v>
      </c>
      <c r="G46" s="95"/>
      <c r="H46" s="94"/>
      <c r="I46" s="154"/>
      <c r="J46" s="96" t="s">
        <v>20</v>
      </c>
      <c r="K46" s="97">
        <f t="shared" si="0"/>
        <v>8.1</v>
      </c>
    </row>
    <row r="47" spans="3:11" ht="17.25">
      <c r="C47" s="118"/>
      <c r="D47" s="98">
        <v>2</v>
      </c>
      <c r="E47" s="94">
        <v>2.16</v>
      </c>
      <c r="F47" s="94" t="s">
        <v>257</v>
      </c>
      <c r="G47" s="95"/>
      <c r="H47" s="94"/>
      <c r="I47" s="154"/>
      <c r="J47" s="96" t="s">
        <v>20</v>
      </c>
      <c r="K47" s="97">
        <f t="shared" si="0"/>
        <v>4.32</v>
      </c>
    </row>
    <row r="48" spans="3:11" ht="17.25">
      <c r="C48" s="117"/>
      <c r="D48" s="98">
        <v>4</v>
      </c>
      <c r="E48" s="94">
        <v>0.61</v>
      </c>
      <c r="F48" s="94" t="s">
        <v>257</v>
      </c>
      <c r="G48" s="95"/>
      <c r="H48" s="94"/>
      <c r="I48" s="154"/>
      <c r="J48" s="96" t="s">
        <v>20</v>
      </c>
      <c r="K48" s="97">
        <f t="shared" si="0"/>
        <v>2.44</v>
      </c>
    </row>
    <row r="49" spans="3:11" ht="17.25">
      <c r="C49" s="117"/>
      <c r="D49" s="98">
        <v>2</v>
      </c>
      <c r="E49" s="94">
        <v>2.16</v>
      </c>
      <c r="F49" s="94" t="s">
        <v>257</v>
      </c>
      <c r="G49" s="95"/>
      <c r="H49" s="94"/>
      <c r="I49" s="154"/>
      <c r="J49" s="96" t="s">
        <v>20</v>
      </c>
      <c r="K49" s="97">
        <f t="shared" si="0"/>
        <v>4.32</v>
      </c>
    </row>
    <row r="50" spans="3:11" ht="17.25">
      <c r="C50" s="118"/>
      <c r="D50" s="98">
        <v>2</v>
      </c>
      <c r="E50" s="94">
        <v>0.43</v>
      </c>
      <c r="F50" s="94" t="s">
        <v>257</v>
      </c>
      <c r="G50" s="95"/>
      <c r="H50" s="94"/>
      <c r="I50" s="154"/>
      <c r="J50" s="96" t="s">
        <v>20</v>
      </c>
      <c r="K50" s="97">
        <f t="shared" si="0"/>
        <v>0.86</v>
      </c>
    </row>
    <row r="51" spans="3:11" ht="17.25">
      <c r="C51" s="118"/>
      <c r="D51" s="98">
        <v>1</v>
      </c>
      <c r="E51" s="94">
        <v>1.9</v>
      </c>
      <c r="F51" s="94" t="s">
        <v>257</v>
      </c>
      <c r="G51" s="95"/>
      <c r="H51" s="94"/>
      <c r="I51" s="154"/>
      <c r="J51" s="96" t="s">
        <v>20</v>
      </c>
      <c r="K51" s="97">
        <f t="shared" si="0"/>
        <v>1.9</v>
      </c>
    </row>
    <row r="52" spans="3:11" ht="17.25">
      <c r="C52" s="118" t="s">
        <v>292</v>
      </c>
      <c r="D52" s="98">
        <v>6</v>
      </c>
      <c r="E52" s="94">
        <v>0.41</v>
      </c>
      <c r="F52" s="94" t="s">
        <v>257</v>
      </c>
      <c r="G52" s="95"/>
      <c r="H52" s="94"/>
      <c r="I52" s="154"/>
      <c r="J52" s="96" t="s">
        <v>20</v>
      </c>
      <c r="K52" s="97">
        <f t="shared" si="0"/>
        <v>2.46</v>
      </c>
    </row>
    <row r="53" spans="3:11" ht="17.25">
      <c r="C53" s="118"/>
      <c r="D53" s="98">
        <v>1</v>
      </c>
      <c r="E53" s="94">
        <v>1.58</v>
      </c>
      <c r="F53" s="94" t="s">
        <v>257</v>
      </c>
      <c r="G53" s="95"/>
      <c r="H53" s="94"/>
      <c r="I53" s="154"/>
      <c r="J53" s="96" t="s">
        <v>20</v>
      </c>
      <c r="K53" s="97">
        <f t="shared" si="0"/>
        <v>1.58</v>
      </c>
    </row>
    <row r="54" spans="3:11" ht="17.25">
      <c r="C54" s="118"/>
      <c r="D54" s="98">
        <v>1</v>
      </c>
      <c r="E54" s="94">
        <v>1.45</v>
      </c>
      <c r="F54" s="94" t="s">
        <v>257</v>
      </c>
      <c r="G54" s="95"/>
      <c r="H54" s="94"/>
      <c r="I54" s="154"/>
      <c r="J54" s="96" t="s">
        <v>20</v>
      </c>
      <c r="K54" s="97">
        <f t="shared" si="0"/>
        <v>1.45</v>
      </c>
    </row>
    <row r="55" spans="3:11" ht="17.25">
      <c r="C55" s="118"/>
      <c r="D55" s="98">
        <v>1</v>
      </c>
      <c r="E55" s="94">
        <v>1.51</v>
      </c>
      <c r="F55" s="94" t="s">
        <v>257</v>
      </c>
      <c r="G55" s="95"/>
      <c r="H55" s="94"/>
      <c r="I55" s="154"/>
      <c r="J55" s="96" t="s">
        <v>20</v>
      </c>
      <c r="K55" s="97">
        <f t="shared" si="0"/>
        <v>1.51</v>
      </c>
    </row>
    <row r="56" spans="3:11" ht="17.25">
      <c r="C56" s="118"/>
      <c r="D56" s="98">
        <v>1</v>
      </c>
      <c r="E56" s="94">
        <v>0.52</v>
      </c>
      <c r="F56" s="94" t="s">
        <v>257</v>
      </c>
      <c r="G56" s="95"/>
      <c r="H56" s="94"/>
      <c r="I56" s="154"/>
      <c r="J56" s="96" t="s">
        <v>20</v>
      </c>
      <c r="K56" s="97">
        <f t="shared" si="0"/>
        <v>0.52</v>
      </c>
    </row>
    <row r="57" spans="3:11" ht="17.25">
      <c r="C57" s="118"/>
      <c r="D57" s="98">
        <v>1</v>
      </c>
      <c r="E57" s="94">
        <v>0.53</v>
      </c>
      <c r="F57" s="94" t="s">
        <v>257</v>
      </c>
      <c r="G57" s="95"/>
      <c r="H57" s="94"/>
      <c r="I57" s="154"/>
      <c r="J57" s="96" t="s">
        <v>20</v>
      </c>
      <c r="K57" s="97">
        <f t="shared" si="0"/>
        <v>0.53</v>
      </c>
    </row>
    <row r="58" spans="3:11" ht="17.25">
      <c r="C58" s="118"/>
      <c r="D58" s="98">
        <v>2</v>
      </c>
      <c r="E58" s="94">
        <v>1.29</v>
      </c>
      <c r="F58" s="94" t="s">
        <v>257</v>
      </c>
      <c r="G58" s="95"/>
      <c r="H58" s="94"/>
      <c r="I58" s="154"/>
      <c r="J58" s="96" t="s">
        <v>20</v>
      </c>
      <c r="K58" s="97">
        <f t="shared" si="0"/>
        <v>2.58</v>
      </c>
    </row>
    <row r="59" spans="3:11" ht="17.25">
      <c r="C59" s="118"/>
      <c r="D59" s="98">
        <v>2</v>
      </c>
      <c r="E59" s="94">
        <v>0.6</v>
      </c>
      <c r="F59" s="94" t="s">
        <v>257</v>
      </c>
      <c r="G59" s="95"/>
      <c r="H59" s="94"/>
      <c r="I59" s="154"/>
      <c r="J59" s="96" t="s">
        <v>20</v>
      </c>
      <c r="K59" s="97">
        <f t="shared" si="0"/>
        <v>1.2</v>
      </c>
    </row>
    <row r="60" spans="3:11" ht="17.25">
      <c r="C60" s="118"/>
      <c r="D60" s="98">
        <v>1</v>
      </c>
      <c r="E60" s="94">
        <v>4.32</v>
      </c>
      <c r="F60" s="94" t="s">
        <v>257</v>
      </c>
      <c r="G60" s="95"/>
      <c r="H60" s="94"/>
      <c r="I60" s="154"/>
      <c r="J60" s="96" t="s">
        <v>20</v>
      </c>
      <c r="K60" s="97">
        <f t="shared" si="0"/>
        <v>4.32</v>
      </c>
    </row>
    <row r="61" spans="3:11" ht="17.25">
      <c r="C61" s="118"/>
      <c r="D61" s="98">
        <v>2</v>
      </c>
      <c r="E61" s="94">
        <v>0.61</v>
      </c>
      <c r="F61" s="94" t="s">
        <v>257</v>
      </c>
      <c r="G61" s="95"/>
      <c r="H61" s="94"/>
      <c r="I61" s="154"/>
      <c r="J61" s="96" t="s">
        <v>20</v>
      </c>
      <c r="K61" s="97">
        <f t="shared" si="0"/>
        <v>1.22</v>
      </c>
    </row>
    <row r="62" spans="3:11" ht="17.25">
      <c r="C62" s="118" t="s">
        <v>1120</v>
      </c>
      <c r="D62" s="98">
        <v>1</v>
      </c>
      <c r="E62" s="94">
        <v>2.7</v>
      </c>
      <c r="F62" s="94" t="s">
        <v>257</v>
      </c>
      <c r="G62" s="95"/>
      <c r="H62" s="94"/>
      <c r="I62" s="154"/>
      <c r="J62" s="96" t="s">
        <v>20</v>
      </c>
      <c r="K62" s="97">
        <f t="shared" si="0"/>
        <v>2.7</v>
      </c>
    </row>
    <row r="63" spans="3:11" ht="17.25">
      <c r="C63" s="118"/>
      <c r="D63" s="98">
        <v>2</v>
      </c>
      <c r="E63" s="94">
        <v>22</v>
      </c>
      <c r="F63" s="94"/>
      <c r="G63" s="95"/>
      <c r="H63" s="94"/>
      <c r="I63" s="154"/>
      <c r="J63" s="96"/>
      <c r="K63" s="97">
        <f t="shared" si="0"/>
        <v>44</v>
      </c>
    </row>
    <row r="64" spans="3:11" ht="17.25">
      <c r="C64" s="118"/>
      <c r="D64" s="98">
        <v>1</v>
      </c>
      <c r="E64" s="94">
        <v>23</v>
      </c>
      <c r="F64" s="94"/>
      <c r="G64" s="95"/>
      <c r="H64" s="94"/>
      <c r="I64" s="154"/>
      <c r="J64" s="96"/>
      <c r="K64" s="97">
        <f t="shared" si="0"/>
        <v>23</v>
      </c>
    </row>
    <row r="65" spans="3:11" ht="17.25">
      <c r="C65" s="118"/>
      <c r="D65" s="98"/>
      <c r="E65" s="94"/>
      <c r="F65" s="94"/>
      <c r="G65" s="95"/>
      <c r="H65" s="94"/>
      <c r="I65" s="154"/>
      <c r="J65" s="96"/>
      <c r="K65" s="97">
        <f t="shared" si="0"/>
        <v>0</v>
      </c>
    </row>
    <row r="66" spans="3:11" ht="17.25">
      <c r="C66" s="118"/>
      <c r="D66" s="98"/>
      <c r="E66" s="94"/>
      <c r="F66" s="94"/>
      <c r="G66" s="95"/>
      <c r="H66" s="94"/>
      <c r="I66" s="154"/>
      <c r="J66" s="96"/>
      <c r="K66" s="97">
        <f t="shared" si="0"/>
        <v>0</v>
      </c>
    </row>
    <row r="67" spans="3:11" ht="17.25">
      <c r="C67" s="118"/>
      <c r="D67" s="98"/>
      <c r="E67" s="94"/>
      <c r="F67" s="94"/>
      <c r="G67" s="95"/>
      <c r="H67" s="94"/>
      <c r="I67" s="154"/>
      <c r="J67" s="96"/>
      <c r="K67" s="97">
        <f t="shared" si="0"/>
        <v>0</v>
      </c>
    </row>
    <row r="68" spans="3:11" ht="17.25">
      <c r="C68" s="118"/>
      <c r="D68" s="98"/>
      <c r="E68" s="94"/>
      <c r="F68" s="94"/>
      <c r="G68" s="95"/>
      <c r="H68" s="94"/>
      <c r="I68" s="154"/>
      <c r="J68" s="96"/>
      <c r="K68" s="97">
        <f t="shared" si="0"/>
        <v>0</v>
      </c>
    </row>
    <row r="69" spans="3:11" ht="17.25">
      <c r="C69" s="118"/>
      <c r="D69" s="98"/>
      <c r="E69" s="94"/>
      <c r="F69" s="94"/>
      <c r="G69" s="95"/>
      <c r="H69" s="94"/>
      <c r="I69" s="154"/>
      <c r="J69" s="96"/>
      <c r="K69" s="97">
        <f t="shared" si="0"/>
        <v>0</v>
      </c>
    </row>
    <row r="70" spans="3:11" ht="17.25">
      <c r="C70" s="118"/>
      <c r="D70" s="98"/>
      <c r="E70" s="94"/>
      <c r="F70" s="94"/>
      <c r="G70" s="95"/>
      <c r="H70" s="94"/>
      <c r="I70" s="154"/>
      <c r="J70" s="96"/>
      <c r="K70" s="97">
        <f t="shared" si="0"/>
        <v>0</v>
      </c>
    </row>
    <row r="71" spans="3:11" ht="17.25">
      <c r="C71" s="118"/>
      <c r="D71" s="98"/>
      <c r="E71" s="94"/>
      <c r="F71" s="94"/>
      <c r="G71" s="95"/>
      <c r="H71" s="94"/>
      <c r="I71" s="154"/>
      <c r="J71" s="96"/>
      <c r="K71" s="97">
        <f t="shared" si="0"/>
        <v>0</v>
      </c>
    </row>
    <row r="72" spans="3:11" ht="17.25">
      <c r="C72" s="118"/>
      <c r="D72" s="98">
        <v>1</v>
      </c>
      <c r="E72" s="94">
        <v>1.04</v>
      </c>
      <c r="F72" s="94" t="s">
        <v>257</v>
      </c>
      <c r="G72" s="95"/>
      <c r="H72" s="94"/>
      <c r="I72" s="154"/>
      <c r="J72" s="96" t="s">
        <v>20</v>
      </c>
      <c r="K72" s="97">
        <f t="shared" si="0"/>
        <v>1.04</v>
      </c>
    </row>
    <row r="73" spans="3:11" ht="17.25">
      <c r="C73" s="118"/>
      <c r="D73" s="98">
        <v>2</v>
      </c>
      <c r="E73" s="94">
        <v>1.57</v>
      </c>
      <c r="F73" s="94" t="s">
        <v>257</v>
      </c>
      <c r="G73" s="95"/>
      <c r="H73" s="94"/>
      <c r="I73" s="154"/>
      <c r="J73" s="96" t="s">
        <v>20</v>
      </c>
      <c r="K73" s="97">
        <f t="shared" si="0"/>
        <v>3.14</v>
      </c>
    </row>
    <row r="74" spans="3:11" ht="17.25">
      <c r="C74" s="118"/>
      <c r="D74" s="98">
        <v>4</v>
      </c>
      <c r="E74" s="94">
        <v>0.56000000000000005</v>
      </c>
      <c r="F74" s="94" t="s">
        <v>257</v>
      </c>
      <c r="G74" s="95"/>
      <c r="H74" s="94"/>
      <c r="I74" s="154"/>
      <c r="J74" s="96" t="s">
        <v>20</v>
      </c>
      <c r="K74" s="97">
        <f t="shared" si="0"/>
        <v>2.2400000000000002</v>
      </c>
    </row>
    <row r="75" spans="3:11" ht="17.25">
      <c r="C75" s="118"/>
      <c r="D75" s="98">
        <v>1</v>
      </c>
      <c r="E75" s="94">
        <v>1.28</v>
      </c>
      <c r="F75" s="94" t="s">
        <v>257</v>
      </c>
      <c r="G75" s="95"/>
      <c r="H75" s="94"/>
      <c r="I75" s="154"/>
      <c r="J75" s="96" t="s">
        <v>20</v>
      </c>
      <c r="K75" s="97">
        <f t="shared" si="0"/>
        <v>1.28</v>
      </c>
    </row>
    <row r="76" spans="3:11" ht="17.25">
      <c r="C76" s="118"/>
      <c r="D76" s="98">
        <v>1</v>
      </c>
      <c r="E76" s="94">
        <v>1.28</v>
      </c>
      <c r="F76" s="94" t="s">
        <v>257</v>
      </c>
      <c r="G76" s="95"/>
      <c r="H76" s="94"/>
      <c r="I76" s="154"/>
      <c r="J76" s="96" t="s">
        <v>20</v>
      </c>
      <c r="K76" s="97">
        <f t="shared" ref="K76:K77" si="1">E76*D76</f>
        <v>1.28</v>
      </c>
    </row>
    <row r="77" spans="3:11" ht="17.25">
      <c r="C77" s="118"/>
      <c r="D77" s="98">
        <v>2</v>
      </c>
      <c r="E77" s="94">
        <v>0.62</v>
      </c>
      <c r="F77" s="94" t="s">
        <v>257</v>
      </c>
      <c r="G77" s="95"/>
      <c r="H77" s="94"/>
      <c r="I77" s="154"/>
      <c r="J77" s="96" t="s">
        <v>20</v>
      </c>
      <c r="K77" s="97">
        <f t="shared" si="1"/>
        <v>1.24</v>
      </c>
    </row>
    <row r="80" spans="3:11">
      <c r="K80" s="249">
        <f>SUM(K11:K79)</f>
        <v>267.20999999999998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296"/>
  <sheetViews>
    <sheetView view="pageBreakPreview" zoomScale="90" zoomScaleNormal="90" zoomScaleSheetLayoutView="90" workbookViewId="0">
      <pane ySplit="16" topLeftCell="A269" activePane="bottomLeft" state="frozen"/>
      <selection pane="bottomLeft" activeCell="N276" sqref="N276"/>
    </sheetView>
  </sheetViews>
  <sheetFormatPr baseColWidth="10" defaultColWidth="11.42578125" defaultRowHeight="15"/>
  <cols>
    <col min="1" max="1" width="7" style="365" customWidth="1"/>
    <col min="2" max="2" width="43.42578125" style="365" customWidth="1"/>
    <col min="3" max="3" width="6.85546875" style="378" customWidth="1"/>
    <col min="4" max="4" width="4.7109375" style="373" customWidth="1"/>
    <col min="5" max="5" width="9.42578125" style="366" customWidth="1"/>
    <col min="6" max="6" width="7.7109375" style="366" customWidth="1"/>
    <col min="7" max="7" width="8.28515625" style="366" customWidth="1"/>
    <col min="8" max="8" width="10.28515625" style="366" customWidth="1"/>
    <col min="9" max="9" width="10.140625" style="366" customWidth="1"/>
    <col min="10" max="10" width="8" style="366" customWidth="1"/>
    <col min="11" max="11" width="13.140625" style="367" bestFit="1" customWidth="1"/>
    <col min="12" max="12" width="11.85546875" style="366" bestFit="1" customWidth="1"/>
    <col min="13" max="14" width="11.85546875" style="495" customWidth="1"/>
    <col min="15" max="15" width="10.85546875" style="347" customWidth="1"/>
    <col min="16" max="16" width="21.85546875" style="347" customWidth="1"/>
    <col min="17" max="18" width="14.42578125" style="347" customWidth="1"/>
    <col min="19" max="16384" width="11.42578125" style="347"/>
  </cols>
  <sheetData>
    <row r="1" spans="1:16" s="346" customFormat="1" ht="16.5" customHeight="1">
      <c r="A1" s="607" t="s">
        <v>21</v>
      </c>
      <c r="B1" s="607"/>
      <c r="C1" s="607"/>
      <c r="D1" s="607"/>
      <c r="E1" s="607"/>
      <c r="F1" s="607"/>
      <c r="G1" s="607"/>
      <c r="H1" s="607"/>
      <c r="I1" s="607"/>
      <c r="J1" s="607"/>
      <c r="K1" s="607"/>
      <c r="L1" s="607"/>
      <c r="M1" s="479"/>
      <c r="N1" s="479"/>
    </row>
    <row r="2" spans="1:16" s="346" customFormat="1" ht="16.5" customHeight="1">
      <c r="A2" s="607" t="s">
        <v>1681</v>
      </c>
      <c r="B2" s="607"/>
      <c r="C2" s="607"/>
      <c r="D2" s="607"/>
      <c r="E2" s="607"/>
      <c r="F2" s="607"/>
      <c r="G2" s="607"/>
      <c r="H2" s="607"/>
      <c r="I2" s="607"/>
      <c r="J2" s="607"/>
      <c r="K2" s="607"/>
      <c r="L2" s="607"/>
      <c r="M2" s="479"/>
      <c r="N2" s="479"/>
    </row>
    <row r="3" spans="1:16" s="346" customFormat="1" ht="16.5" customHeight="1">
      <c r="A3" s="607" t="s">
        <v>1682</v>
      </c>
      <c r="B3" s="607"/>
      <c r="C3" s="607"/>
      <c r="D3" s="607"/>
      <c r="E3" s="607"/>
      <c r="F3" s="607"/>
      <c r="G3" s="607"/>
      <c r="H3" s="607"/>
      <c r="I3" s="607"/>
      <c r="J3" s="607"/>
      <c r="K3" s="607"/>
      <c r="L3" s="607"/>
      <c r="M3" s="479"/>
      <c r="N3" s="479"/>
    </row>
    <row r="4" spans="1:16" s="346" customFormat="1" ht="16.5" customHeight="1">
      <c r="A4" s="607" t="s">
        <v>1689</v>
      </c>
      <c r="B4" s="607"/>
      <c r="C4" s="607"/>
      <c r="D4" s="607"/>
      <c r="E4" s="607"/>
      <c r="F4" s="607"/>
      <c r="G4" s="607"/>
      <c r="H4" s="607"/>
      <c r="I4" s="607"/>
      <c r="J4" s="607"/>
      <c r="K4" s="607"/>
      <c r="L4" s="607"/>
      <c r="M4" s="479"/>
      <c r="N4" s="479"/>
    </row>
    <row r="5" spans="1:16" s="346" customFormat="1" ht="16.5" customHeight="1">
      <c r="A5" s="607" t="s">
        <v>1690</v>
      </c>
      <c r="B5" s="607"/>
      <c r="C5" s="607"/>
      <c r="D5" s="607"/>
      <c r="E5" s="607"/>
      <c r="F5" s="607"/>
      <c r="G5" s="607"/>
      <c r="H5" s="607"/>
      <c r="I5" s="607"/>
      <c r="J5" s="607"/>
      <c r="K5" s="607"/>
      <c r="L5" s="607"/>
      <c r="M5" s="479"/>
      <c r="N5" s="479"/>
    </row>
    <row r="6" spans="1:16" s="346" customFormat="1" ht="16.5" customHeight="1">
      <c r="A6" s="586" t="s">
        <v>1683</v>
      </c>
      <c r="B6" s="586"/>
      <c r="C6" s="586"/>
      <c r="D6" s="586"/>
      <c r="E6" s="586"/>
      <c r="F6" s="586"/>
      <c r="G6" s="586"/>
      <c r="H6" s="586"/>
      <c r="I6" s="586"/>
      <c r="J6" s="586"/>
      <c r="K6" s="586"/>
      <c r="L6" s="586"/>
      <c r="M6" s="480"/>
      <c r="N6" s="480"/>
    </row>
    <row r="7" spans="1:16" s="346" customFormat="1" ht="16.5" customHeight="1">
      <c r="A7" s="586" t="s">
        <v>1691</v>
      </c>
      <c r="B7" s="586"/>
      <c r="C7" s="586"/>
      <c r="D7" s="586"/>
      <c r="E7" s="586"/>
      <c r="F7" s="586"/>
      <c r="G7" s="586"/>
      <c r="H7" s="586"/>
      <c r="I7" s="586"/>
      <c r="J7" s="586"/>
      <c r="K7" s="586"/>
      <c r="L7" s="586"/>
      <c r="M7" s="480"/>
      <c r="N7" s="480"/>
    </row>
    <row r="8" spans="1:16" s="346" customFormat="1" ht="21" customHeight="1">
      <c r="A8" s="587" t="s">
        <v>1692</v>
      </c>
      <c r="B8" s="587"/>
      <c r="C8" s="587"/>
      <c r="D8" s="587"/>
      <c r="E8" s="587"/>
      <c r="F8" s="587"/>
      <c r="G8" s="587"/>
      <c r="H8" s="587"/>
      <c r="I8" s="587"/>
      <c r="J8" s="587"/>
      <c r="K8" s="587"/>
      <c r="L8" s="587"/>
      <c r="M8" s="481"/>
      <c r="N8" s="481"/>
    </row>
    <row r="9" spans="1:16" s="346" customFormat="1" ht="21" customHeight="1">
      <c r="A9" s="617" t="s">
        <v>1693</v>
      </c>
      <c r="B9" s="617"/>
      <c r="C9" s="617"/>
      <c r="D9" s="617"/>
      <c r="E9" s="617"/>
      <c r="F9" s="617"/>
      <c r="G9" s="617"/>
      <c r="H9" s="617"/>
      <c r="I9" s="617"/>
      <c r="J9" s="617"/>
      <c r="K9" s="617"/>
      <c r="L9" s="617"/>
      <c r="M9" s="478"/>
      <c r="N9" s="478"/>
    </row>
    <row r="10" spans="1:16" s="346" customFormat="1" ht="12" customHeight="1">
      <c r="A10" s="596"/>
      <c r="B10" s="596"/>
      <c r="C10" s="596"/>
      <c r="D10" s="596"/>
      <c r="E10" s="596"/>
      <c r="F10" s="596"/>
      <c r="G10" s="596"/>
      <c r="H10" s="596"/>
      <c r="I10" s="596"/>
      <c r="J10" s="596"/>
      <c r="K10" s="596"/>
      <c r="L10" s="596"/>
      <c r="M10" s="482"/>
      <c r="N10" s="482"/>
    </row>
    <row r="11" spans="1:16" s="346" customFormat="1" ht="20.25" customHeight="1">
      <c r="A11" s="596" t="s">
        <v>1678</v>
      </c>
      <c r="B11" s="596"/>
      <c r="C11" s="596"/>
      <c r="D11" s="596"/>
      <c r="E11" s="596"/>
      <c r="F11" s="596"/>
      <c r="G11" s="596"/>
      <c r="H11" s="596"/>
      <c r="I11" s="596"/>
      <c r="J11" s="596"/>
      <c r="K11" s="596"/>
      <c r="L11" s="596"/>
      <c r="M11" s="482"/>
      <c r="N11" s="482"/>
    </row>
    <row r="12" spans="1:16" s="346" customFormat="1" ht="18.75" customHeight="1">
      <c r="A12" s="597" t="s">
        <v>1737</v>
      </c>
      <c r="B12" s="597"/>
      <c r="C12" s="597"/>
      <c r="D12" s="597"/>
      <c r="E12" s="597"/>
      <c r="F12" s="597"/>
      <c r="G12" s="597"/>
      <c r="H12" s="597"/>
      <c r="I12" s="597"/>
      <c r="J12" s="597"/>
      <c r="K12" s="597"/>
      <c r="L12" s="597"/>
      <c r="M12" s="483"/>
      <c r="N12" s="483"/>
    </row>
    <row r="13" spans="1:16" ht="5.25" customHeight="1" thickBot="1">
      <c r="A13" s="598"/>
      <c r="B13" s="598"/>
      <c r="C13" s="598"/>
      <c r="D13" s="598"/>
      <c r="E13" s="598"/>
      <c r="F13" s="598"/>
      <c r="G13" s="598"/>
      <c r="H13" s="598"/>
      <c r="I13" s="598"/>
      <c r="J13" s="598"/>
      <c r="K13" s="598"/>
      <c r="L13" s="598"/>
      <c r="M13" s="484"/>
      <c r="N13" s="484"/>
    </row>
    <row r="14" spans="1:16" ht="15" customHeight="1" thickBot="1">
      <c r="A14" s="599" t="s">
        <v>0</v>
      </c>
      <c r="B14" s="385" t="s">
        <v>1</v>
      </c>
      <c r="C14" s="618" t="s">
        <v>1688</v>
      </c>
      <c r="D14" s="599" t="s">
        <v>2</v>
      </c>
      <c r="E14" s="588" t="s">
        <v>3</v>
      </c>
      <c r="F14" s="594"/>
      <c r="G14" s="595"/>
      <c r="H14" s="602" t="s">
        <v>1358</v>
      </c>
      <c r="I14" s="603"/>
      <c r="J14" s="604" t="s">
        <v>4</v>
      </c>
      <c r="K14" s="588" t="s">
        <v>1358</v>
      </c>
      <c r="L14" s="589"/>
      <c r="M14" s="488"/>
      <c r="N14" s="488"/>
      <c r="O14" s="346"/>
      <c r="P14" s="346"/>
    </row>
    <row r="15" spans="1:16" ht="16.5" customHeight="1" thickBot="1">
      <c r="A15" s="600"/>
      <c r="B15" s="386" t="s">
        <v>5</v>
      </c>
      <c r="C15" s="619"/>
      <c r="D15" s="600"/>
      <c r="E15" s="387" t="s">
        <v>6</v>
      </c>
      <c r="F15" s="387" t="s">
        <v>7</v>
      </c>
      <c r="G15" s="387" t="s">
        <v>8</v>
      </c>
      <c r="H15" s="621" t="s">
        <v>9</v>
      </c>
      <c r="I15" s="621" t="s">
        <v>10</v>
      </c>
      <c r="J15" s="605"/>
      <c r="K15" s="590" t="s">
        <v>11</v>
      </c>
      <c r="L15" s="592" t="s">
        <v>12</v>
      </c>
      <c r="M15" s="489"/>
      <c r="N15" s="489"/>
      <c r="O15" s="346"/>
      <c r="P15" s="346"/>
    </row>
    <row r="16" spans="1:16" ht="16.5" customHeight="1" thickBot="1">
      <c r="A16" s="601"/>
      <c r="B16" s="388"/>
      <c r="C16" s="620"/>
      <c r="D16" s="601"/>
      <c r="E16" s="588" t="s">
        <v>13</v>
      </c>
      <c r="F16" s="594"/>
      <c r="G16" s="595"/>
      <c r="H16" s="622"/>
      <c r="I16" s="622"/>
      <c r="J16" s="606"/>
      <c r="K16" s="591"/>
      <c r="L16" s="593"/>
      <c r="M16" s="489"/>
      <c r="N16" s="489"/>
      <c r="O16" s="346"/>
      <c r="P16" s="346"/>
    </row>
    <row r="17" spans="1:16" ht="18.75" customHeight="1">
      <c r="A17" s="614" t="s">
        <v>1684</v>
      </c>
      <c r="B17" s="615"/>
      <c r="C17" s="615"/>
      <c r="D17" s="615"/>
      <c r="E17" s="615"/>
      <c r="F17" s="615"/>
      <c r="G17" s="615"/>
      <c r="H17" s="615"/>
      <c r="I17" s="615"/>
      <c r="J17" s="615"/>
      <c r="K17" s="615"/>
      <c r="L17" s="616"/>
      <c r="M17" s="490"/>
      <c r="N17" s="490"/>
    </row>
    <row r="18" spans="1:16" ht="16.5" customHeight="1">
      <c r="A18" s="348"/>
      <c r="B18" s="327"/>
      <c r="C18" s="374"/>
      <c r="D18" s="327"/>
      <c r="E18" s="327"/>
      <c r="F18" s="349"/>
      <c r="G18" s="349"/>
      <c r="H18" s="350"/>
      <c r="I18" s="351"/>
      <c r="J18" s="352"/>
      <c r="K18" s="353"/>
      <c r="L18" s="354"/>
      <c r="M18" s="491"/>
      <c r="N18" s="491"/>
    </row>
    <row r="19" spans="1:16" ht="18" customHeight="1">
      <c r="A19" s="348" t="s">
        <v>1694</v>
      </c>
      <c r="B19" s="355" t="s">
        <v>1686</v>
      </c>
      <c r="C19" s="377"/>
      <c r="D19" s="372"/>
      <c r="E19" s="356"/>
      <c r="F19" s="356"/>
      <c r="G19" s="356"/>
      <c r="H19" s="356"/>
      <c r="I19" s="357"/>
      <c r="J19" s="358"/>
      <c r="K19" s="353"/>
      <c r="L19" s="354"/>
      <c r="M19" s="491"/>
      <c r="N19" s="491"/>
    </row>
    <row r="20" spans="1:16" ht="18" customHeight="1">
      <c r="A20" s="443" t="s">
        <v>1685</v>
      </c>
      <c r="B20" s="444" t="s">
        <v>1736</v>
      </c>
      <c r="C20" s="445"/>
      <c r="D20" s="446"/>
      <c r="E20" s="447"/>
      <c r="F20" s="448"/>
      <c r="G20" s="448"/>
      <c r="H20" s="448"/>
      <c r="I20" s="449"/>
      <c r="J20" s="450"/>
      <c r="K20" s="451"/>
      <c r="L20" s="452"/>
      <c r="M20" s="492"/>
      <c r="N20" s="492"/>
    </row>
    <row r="21" spans="1:16" ht="18" customHeight="1">
      <c r="A21" s="348"/>
      <c r="B21" s="360"/>
      <c r="C21" s="376"/>
      <c r="D21" s="406"/>
      <c r="E21" s="407"/>
      <c r="F21" s="407"/>
      <c r="G21" s="352"/>
      <c r="H21" s="350"/>
      <c r="I21" s="351"/>
      <c r="J21" s="409"/>
      <c r="K21" s="353"/>
      <c r="L21" s="354"/>
      <c r="M21" s="491"/>
      <c r="N21" s="491"/>
    </row>
    <row r="22" spans="1:16" ht="18" customHeight="1">
      <c r="A22" s="348"/>
      <c r="B22" s="439"/>
      <c r="C22" s="376"/>
      <c r="D22" s="406"/>
      <c r="E22" s="407"/>
      <c r="F22" s="407"/>
      <c r="G22" s="352"/>
      <c r="H22" s="350"/>
      <c r="I22" s="351"/>
      <c r="J22" s="409"/>
      <c r="K22" s="353"/>
      <c r="L22" s="354"/>
      <c r="M22" s="491"/>
      <c r="N22" s="491"/>
    </row>
    <row r="23" spans="1:16" ht="18" customHeight="1">
      <c r="A23" s="348"/>
      <c r="B23" s="370" t="s">
        <v>1738</v>
      </c>
      <c r="C23" s="376">
        <v>1</v>
      </c>
      <c r="D23" s="371">
        <v>1</v>
      </c>
      <c r="E23" s="369">
        <v>46.85</v>
      </c>
      <c r="F23" s="356">
        <v>43.08</v>
      </c>
      <c r="G23" s="356">
        <v>0.2</v>
      </c>
      <c r="H23" s="356">
        <f>+D23*E23*F23*G23</f>
        <v>403.66</v>
      </c>
      <c r="I23" s="357"/>
      <c r="J23" s="358" t="s">
        <v>14</v>
      </c>
      <c r="K23" s="368">
        <f>H23*C23</f>
        <v>403.66</v>
      </c>
      <c r="L23" s="354"/>
      <c r="M23" s="491">
        <f>C23*D23*E23*F23*G23</f>
        <v>403.66</v>
      </c>
      <c r="N23" s="491"/>
    </row>
    <row r="24" spans="1:16" ht="18" customHeight="1">
      <c r="A24" s="348"/>
      <c r="B24" s="370" t="s">
        <v>96</v>
      </c>
      <c r="C24" s="376">
        <v>1</v>
      </c>
      <c r="D24" s="371">
        <v>1</v>
      </c>
      <c r="E24" s="369">
        <v>61.84</v>
      </c>
      <c r="F24" s="356">
        <v>43.08</v>
      </c>
      <c r="G24" s="356">
        <v>0.2</v>
      </c>
      <c r="H24" s="356">
        <f t="shared" ref="H24:H26" si="0">+D24*E24*F24*G24</f>
        <v>532.80999999999995</v>
      </c>
      <c r="I24" s="357"/>
      <c r="J24" s="358" t="s">
        <v>14</v>
      </c>
      <c r="K24" s="368">
        <f t="shared" ref="K24:K26" si="1">H24*C24</f>
        <v>532.80999999999995</v>
      </c>
      <c r="L24" s="354"/>
      <c r="M24" s="491">
        <f t="shared" ref="M24:M87" si="2">C24*D24*E24*F24*G24</f>
        <v>532.80999999999995</v>
      </c>
      <c r="N24" s="491"/>
    </row>
    <row r="25" spans="1:16" ht="18" customHeight="1">
      <c r="A25" s="348"/>
      <c r="B25" s="370"/>
      <c r="C25" s="376"/>
      <c r="D25" s="371"/>
      <c r="E25" s="369"/>
      <c r="F25" s="356"/>
      <c r="G25" s="356"/>
      <c r="H25" s="356"/>
      <c r="I25" s="357"/>
      <c r="J25" s="358"/>
      <c r="K25" s="368"/>
      <c r="L25" s="354"/>
      <c r="M25" s="491">
        <f t="shared" si="2"/>
        <v>0</v>
      </c>
      <c r="N25" s="491"/>
    </row>
    <row r="26" spans="1:16" ht="18" customHeight="1">
      <c r="A26" s="348"/>
      <c r="B26" s="370" t="s">
        <v>1739</v>
      </c>
      <c r="C26" s="376">
        <v>1</v>
      </c>
      <c r="D26" s="371">
        <v>1</v>
      </c>
      <c r="E26" s="369">
        <v>62.17</v>
      </c>
      <c r="F26" s="356">
        <v>57.5</v>
      </c>
      <c r="G26" s="356">
        <v>0.2</v>
      </c>
      <c r="H26" s="356">
        <f t="shared" si="0"/>
        <v>714.96</v>
      </c>
      <c r="I26" s="357"/>
      <c r="J26" s="358" t="s">
        <v>14</v>
      </c>
      <c r="K26" s="368">
        <f t="shared" si="1"/>
        <v>714.96</v>
      </c>
      <c r="L26" s="354"/>
      <c r="M26" s="491">
        <f t="shared" si="2"/>
        <v>714.96</v>
      </c>
      <c r="N26" s="491"/>
    </row>
    <row r="27" spans="1:16" ht="18" customHeight="1">
      <c r="A27" s="348"/>
      <c r="B27" s="370"/>
      <c r="C27" s="376"/>
      <c r="D27" s="371"/>
      <c r="E27" s="369"/>
      <c r="F27" s="356"/>
      <c r="G27" s="356"/>
      <c r="H27" s="356"/>
      <c r="I27" s="357"/>
      <c r="J27" s="358"/>
      <c r="K27" s="368"/>
      <c r="L27" s="354"/>
      <c r="M27" s="491"/>
      <c r="N27" s="491"/>
    </row>
    <row r="28" spans="1:16" ht="18" customHeight="1">
      <c r="A28" s="348"/>
      <c r="B28" s="370"/>
      <c r="C28" s="376"/>
      <c r="D28" s="371"/>
      <c r="E28" s="369"/>
      <c r="F28" s="356"/>
      <c r="G28" s="356"/>
      <c r="H28" s="356"/>
      <c r="I28" s="357"/>
      <c r="J28" s="358"/>
      <c r="K28" s="368"/>
      <c r="L28" s="354"/>
      <c r="M28" s="491"/>
      <c r="N28" s="491"/>
    </row>
    <row r="29" spans="1:16" ht="18" customHeight="1">
      <c r="A29" s="348"/>
      <c r="B29" s="440"/>
      <c r="C29" s="376"/>
      <c r="D29" s="371"/>
      <c r="E29" s="369"/>
      <c r="F29" s="356"/>
      <c r="G29" s="356"/>
      <c r="H29" s="437">
        <f>SUM(H23:H28)</f>
        <v>1651.43</v>
      </c>
      <c r="I29" s="351"/>
      <c r="J29" s="389" t="s">
        <v>14</v>
      </c>
      <c r="K29" s="452">
        <f>SUM(K23:K28)</f>
        <v>1651.43</v>
      </c>
      <c r="L29" s="354"/>
      <c r="M29" s="491">
        <f>SUM(M23:M28)</f>
        <v>1651.43</v>
      </c>
      <c r="N29" s="491">
        <f>SUM(H23:H26)</f>
        <v>1651.43</v>
      </c>
      <c r="O29" s="441" t="s">
        <v>1732</v>
      </c>
      <c r="P29" s="347">
        <f>+K29/0.2</f>
        <v>8257.15</v>
      </c>
    </row>
    <row r="30" spans="1:16" ht="18" customHeight="1">
      <c r="A30" s="348"/>
      <c r="B30" s="408"/>
      <c r="C30" s="374"/>
      <c r="D30" s="327"/>
      <c r="E30" s="327"/>
      <c r="F30" s="349"/>
      <c r="G30" s="361"/>
      <c r="H30" s="350"/>
      <c r="I30" s="351"/>
      <c r="J30" s="352"/>
      <c r="K30" s="353"/>
      <c r="L30" s="354"/>
      <c r="M30" s="491"/>
      <c r="N30" s="491"/>
    </row>
    <row r="31" spans="1:16" s="364" customFormat="1" ht="20.25" customHeight="1">
      <c r="A31" s="442"/>
      <c r="B31" s="611" t="s">
        <v>1696</v>
      </c>
      <c r="C31" s="612"/>
      <c r="D31" s="612"/>
      <c r="E31" s="612"/>
      <c r="F31" s="612"/>
      <c r="G31" s="612"/>
      <c r="H31" s="612"/>
      <c r="I31" s="613"/>
      <c r="J31" s="453" t="s">
        <v>14</v>
      </c>
      <c r="K31" s="454"/>
      <c r="L31" s="455">
        <f>+H29</f>
        <v>1651.43</v>
      </c>
      <c r="M31" s="491">
        <f t="shared" si="2"/>
        <v>0</v>
      </c>
      <c r="N31" s="491"/>
    </row>
    <row r="32" spans="1:16" ht="18" customHeight="1">
      <c r="A32" s="348"/>
      <c r="B32" s="362"/>
      <c r="C32" s="374"/>
      <c r="D32" s="327"/>
      <c r="E32" s="327"/>
      <c r="F32" s="349"/>
      <c r="G32" s="361"/>
      <c r="H32" s="350"/>
      <c r="I32" s="351"/>
      <c r="J32" s="352"/>
      <c r="K32" s="353"/>
      <c r="L32" s="354"/>
      <c r="M32" s="491">
        <f t="shared" si="2"/>
        <v>0</v>
      </c>
      <c r="N32" s="491"/>
    </row>
    <row r="33" spans="1:15" ht="18" customHeight="1">
      <c r="A33" s="443" t="s">
        <v>1698</v>
      </c>
      <c r="B33" s="444" t="s">
        <v>1735</v>
      </c>
      <c r="C33" s="445"/>
      <c r="D33" s="446"/>
      <c r="E33" s="447"/>
      <c r="F33" s="448"/>
      <c r="G33" s="448"/>
      <c r="H33" s="448"/>
      <c r="I33" s="449"/>
      <c r="J33" s="450"/>
      <c r="K33" s="451"/>
      <c r="L33" s="452"/>
      <c r="M33" s="491">
        <f t="shared" si="2"/>
        <v>0</v>
      </c>
      <c r="N33" s="491"/>
    </row>
    <row r="34" spans="1:15" ht="18" customHeight="1">
      <c r="A34" s="348"/>
      <c r="B34" s="477" t="s">
        <v>1842</v>
      </c>
      <c r="C34" s="374"/>
      <c r="D34" s="327"/>
      <c r="E34" s="327"/>
      <c r="F34" s="349"/>
      <c r="G34" s="361"/>
      <c r="H34" s="350"/>
      <c r="I34" s="351"/>
      <c r="J34" s="352"/>
      <c r="K34" s="353"/>
      <c r="L34" s="354"/>
      <c r="M34" s="491">
        <f t="shared" si="2"/>
        <v>0</v>
      </c>
      <c r="N34" s="491"/>
    </row>
    <row r="35" spans="1:15" ht="18" customHeight="1">
      <c r="A35" s="348"/>
      <c r="B35" s="439"/>
      <c r="C35" s="376"/>
      <c r="D35" s="406"/>
      <c r="E35" s="407"/>
      <c r="F35" s="407"/>
      <c r="G35" s="352"/>
      <c r="H35" s="350"/>
      <c r="I35" s="351"/>
      <c r="J35" s="409"/>
      <c r="K35" s="353"/>
      <c r="L35" s="354"/>
      <c r="M35" s="491">
        <f t="shared" si="2"/>
        <v>0</v>
      </c>
      <c r="N35" s="491"/>
    </row>
    <row r="36" spans="1:15" ht="18" customHeight="1">
      <c r="A36" s="348"/>
      <c r="B36" s="370" t="s">
        <v>1738</v>
      </c>
      <c r="C36" s="376">
        <v>1</v>
      </c>
      <c r="D36" s="371">
        <v>1</v>
      </c>
      <c r="E36" s="369">
        <v>46.85</v>
      </c>
      <c r="F36" s="356">
        <v>43.08</v>
      </c>
      <c r="G36" s="356">
        <v>0.2</v>
      </c>
      <c r="H36" s="356">
        <f>+D36*E36*F36*G36</f>
        <v>403.66</v>
      </c>
      <c r="I36" s="357"/>
      <c r="J36" s="358" t="s">
        <v>14</v>
      </c>
      <c r="K36" s="368">
        <f>H36*C36</f>
        <v>403.66</v>
      </c>
      <c r="L36" s="354"/>
      <c r="M36" s="491">
        <f t="shared" si="2"/>
        <v>403.66</v>
      </c>
      <c r="N36" s="491"/>
    </row>
    <row r="37" spans="1:15" ht="18" customHeight="1">
      <c r="A37" s="348"/>
      <c r="B37" s="370" t="s">
        <v>96</v>
      </c>
      <c r="C37" s="376">
        <v>1</v>
      </c>
      <c r="D37" s="371">
        <v>1</v>
      </c>
      <c r="E37" s="369">
        <v>61.84</v>
      </c>
      <c r="F37" s="356">
        <v>43.08</v>
      </c>
      <c r="G37" s="356">
        <v>0.2</v>
      </c>
      <c r="H37" s="356">
        <f t="shared" ref="H37" si="3">+D37*E37*F37*G37</f>
        <v>532.80999999999995</v>
      </c>
      <c r="I37" s="357"/>
      <c r="J37" s="358" t="s">
        <v>14</v>
      </c>
      <c r="K37" s="368">
        <f t="shared" ref="K37" si="4">H37*C37</f>
        <v>532.80999999999995</v>
      </c>
      <c r="L37" s="354"/>
      <c r="M37" s="491">
        <f t="shared" si="2"/>
        <v>532.80999999999995</v>
      </c>
      <c r="N37" s="491"/>
    </row>
    <row r="38" spans="1:15" ht="18" customHeight="1">
      <c r="A38" s="348"/>
      <c r="B38" s="370"/>
      <c r="C38" s="376"/>
      <c r="D38" s="371"/>
      <c r="E38" s="369"/>
      <c r="F38" s="356"/>
      <c r="G38" s="356"/>
      <c r="H38" s="356"/>
      <c r="I38" s="357"/>
      <c r="J38" s="358"/>
      <c r="K38" s="368"/>
      <c r="L38" s="354"/>
      <c r="M38" s="491">
        <f t="shared" si="2"/>
        <v>0</v>
      </c>
      <c r="N38" s="491"/>
      <c r="O38" s="347">
        <f>(1.85+0.4)/2</f>
        <v>1.125</v>
      </c>
    </row>
    <row r="39" spans="1:15" ht="18" customHeight="1">
      <c r="A39" s="348"/>
      <c r="B39" s="370" t="s">
        <v>1739</v>
      </c>
      <c r="C39" s="376">
        <v>1</v>
      </c>
      <c r="D39" s="371">
        <v>1</v>
      </c>
      <c r="E39" s="369">
        <v>62.17</v>
      </c>
      <c r="F39" s="356">
        <v>57.5</v>
      </c>
      <c r="G39" s="356">
        <v>0.2</v>
      </c>
      <c r="H39" s="356">
        <f t="shared" ref="H39" si="5">+D39*E39*F39*G39</f>
        <v>714.96</v>
      </c>
      <c r="I39" s="357"/>
      <c r="J39" s="358" t="s">
        <v>14</v>
      </c>
      <c r="K39" s="368">
        <f t="shared" ref="K39" si="6">H39*C39</f>
        <v>714.96</v>
      </c>
      <c r="L39" s="354"/>
      <c r="M39" s="491">
        <f t="shared" si="2"/>
        <v>714.96</v>
      </c>
      <c r="N39" s="491"/>
      <c r="O39" s="347">
        <f>(3.22+1.85)/2</f>
        <v>2.5350000000000001</v>
      </c>
    </row>
    <row r="40" spans="1:15" ht="18" customHeight="1">
      <c r="A40" s="348"/>
      <c r="B40" s="370"/>
      <c r="C40" s="376"/>
      <c r="D40" s="371"/>
      <c r="E40" s="369"/>
      <c r="F40" s="356"/>
      <c r="G40" s="356"/>
      <c r="H40" s="356"/>
      <c r="I40" s="357"/>
      <c r="J40" s="358"/>
      <c r="K40" s="368"/>
      <c r="L40" s="354"/>
      <c r="M40" s="491">
        <f t="shared" si="2"/>
        <v>0</v>
      </c>
      <c r="N40" s="491"/>
    </row>
    <row r="41" spans="1:15" ht="18" customHeight="1">
      <c r="A41" s="348"/>
      <c r="B41" s="477" t="s">
        <v>1735</v>
      </c>
      <c r="C41" s="376"/>
      <c r="D41" s="371"/>
      <c r="E41" s="369"/>
      <c r="F41" s="356"/>
      <c r="G41" s="356"/>
      <c r="H41" s="356"/>
      <c r="I41" s="357"/>
      <c r="J41" s="358"/>
      <c r="K41" s="368"/>
      <c r="L41" s="354"/>
      <c r="M41" s="491">
        <f t="shared" si="2"/>
        <v>0</v>
      </c>
      <c r="N41" s="491"/>
    </row>
    <row r="42" spans="1:15" ht="18" customHeight="1">
      <c r="A42" s="348"/>
      <c r="B42" s="370" t="s">
        <v>1738</v>
      </c>
      <c r="C42" s="376">
        <v>1</v>
      </c>
      <c r="D42" s="371">
        <v>1</v>
      </c>
      <c r="E42" s="369">
        <v>53.52</v>
      </c>
      <c r="F42" s="356">
        <v>18.97</v>
      </c>
      <c r="G42" s="356">
        <f>1.4/2</f>
        <v>0.7</v>
      </c>
      <c r="H42" s="356">
        <f>+D42*E42*F42*G42</f>
        <v>710.69</v>
      </c>
      <c r="I42" s="357"/>
      <c r="J42" s="358" t="s">
        <v>14</v>
      </c>
      <c r="K42" s="368">
        <f>H42*C42</f>
        <v>710.69</v>
      </c>
      <c r="L42" s="354"/>
      <c r="M42" s="491">
        <f t="shared" si="2"/>
        <v>710.69</v>
      </c>
      <c r="N42" s="491"/>
    </row>
    <row r="43" spans="1:15" ht="18" customHeight="1">
      <c r="A43" s="348"/>
      <c r="B43" s="370" t="s">
        <v>96</v>
      </c>
      <c r="C43" s="376">
        <v>1</v>
      </c>
      <c r="D43" s="371">
        <v>1</v>
      </c>
      <c r="E43" s="369">
        <v>38.61</v>
      </c>
      <c r="F43" s="356">
        <v>18</v>
      </c>
      <c r="G43" s="356">
        <f>1.3/2</f>
        <v>0.65</v>
      </c>
      <c r="H43" s="356">
        <f t="shared" ref="H43" si="7">+D43*E43*F43*G43</f>
        <v>451.74</v>
      </c>
      <c r="I43" s="357"/>
      <c r="J43" s="358" t="s">
        <v>14</v>
      </c>
      <c r="K43" s="368">
        <f t="shared" ref="K43" si="8">H43*C43</f>
        <v>451.74</v>
      </c>
      <c r="L43" s="354"/>
      <c r="M43" s="491">
        <f t="shared" si="2"/>
        <v>451.74</v>
      </c>
      <c r="N43" s="491"/>
    </row>
    <row r="44" spans="1:15" ht="18" customHeight="1">
      <c r="A44" s="348"/>
      <c r="B44" s="370"/>
      <c r="C44" s="376"/>
      <c r="D44" s="371"/>
      <c r="E44" s="369"/>
      <c r="F44" s="356"/>
      <c r="G44" s="356"/>
      <c r="H44" s="356"/>
      <c r="I44" s="357"/>
      <c r="J44" s="358"/>
      <c r="K44" s="368"/>
      <c r="L44" s="354"/>
      <c r="M44" s="491">
        <f t="shared" si="2"/>
        <v>0</v>
      </c>
      <c r="N44" s="491"/>
    </row>
    <row r="45" spans="1:15" ht="18" customHeight="1">
      <c r="A45" s="348"/>
      <c r="B45" s="370" t="s">
        <v>1739</v>
      </c>
      <c r="C45" s="376">
        <v>1</v>
      </c>
      <c r="D45" s="371">
        <v>1</v>
      </c>
      <c r="E45" s="369">
        <v>55</v>
      </c>
      <c r="F45" s="356">
        <f>52-18</f>
        <v>34</v>
      </c>
      <c r="G45" s="356">
        <f>((2.2+1.5)/2+0.4)/2</f>
        <v>1.1299999999999999</v>
      </c>
      <c r="H45" s="356">
        <f t="shared" ref="H45:H46" si="9">+D45*E45*F45*G45</f>
        <v>2113.1</v>
      </c>
      <c r="I45" s="357"/>
      <c r="J45" s="358" t="s">
        <v>14</v>
      </c>
      <c r="K45" s="368">
        <f t="shared" ref="K45:K46" si="10">H45*C45</f>
        <v>2113.1</v>
      </c>
      <c r="L45" s="354"/>
      <c r="M45" s="491">
        <f t="shared" si="2"/>
        <v>2113.1</v>
      </c>
      <c r="N45" s="491"/>
      <c r="O45" s="347">
        <f>(1.85+0.4)/2</f>
        <v>1.125</v>
      </c>
    </row>
    <row r="46" spans="1:15" ht="18" customHeight="1">
      <c r="A46" s="348"/>
      <c r="B46" s="370"/>
      <c r="C46" s="376">
        <v>1</v>
      </c>
      <c r="D46" s="371">
        <v>1</v>
      </c>
      <c r="E46" s="369">
        <v>57</v>
      </c>
      <c r="F46" s="356">
        <v>18</v>
      </c>
      <c r="G46" s="356">
        <f>((3.4+3.04)/2+1.85)/2</f>
        <v>2.54</v>
      </c>
      <c r="H46" s="356">
        <f t="shared" si="9"/>
        <v>2606.04</v>
      </c>
      <c r="I46" s="357"/>
      <c r="J46" s="358" t="s">
        <v>14</v>
      </c>
      <c r="K46" s="368">
        <f t="shared" si="10"/>
        <v>2606.04</v>
      </c>
      <c r="L46" s="354"/>
      <c r="M46" s="491">
        <f t="shared" si="2"/>
        <v>2606.04</v>
      </c>
      <c r="N46" s="491"/>
      <c r="O46" s="347">
        <f>(3.22+1.85)/2</f>
        <v>2.5350000000000001</v>
      </c>
    </row>
    <row r="47" spans="1:15" ht="18" customHeight="1">
      <c r="A47" s="348"/>
      <c r="B47" s="370"/>
      <c r="C47" s="376"/>
      <c r="D47" s="371"/>
      <c r="E47" s="369"/>
      <c r="F47" s="356"/>
      <c r="G47" s="356"/>
      <c r="H47" s="356"/>
      <c r="I47" s="357"/>
      <c r="J47" s="358"/>
      <c r="K47" s="368"/>
      <c r="L47" s="354"/>
      <c r="M47" s="491"/>
      <c r="N47" s="491"/>
    </row>
    <row r="48" spans="1:15" ht="18" customHeight="1">
      <c r="A48" s="348"/>
      <c r="B48" s="370"/>
      <c r="C48" s="376"/>
      <c r="D48" s="371"/>
      <c r="E48" s="369"/>
      <c r="F48" s="356"/>
      <c r="G48" s="356"/>
      <c r="H48" s="356"/>
      <c r="I48" s="357"/>
      <c r="J48" s="358"/>
      <c r="K48" s="368"/>
      <c r="L48" s="354"/>
      <c r="M48" s="491"/>
      <c r="N48" s="491"/>
    </row>
    <row r="49" spans="1:14" ht="18.75" customHeight="1">
      <c r="A49" s="362"/>
      <c r="B49" s="360"/>
      <c r="C49" s="375"/>
      <c r="D49" s="362"/>
      <c r="E49" s="363"/>
      <c r="F49" s="362"/>
      <c r="G49" s="356"/>
      <c r="H49" s="437">
        <f>SUM(H35:H48)</f>
        <v>7533</v>
      </c>
      <c r="I49" s="351"/>
      <c r="J49" s="389" t="s">
        <v>14</v>
      </c>
      <c r="K49" s="438">
        <f>SUM(K35:K48)</f>
        <v>7533</v>
      </c>
      <c r="L49" s="354"/>
      <c r="M49" s="491">
        <f>SUM(M36:M48)</f>
        <v>7533</v>
      </c>
      <c r="N49" s="491">
        <f>SUM(H36:H46)</f>
        <v>7533</v>
      </c>
    </row>
    <row r="50" spans="1:14" ht="15.75" customHeight="1">
      <c r="A50" s="348"/>
      <c r="B50" s="327"/>
      <c r="C50" s="374"/>
      <c r="D50" s="327"/>
      <c r="E50" s="327"/>
      <c r="F50" s="349"/>
      <c r="G50" s="349"/>
      <c r="H50" s="350"/>
      <c r="I50" s="351"/>
      <c r="J50" s="352"/>
      <c r="K50" s="353"/>
      <c r="L50" s="354"/>
      <c r="M50" s="491"/>
      <c r="N50" s="491"/>
    </row>
    <row r="51" spans="1:14" s="364" customFormat="1" ht="20.25" customHeight="1">
      <c r="A51" s="442"/>
      <c r="B51" s="611" t="s">
        <v>1699</v>
      </c>
      <c r="C51" s="612"/>
      <c r="D51" s="612"/>
      <c r="E51" s="612"/>
      <c r="F51" s="612"/>
      <c r="G51" s="612"/>
      <c r="H51" s="612"/>
      <c r="I51" s="613"/>
      <c r="J51" s="453" t="s">
        <v>14</v>
      </c>
      <c r="K51" s="454"/>
      <c r="L51" s="455">
        <f>+H49</f>
        <v>7533</v>
      </c>
      <c r="M51" s="491"/>
      <c r="N51" s="491"/>
    </row>
    <row r="52" spans="1:14" ht="18.75" customHeight="1">
      <c r="A52" s="348"/>
      <c r="B52" s="327"/>
      <c r="C52" s="374"/>
      <c r="D52" s="327"/>
      <c r="E52" s="327"/>
      <c r="F52" s="349"/>
      <c r="G52" s="349"/>
      <c r="H52" s="350"/>
      <c r="I52" s="351"/>
      <c r="J52" s="352"/>
      <c r="K52" s="353"/>
      <c r="L52" s="354"/>
      <c r="M52" s="491"/>
      <c r="N52" s="491"/>
    </row>
    <row r="53" spans="1:14" ht="18" customHeight="1">
      <c r="A53" s="443" t="s">
        <v>1734</v>
      </c>
      <c r="B53" s="444" t="s">
        <v>1733</v>
      </c>
      <c r="C53" s="445"/>
      <c r="D53" s="446"/>
      <c r="E53" s="447"/>
      <c r="F53" s="448"/>
      <c r="G53" s="448"/>
      <c r="H53" s="448"/>
      <c r="I53" s="449"/>
      <c r="J53" s="450"/>
      <c r="K53" s="451"/>
      <c r="L53" s="452"/>
      <c r="M53" s="491"/>
      <c r="N53" s="491"/>
    </row>
    <row r="54" spans="1:14" ht="15.75" customHeight="1">
      <c r="A54" s="348"/>
      <c r="B54" s="362"/>
      <c r="C54" s="374"/>
      <c r="D54" s="327"/>
      <c r="E54" s="327"/>
      <c r="F54" s="349"/>
      <c r="G54" s="361"/>
      <c r="H54" s="350"/>
      <c r="I54" s="351"/>
      <c r="J54" s="352"/>
      <c r="K54" s="353"/>
      <c r="L54" s="354"/>
      <c r="M54" s="491"/>
      <c r="N54" s="491"/>
    </row>
    <row r="55" spans="1:14" ht="18" customHeight="1">
      <c r="A55" s="348"/>
      <c r="B55" s="456" t="s">
        <v>1738</v>
      </c>
      <c r="C55" s="374"/>
      <c r="D55" s="327"/>
      <c r="E55" s="327"/>
      <c r="F55" s="349"/>
      <c r="G55" s="361"/>
      <c r="H55" s="350"/>
      <c r="I55" s="357"/>
      <c r="J55" s="353"/>
      <c r="K55" s="354"/>
      <c r="L55" s="347"/>
      <c r="M55" s="491"/>
      <c r="N55" s="491"/>
    </row>
    <row r="56" spans="1:14" ht="17.25">
      <c r="A56" s="348"/>
      <c r="B56" s="457" t="s">
        <v>1740</v>
      </c>
      <c r="C56" s="376">
        <v>1</v>
      </c>
      <c r="D56" s="371">
        <v>1</v>
      </c>
      <c r="E56" s="369">
        <f>2.4</f>
        <v>2.4</v>
      </c>
      <c r="F56" s="356">
        <v>2.4</v>
      </c>
      <c r="G56" s="356">
        <f>3.46-1.5</f>
        <v>1.96</v>
      </c>
      <c r="H56" s="356">
        <f>D56*E56*F56*G56</f>
        <v>11.29</v>
      </c>
      <c r="I56" s="357"/>
      <c r="J56" s="358" t="s">
        <v>14</v>
      </c>
      <c r="K56" s="368">
        <f t="shared" ref="K56:K120" si="11">H56*C56</f>
        <v>11.29</v>
      </c>
      <c r="L56" s="354"/>
      <c r="M56" s="491">
        <f t="shared" si="2"/>
        <v>11.29</v>
      </c>
      <c r="N56" s="491"/>
    </row>
    <row r="57" spans="1:14" ht="17.25">
      <c r="A57" s="348"/>
      <c r="B57" s="457" t="s">
        <v>1741</v>
      </c>
      <c r="C57" s="376">
        <v>1</v>
      </c>
      <c r="D57" s="371">
        <v>1</v>
      </c>
      <c r="E57" s="369">
        <v>2.6</v>
      </c>
      <c r="F57" s="356">
        <v>2.6</v>
      </c>
      <c r="G57" s="356">
        <f>3.48-1.43</f>
        <v>2.0499999999999998</v>
      </c>
      <c r="H57" s="356">
        <f t="shared" ref="H57:H120" si="12">D57*E57*F57*G57</f>
        <v>13.86</v>
      </c>
      <c r="I57" s="357"/>
      <c r="J57" s="358" t="s">
        <v>14</v>
      </c>
      <c r="K57" s="368">
        <f t="shared" si="11"/>
        <v>13.86</v>
      </c>
      <c r="L57" s="354"/>
      <c r="M57" s="491">
        <f t="shared" si="2"/>
        <v>13.86</v>
      </c>
      <c r="N57" s="491"/>
    </row>
    <row r="58" spans="1:14" ht="17.25">
      <c r="A58" s="348"/>
      <c r="B58" s="457" t="s">
        <v>1742</v>
      </c>
      <c r="C58" s="376">
        <v>1</v>
      </c>
      <c r="D58" s="371">
        <v>1</v>
      </c>
      <c r="E58" s="369">
        <v>5.2</v>
      </c>
      <c r="F58" s="356">
        <v>7.7</v>
      </c>
      <c r="G58" s="356">
        <f>3.42-1.64</f>
        <v>1.78</v>
      </c>
      <c r="H58" s="356">
        <f t="shared" si="12"/>
        <v>71.27</v>
      </c>
      <c r="I58" s="357"/>
      <c r="J58" s="358" t="s">
        <v>14</v>
      </c>
      <c r="K58" s="368">
        <f t="shared" si="11"/>
        <v>71.27</v>
      </c>
      <c r="L58" s="354"/>
      <c r="M58" s="491">
        <f t="shared" si="2"/>
        <v>71.27</v>
      </c>
      <c r="N58" s="491"/>
    </row>
    <row r="59" spans="1:14" ht="17.25">
      <c r="A59" s="348"/>
      <c r="B59" s="457" t="s">
        <v>1743</v>
      </c>
      <c r="C59" s="376">
        <v>1</v>
      </c>
      <c r="D59" s="371">
        <v>1</v>
      </c>
      <c r="E59" s="369">
        <v>2.6</v>
      </c>
      <c r="F59" s="356">
        <v>2.6</v>
      </c>
      <c r="G59" s="461">
        <f>3.54-1.72</f>
        <v>1.82</v>
      </c>
      <c r="H59" s="356">
        <f t="shared" si="12"/>
        <v>12.3</v>
      </c>
      <c r="I59" s="357"/>
      <c r="J59" s="358" t="s">
        <v>14</v>
      </c>
      <c r="K59" s="368">
        <f t="shared" si="11"/>
        <v>12.3</v>
      </c>
      <c r="L59" s="354"/>
      <c r="M59" s="491">
        <f t="shared" si="2"/>
        <v>12.3</v>
      </c>
      <c r="N59" s="491"/>
    </row>
    <row r="60" spans="1:14" ht="17.25">
      <c r="A60" s="348"/>
      <c r="B60" s="457" t="s">
        <v>1744</v>
      </c>
      <c r="C60" s="376">
        <v>1</v>
      </c>
      <c r="D60" s="371">
        <v>1</v>
      </c>
      <c r="E60" s="369">
        <v>2.9</v>
      </c>
      <c r="F60" s="356">
        <v>2.9</v>
      </c>
      <c r="G60" s="461">
        <f>3.41-1.58</f>
        <v>1.83</v>
      </c>
      <c r="H60" s="356">
        <f t="shared" si="12"/>
        <v>15.39</v>
      </c>
      <c r="I60" s="357"/>
      <c r="J60" s="358" t="s">
        <v>14</v>
      </c>
      <c r="K60" s="368">
        <f t="shared" si="11"/>
        <v>15.39</v>
      </c>
      <c r="L60" s="354"/>
      <c r="M60" s="491">
        <f t="shared" si="2"/>
        <v>15.39</v>
      </c>
      <c r="N60" s="491"/>
    </row>
    <row r="61" spans="1:14" ht="17.25">
      <c r="A61" s="348"/>
      <c r="B61" s="457" t="s">
        <v>1745</v>
      </c>
      <c r="C61" s="376">
        <v>1</v>
      </c>
      <c r="D61" s="371">
        <v>1</v>
      </c>
      <c r="E61" s="358">
        <v>2.4</v>
      </c>
      <c r="F61" s="358">
        <v>2.4</v>
      </c>
      <c r="G61" s="462">
        <f>3.36-1.5</f>
        <v>1.86</v>
      </c>
      <c r="H61" s="356">
        <f t="shared" si="12"/>
        <v>10.71</v>
      </c>
      <c r="I61" s="357"/>
      <c r="J61" s="358" t="s">
        <v>14</v>
      </c>
      <c r="K61" s="368">
        <f t="shared" si="11"/>
        <v>10.71</v>
      </c>
      <c r="L61" s="354"/>
      <c r="M61" s="491">
        <f t="shared" si="2"/>
        <v>10.71</v>
      </c>
      <c r="N61" s="491"/>
    </row>
    <row r="62" spans="1:14" ht="17.25">
      <c r="A62" s="348"/>
      <c r="B62" s="457" t="s">
        <v>1746</v>
      </c>
      <c r="C62" s="376">
        <v>1</v>
      </c>
      <c r="D62" s="371">
        <v>1</v>
      </c>
      <c r="E62" s="358">
        <v>5.2</v>
      </c>
      <c r="F62" s="358">
        <v>7.7</v>
      </c>
      <c r="G62" s="352">
        <f>3.61-1.69</f>
        <v>1.92</v>
      </c>
      <c r="H62" s="356">
        <f t="shared" si="12"/>
        <v>76.88</v>
      </c>
      <c r="I62" s="357"/>
      <c r="J62" s="358" t="s">
        <v>14</v>
      </c>
      <c r="K62" s="368">
        <f t="shared" si="11"/>
        <v>76.88</v>
      </c>
      <c r="L62" s="354"/>
      <c r="M62" s="491">
        <f t="shared" si="2"/>
        <v>76.88</v>
      </c>
      <c r="N62" s="491"/>
    </row>
    <row r="63" spans="1:14" ht="17.25">
      <c r="A63" s="348"/>
      <c r="B63" s="457" t="s">
        <v>1747</v>
      </c>
      <c r="C63" s="376">
        <v>1</v>
      </c>
      <c r="D63" s="371">
        <v>1</v>
      </c>
      <c r="E63" s="358">
        <v>4.2</v>
      </c>
      <c r="F63" s="358">
        <v>4.2</v>
      </c>
      <c r="G63" s="352">
        <f>3.34-1.76</f>
        <v>1.58</v>
      </c>
      <c r="H63" s="356">
        <f t="shared" si="12"/>
        <v>27.87</v>
      </c>
      <c r="I63" s="357"/>
      <c r="J63" s="358" t="s">
        <v>14</v>
      </c>
      <c r="K63" s="368">
        <f t="shared" si="11"/>
        <v>27.87</v>
      </c>
      <c r="L63" s="354"/>
      <c r="M63" s="491">
        <f t="shared" si="2"/>
        <v>27.87</v>
      </c>
      <c r="N63" s="491"/>
    </row>
    <row r="64" spans="1:14" ht="17.25">
      <c r="A64" s="348"/>
      <c r="B64" s="457" t="s">
        <v>1748</v>
      </c>
      <c r="C64" s="376">
        <v>1</v>
      </c>
      <c r="D64" s="371">
        <v>1</v>
      </c>
      <c r="E64" s="358">
        <v>1.8</v>
      </c>
      <c r="F64" s="358">
        <v>1.8</v>
      </c>
      <c r="G64" s="352">
        <f>3.45-1.76</f>
        <v>1.69</v>
      </c>
      <c r="H64" s="356">
        <f t="shared" si="12"/>
        <v>5.48</v>
      </c>
      <c r="I64" s="357"/>
      <c r="J64" s="358" t="s">
        <v>14</v>
      </c>
      <c r="K64" s="368">
        <f t="shared" si="11"/>
        <v>5.48</v>
      </c>
      <c r="L64" s="354"/>
      <c r="M64" s="491">
        <f t="shared" si="2"/>
        <v>5.48</v>
      </c>
      <c r="N64" s="491"/>
    </row>
    <row r="65" spans="1:14" ht="17.25">
      <c r="A65" s="348"/>
      <c r="B65" s="457" t="s">
        <v>1749</v>
      </c>
      <c r="C65" s="376">
        <v>1</v>
      </c>
      <c r="D65" s="371">
        <v>1</v>
      </c>
      <c r="E65" s="358">
        <v>3.5</v>
      </c>
      <c r="F65" s="358">
        <v>3.5</v>
      </c>
      <c r="G65" s="352">
        <f>3.62-1.66</f>
        <v>1.96</v>
      </c>
      <c r="H65" s="356">
        <f t="shared" si="12"/>
        <v>24.01</v>
      </c>
      <c r="I65" s="357"/>
      <c r="J65" s="358" t="s">
        <v>14</v>
      </c>
      <c r="K65" s="368">
        <f t="shared" si="11"/>
        <v>24.01</v>
      </c>
      <c r="L65" s="354"/>
      <c r="M65" s="491">
        <f t="shared" si="2"/>
        <v>24.01</v>
      </c>
      <c r="N65" s="491"/>
    </row>
    <row r="66" spans="1:14" ht="17.25">
      <c r="A66" s="348"/>
      <c r="B66" s="457" t="s">
        <v>1838</v>
      </c>
      <c r="C66" s="376">
        <v>1</v>
      </c>
      <c r="D66" s="371">
        <v>1</v>
      </c>
      <c r="E66" s="358">
        <v>2.2000000000000002</v>
      </c>
      <c r="F66" s="358">
        <v>2.2000000000000002</v>
      </c>
      <c r="G66" s="352">
        <f>3.47-1.8</f>
        <v>1.67</v>
      </c>
      <c r="H66" s="356">
        <f t="shared" si="12"/>
        <v>8.08</v>
      </c>
      <c r="I66" s="357"/>
      <c r="J66" s="358" t="s">
        <v>14</v>
      </c>
      <c r="K66" s="368">
        <f t="shared" ref="K66" si="13">H66*C66</f>
        <v>8.08</v>
      </c>
      <c r="L66" s="354"/>
      <c r="M66" s="491">
        <f t="shared" si="2"/>
        <v>8.08</v>
      </c>
      <c r="N66" s="491"/>
    </row>
    <row r="67" spans="1:14" ht="17.25">
      <c r="A67" s="348"/>
      <c r="B67" s="457" t="s">
        <v>1750</v>
      </c>
      <c r="C67" s="376">
        <v>1</v>
      </c>
      <c r="D67" s="371">
        <v>1</v>
      </c>
      <c r="E67" s="358">
        <v>3.4</v>
      </c>
      <c r="F67" s="358">
        <v>3.4</v>
      </c>
      <c r="G67" s="352">
        <f>3.62-1.58</f>
        <v>2.04</v>
      </c>
      <c r="H67" s="356">
        <f t="shared" si="12"/>
        <v>23.58</v>
      </c>
      <c r="I67" s="357"/>
      <c r="J67" s="358" t="s">
        <v>14</v>
      </c>
      <c r="K67" s="368">
        <f t="shared" si="11"/>
        <v>23.58</v>
      </c>
      <c r="L67" s="354"/>
      <c r="M67" s="491">
        <f t="shared" si="2"/>
        <v>23.58</v>
      </c>
      <c r="N67" s="491"/>
    </row>
    <row r="68" spans="1:14" ht="17.25">
      <c r="A68" s="348"/>
      <c r="B68" s="457" t="s">
        <v>1751</v>
      </c>
      <c r="C68" s="376">
        <v>1</v>
      </c>
      <c r="D68" s="371">
        <v>1</v>
      </c>
      <c r="E68" s="358">
        <v>3.5</v>
      </c>
      <c r="F68" s="358">
        <v>3.5</v>
      </c>
      <c r="G68" s="352">
        <f>3.47-1.69</f>
        <v>1.78</v>
      </c>
      <c r="H68" s="356">
        <f t="shared" si="12"/>
        <v>21.81</v>
      </c>
      <c r="I68" s="357"/>
      <c r="J68" s="358" t="s">
        <v>14</v>
      </c>
      <c r="K68" s="368">
        <f t="shared" si="11"/>
        <v>21.81</v>
      </c>
      <c r="L68" s="354"/>
      <c r="M68" s="491">
        <f t="shared" si="2"/>
        <v>21.81</v>
      </c>
      <c r="N68" s="491"/>
    </row>
    <row r="69" spans="1:14" ht="17.25">
      <c r="A69" s="348"/>
      <c r="B69" s="457" t="s">
        <v>1752</v>
      </c>
      <c r="C69" s="376">
        <v>1</v>
      </c>
      <c r="D69" s="371">
        <v>1</v>
      </c>
      <c r="E69" s="358">
        <v>3.5</v>
      </c>
      <c r="F69" s="358">
        <v>3.5</v>
      </c>
      <c r="G69" s="352">
        <f>3.5-1.8</f>
        <v>1.7</v>
      </c>
      <c r="H69" s="356">
        <f t="shared" si="12"/>
        <v>20.83</v>
      </c>
      <c r="I69" s="357"/>
      <c r="J69" s="358" t="s">
        <v>14</v>
      </c>
      <c r="K69" s="368">
        <f t="shared" si="11"/>
        <v>20.83</v>
      </c>
      <c r="L69" s="354"/>
      <c r="M69" s="491">
        <f t="shared" si="2"/>
        <v>20.83</v>
      </c>
      <c r="N69" s="491"/>
    </row>
    <row r="70" spans="1:14" ht="17.25">
      <c r="A70" s="348"/>
      <c r="B70" s="457" t="s">
        <v>1753</v>
      </c>
      <c r="C70" s="376">
        <v>1</v>
      </c>
      <c r="D70" s="371">
        <v>1</v>
      </c>
      <c r="E70" s="358">
        <v>2.9</v>
      </c>
      <c r="F70" s="358">
        <v>2.9</v>
      </c>
      <c r="G70" s="352">
        <f>3.52-1.72</f>
        <v>1.8</v>
      </c>
      <c r="H70" s="356">
        <f t="shared" si="12"/>
        <v>15.14</v>
      </c>
      <c r="I70" s="357"/>
      <c r="J70" s="358" t="s">
        <v>14</v>
      </c>
      <c r="K70" s="368">
        <f t="shared" si="11"/>
        <v>15.14</v>
      </c>
      <c r="L70" s="354"/>
      <c r="M70" s="491">
        <f t="shared" si="2"/>
        <v>15.14</v>
      </c>
      <c r="N70" s="491"/>
    </row>
    <row r="71" spans="1:14" ht="17.25">
      <c r="A71" s="348"/>
      <c r="B71" s="457" t="s">
        <v>1754</v>
      </c>
      <c r="C71" s="376">
        <v>1</v>
      </c>
      <c r="D71" s="371">
        <v>1</v>
      </c>
      <c r="E71" s="358">
        <v>3.4</v>
      </c>
      <c r="F71" s="358">
        <v>3.4</v>
      </c>
      <c r="G71" s="352">
        <f>3.55-1.72</f>
        <v>1.83</v>
      </c>
      <c r="H71" s="356">
        <f t="shared" si="12"/>
        <v>21.15</v>
      </c>
      <c r="I71" s="357"/>
      <c r="J71" s="358" t="s">
        <v>14</v>
      </c>
      <c r="K71" s="368">
        <f t="shared" si="11"/>
        <v>21.15</v>
      </c>
      <c r="L71" s="354"/>
      <c r="M71" s="491">
        <f t="shared" si="2"/>
        <v>21.15</v>
      </c>
      <c r="N71" s="491"/>
    </row>
    <row r="72" spans="1:14" ht="17.25">
      <c r="A72" s="348"/>
      <c r="B72" s="457" t="s">
        <v>1755</v>
      </c>
      <c r="C72" s="376">
        <v>1</v>
      </c>
      <c r="D72" s="371">
        <v>1</v>
      </c>
      <c r="E72" s="358">
        <v>2.6</v>
      </c>
      <c r="F72" s="358">
        <v>2.6</v>
      </c>
      <c r="G72" s="352">
        <f>3.55-1.72</f>
        <v>1.83</v>
      </c>
      <c r="H72" s="356">
        <f t="shared" si="12"/>
        <v>12.37</v>
      </c>
      <c r="I72" s="357"/>
      <c r="J72" s="358" t="s">
        <v>14</v>
      </c>
      <c r="K72" s="368">
        <f t="shared" si="11"/>
        <v>12.37</v>
      </c>
      <c r="L72" s="354"/>
      <c r="M72" s="491">
        <f t="shared" si="2"/>
        <v>12.37</v>
      </c>
      <c r="N72" s="491"/>
    </row>
    <row r="73" spans="1:14" ht="17.25">
      <c r="A73" s="348"/>
      <c r="B73" s="457" t="s">
        <v>1756</v>
      </c>
      <c r="C73" s="376">
        <v>1</v>
      </c>
      <c r="D73" s="371">
        <v>1</v>
      </c>
      <c r="E73" s="358">
        <v>1.6</v>
      </c>
      <c r="F73" s="358">
        <v>1.6</v>
      </c>
      <c r="G73" s="352">
        <f>3.55-1.8</f>
        <v>1.75</v>
      </c>
      <c r="H73" s="356">
        <f t="shared" si="12"/>
        <v>4.4800000000000004</v>
      </c>
      <c r="I73" s="357"/>
      <c r="J73" s="358" t="s">
        <v>14</v>
      </c>
      <c r="K73" s="368">
        <f t="shared" si="11"/>
        <v>4.4800000000000004</v>
      </c>
      <c r="L73" s="354"/>
      <c r="M73" s="491">
        <f t="shared" si="2"/>
        <v>4.4800000000000004</v>
      </c>
      <c r="N73" s="491"/>
    </row>
    <row r="74" spans="1:14" ht="17.25">
      <c r="A74" s="348"/>
      <c r="B74" s="457" t="s">
        <v>1757</v>
      </c>
      <c r="C74" s="376">
        <v>1</v>
      </c>
      <c r="D74" s="371">
        <v>1</v>
      </c>
      <c r="E74" s="358">
        <v>1.4</v>
      </c>
      <c r="F74" s="358">
        <v>1.4</v>
      </c>
      <c r="G74" s="352">
        <f>3.55-1.8</f>
        <v>1.75</v>
      </c>
      <c r="H74" s="356">
        <f t="shared" si="12"/>
        <v>3.43</v>
      </c>
      <c r="I74" s="357"/>
      <c r="J74" s="358" t="s">
        <v>14</v>
      </c>
      <c r="K74" s="368">
        <f t="shared" si="11"/>
        <v>3.43</v>
      </c>
      <c r="L74" s="354"/>
      <c r="M74" s="491">
        <f t="shared" si="2"/>
        <v>3.43</v>
      </c>
      <c r="N74" s="491"/>
    </row>
    <row r="75" spans="1:14" ht="17.25">
      <c r="A75" s="348"/>
      <c r="B75" s="457" t="s">
        <v>1758</v>
      </c>
      <c r="C75" s="376">
        <v>1</v>
      </c>
      <c r="D75" s="371">
        <v>1</v>
      </c>
      <c r="E75" s="358">
        <v>2.4</v>
      </c>
      <c r="F75" s="358">
        <v>2.4</v>
      </c>
      <c r="G75" s="352">
        <f>3.76-2</f>
        <v>1.76</v>
      </c>
      <c r="H75" s="356">
        <f t="shared" si="12"/>
        <v>10.14</v>
      </c>
      <c r="I75" s="357"/>
      <c r="J75" s="358" t="s">
        <v>14</v>
      </c>
      <c r="K75" s="368">
        <f t="shared" si="11"/>
        <v>10.14</v>
      </c>
      <c r="L75" s="354"/>
      <c r="M75" s="491">
        <f t="shared" si="2"/>
        <v>10.14</v>
      </c>
      <c r="N75" s="491"/>
    </row>
    <row r="76" spans="1:14" ht="17.25">
      <c r="A76" s="348"/>
      <c r="B76" s="457" t="s">
        <v>1759</v>
      </c>
      <c r="C76" s="376">
        <v>1</v>
      </c>
      <c r="D76" s="371">
        <v>1</v>
      </c>
      <c r="E76" s="358">
        <v>2.6</v>
      </c>
      <c r="F76" s="358">
        <v>2.6</v>
      </c>
      <c r="G76" s="352">
        <f>3.37-2.17</f>
        <v>1.2</v>
      </c>
      <c r="H76" s="356">
        <f t="shared" si="12"/>
        <v>8.11</v>
      </c>
      <c r="I76" s="357"/>
      <c r="J76" s="358" t="s">
        <v>14</v>
      </c>
      <c r="K76" s="368">
        <f t="shared" si="11"/>
        <v>8.11</v>
      </c>
      <c r="L76" s="354"/>
      <c r="M76" s="491">
        <f t="shared" si="2"/>
        <v>8.11</v>
      </c>
      <c r="N76" s="491"/>
    </row>
    <row r="77" spans="1:14" ht="17.25">
      <c r="A77" s="348"/>
      <c r="B77" s="457" t="s">
        <v>1760</v>
      </c>
      <c r="C77" s="376">
        <v>1</v>
      </c>
      <c r="D77" s="371">
        <v>1</v>
      </c>
      <c r="E77" s="358">
        <v>1.6</v>
      </c>
      <c r="F77" s="358">
        <v>1.6</v>
      </c>
      <c r="G77" s="352">
        <f>3.29-2.9</f>
        <v>0.39</v>
      </c>
      <c r="H77" s="356">
        <f t="shared" si="12"/>
        <v>1</v>
      </c>
      <c r="I77" s="357"/>
      <c r="J77" s="358" t="s">
        <v>14</v>
      </c>
      <c r="K77" s="368">
        <f t="shared" si="11"/>
        <v>1</v>
      </c>
      <c r="L77" s="354"/>
      <c r="M77" s="491">
        <f t="shared" si="2"/>
        <v>1</v>
      </c>
      <c r="N77" s="491"/>
    </row>
    <row r="78" spans="1:14" ht="17.25">
      <c r="A78" s="348"/>
      <c r="B78" s="457" t="s">
        <v>1761</v>
      </c>
      <c r="C78" s="376">
        <v>1</v>
      </c>
      <c r="D78" s="371">
        <v>1</v>
      </c>
      <c r="E78" s="358">
        <v>2.4</v>
      </c>
      <c r="F78" s="358">
        <v>2.4</v>
      </c>
      <c r="G78" s="352">
        <f>3.77-2</f>
        <v>1.77</v>
      </c>
      <c r="H78" s="356">
        <f t="shared" si="12"/>
        <v>10.199999999999999</v>
      </c>
      <c r="I78" s="357"/>
      <c r="J78" s="358" t="s">
        <v>14</v>
      </c>
      <c r="K78" s="368">
        <f t="shared" si="11"/>
        <v>10.199999999999999</v>
      </c>
      <c r="L78" s="354"/>
      <c r="M78" s="491">
        <f t="shared" si="2"/>
        <v>10.199999999999999</v>
      </c>
      <c r="N78" s="491"/>
    </row>
    <row r="79" spans="1:14" ht="17.25">
      <c r="A79" s="348"/>
      <c r="B79" s="457" t="s">
        <v>1762</v>
      </c>
      <c r="C79" s="376">
        <v>1</v>
      </c>
      <c r="D79" s="371">
        <v>1</v>
      </c>
      <c r="E79" s="358">
        <v>2.6</v>
      </c>
      <c r="F79" s="358">
        <v>2.6</v>
      </c>
      <c r="G79" s="352">
        <f>3.32-2.17</f>
        <v>1.1499999999999999</v>
      </c>
      <c r="H79" s="356">
        <f t="shared" si="12"/>
        <v>7.77</v>
      </c>
      <c r="I79" s="357"/>
      <c r="J79" s="358" t="s">
        <v>14</v>
      </c>
      <c r="K79" s="368">
        <f t="shared" si="11"/>
        <v>7.77</v>
      </c>
      <c r="L79" s="354"/>
      <c r="M79" s="491">
        <f t="shared" si="2"/>
        <v>7.77</v>
      </c>
      <c r="N79" s="491"/>
    </row>
    <row r="80" spans="1:14" ht="17.25">
      <c r="A80" s="348"/>
      <c r="B80" s="457" t="s">
        <v>1763</v>
      </c>
      <c r="C80" s="376">
        <v>1</v>
      </c>
      <c r="D80" s="371">
        <v>1</v>
      </c>
      <c r="E80" s="358">
        <v>2</v>
      </c>
      <c r="F80" s="358">
        <v>2</v>
      </c>
      <c r="G80" s="352">
        <f>3.83-2.4</f>
        <v>1.43</v>
      </c>
      <c r="H80" s="356">
        <f t="shared" si="12"/>
        <v>5.72</v>
      </c>
      <c r="I80" s="357"/>
      <c r="J80" s="358" t="s">
        <v>14</v>
      </c>
      <c r="K80" s="368">
        <f t="shared" si="11"/>
        <v>5.72</v>
      </c>
      <c r="L80" s="354"/>
      <c r="M80" s="491">
        <f t="shared" si="2"/>
        <v>5.72</v>
      </c>
      <c r="N80" s="491"/>
    </row>
    <row r="81" spans="1:14" ht="17.25">
      <c r="A81" s="348"/>
      <c r="B81" s="457" t="s">
        <v>1764</v>
      </c>
      <c r="C81" s="376">
        <v>1</v>
      </c>
      <c r="D81" s="371">
        <v>1</v>
      </c>
      <c r="E81" s="358">
        <v>1.4</v>
      </c>
      <c r="F81" s="358">
        <v>1.4</v>
      </c>
      <c r="G81" s="352">
        <f>3.42-2.9</f>
        <v>0.52</v>
      </c>
      <c r="H81" s="356">
        <f t="shared" si="12"/>
        <v>1.02</v>
      </c>
      <c r="I81" s="357"/>
      <c r="J81" s="358" t="s">
        <v>14</v>
      </c>
      <c r="K81" s="368">
        <f t="shared" si="11"/>
        <v>1.02</v>
      </c>
      <c r="L81" s="354"/>
      <c r="M81" s="491">
        <f t="shared" si="2"/>
        <v>1.02</v>
      </c>
      <c r="N81" s="491"/>
    </row>
    <row r="82" spans="1:14" ht="17.25">
      <c r="A82" s="348"/>
      <c r="B82" s="457" t="s">
        <v>1765</v>
      </c>
      <c r="C82" s="376">
        <v>1</v>
      </c>
      <c r="D82" s="371">
        <v>1</v>
      </c>
      <c r="E82" s="358">
        <v>4.2</v>
      </c>
      <c r="F82" s="358">
        <v>4.2</v>
      </c>
      <c r="G82" s="352">
        <f>3.4-2.43</f>
        <v>0.97</v>
      </c>
      <c r="H82" s="356">
        <f t="shared" si="12"/>
        <v>17.11</v>
      </c>
      <c r="I82" s="357"/>
      <c r="J82" s="358" t="s">
        <v>14</v>
      </c>
      <c r="K82" s="368">
        <f t="shared" si="11"/>
        <v>17.11</v>
      </c>
      <c r="L82" s="354"/>
      <c r="M82" s="491">
        <f t="shared" si="2"/>
        <v>17.11</v>
      </c>
      <c r="N82" s="491"/>
    </row>
    <row r="83" spans="1:14" ht="17.25">
      <c r="A83" s="348"/>
      <c r="B83" s="457" t="s">
        <v>1766</v>
      </c>
      <c r="C83" s="376">
        <v>1</v>
      </c>
      <c r="D83" s="371">
        <v>1</v>
      </c>
      <c r="E83" s="358">
        <v>3.5</v>
      </c>
      <c r="F83" s="358">
        <v>3.5</v>
      </c>
      <c r="G83" s="352">
        <f>3.53-2.43</f>
        <v>1.1000000000000001</v>
      </c>
      <c r="H83" s="356">
        <f t="shared" si="12"/>
        <v>13.48</v>
      </c>
      <c r="I83" s="357"/>
      <c r="J83" s="358" t="s">
        <v>14</v>
      </c>
      <c r="K83" s="368">
        <f t="shared" si="11"/>
        <v>13.48</v>
      </c>
      <c r="L83" s="354"/>
      <c r="M83" s="491">
        <f t="shared" si="2"/>
        <v>13.48</v>
      </c>
      <c r="N83" s="491"/>
    </row>
    <row r="84" spans="1:14" ht="17.25">
      <c r="A84" s="348"/>
      <c r="B84" s="457" t="s">
        <v>1767</v>
      </c>
      <c r="C84" s="376">
        <v>1</v>
      </c>
      <c r="D84" s="371">
        <v>1</v>
      </c>
      <c r="E84" s="358">
        <v>2</v>
      </c>
      <c r="F84" s="358">
        <v>2</v>
      </c>
      <c r="G84" s="352">
        <f>3.28-2.1</f>
        <v>1.18</v>
      </c>
      <c r="H84" s="356">
        <f t="shared" si="12"/>
        <v>4.72</v>
      </c>
      <c r="I84" s="357"/>
      <c r="J84" s="358" t="s">
        <v>14</v>
      </c>
      <c r="K84" s="368">
        <f t="shared" si="11"/>
        <v>4.72</v>
      </c>
      <c r="L84" s="354"/>
      <c r="M84" s="491">
        <f t="shared" si="2"/>
        <v>4.72</v>
      </c>
      <c r="N84" s="491"/>
    </row>
    <row r="85" spans="1:14" ht="17.25">
      <c r="A85" s="348"/>
      <c r="B85" s="457" t="s">
        <v>1768</v>
      </c>
      <c r="C85" s="376">
        <v>1</v>
      </c>
      <c r="D85" s="371">
        <v>1</v>
      </c>
      <c r="E85" s="358">
        <v>2.2000000000000002</v>
      </c>
      <c r="F85" s="358">
        <v>2.2000000000000002</v>
      </c>
      <c r="G85" s="352">
        <f>3.28-2.1</f>
        <v>1.18</v>
      </c>
      <c r="H85" s="356">
        <f t="shared" si="12"/>
        <v>5.71</v>
      </c>
      <c r="I85" s="357"/>
      <c r="J85" s="358" t="s">
        <v>14</v>
      </c>
      <c r="K85" s="368">
        <f t="shared" si="11"/>
        <v>5.71</v>
      </c>
      <c r="L85" s="354"/>
      <c r="M85" s="491">
        <f t="shared" si="2"/>
        <v>5.71</v>
      </c>
      <c r="N85" s="491"/>
    </row>
    <row r="86" spans="1:14" ht="17.25">
      <c r="A86" s="348"/>
      <c r="B86" s="457" t="s">
        <v>1769</v>
      </c>
      <c r="C86" s="376">
        <v>1</v>
      </c>
      <c r="D86" s="371">
        <v>1</v>
      </c>
      <c r="E86" s="358">
        <v>5.2</v>
      </c>
      <c r="F86" s="358">
        <v>7.7</v>
      </c>
      <c r="G86" s="352">
        <f>3.26-2.26</f>
        <v>1</v>
      </c>
      <c r="H86" s="356">
        <f t="shared" si="12"/>
        <v>40.04</v>
      </c>
      <c r="I86" s="357"/>
      <c r="J86" s="358" t="s">
        <v>14</v>
      </c>
      <c r="K86" s="368">
        <f t="shared" si="11"/>
        <v>40.04</v>
      </c>
      <c r="L86" s="354"/>
      <c r="M86" s="491">
        <f t="shared" si="2"/>
        <v>40.04</v>
      </c>
      <c r="N86" s="491"/>
    </row>
    <row r="87" spans="1:14" ht="17.25">
      <c r="A87" s="348"/>
      <c r="B87" s="457" t="s">
        <v>1770</v>
      </c>
      <c r="C87" s="376">
        <v>1</v>
      </c>
      <c r="D87" s="371">
        <v>1</v>
      </c>
      <c r="E87" s="358">
        <v>3</v>
      </c>
      <c r="F87" s="358">
        <v>3</v>
      </c>
      <c r="G87" s="358">
        <f>3.18-1.78</f>
        <v>1.4</v>
      </c>
      <c r="H87" s="356">
        <f t="shared" si="12"/>
        <v>12.6</v>
      </c>
      <c r="I87" s="357"/>
      <c r="J87" s="358" t="s">
        <v>14</v>
      </c>
      <c r="K87" s="368">
        <f t="shared" si="11"/>
        <v>12.6</v>
      </c>
      <c r="L87" s="354"/>
      <c r="M87" s="491">
        <f t="shared" si="2"/>
        <v>12.6</v>
      </c>
      <c r="N87" s="491"/>
    </row>
    <row r="88" spans="1:14" ht="17.25">
      <c r="A88" s="348"/>
      <c r="B88" s="457" t="s">
        <v>1771</v>
      </c>
      <c r="C88" s="376">
        <v>1</v>
      </c>
      <c r="D88" s="371">
        <v>1</v>
      </c>
      <c r="E88" s="358">
        <v>3.4</v>
      </c>
      <c r="F88" s="358">
        <v>3.4</v>
      </c>
      <c r="G88" s="358">
        <f>3.18-1.78</f>
        <v>1.4</v>
      </c>
      <c r="H88" s="356">
        <f t="shared" si="12"/>
        <v>16.18</v>
      </c>
      <c r="I88" s="357"/>
      <c r="J88" s="358" t="s">
        <v>14</v>
      </c>
      <c r="K88" s="368">
        <f t="shared" si="11"/>
        <v>16.18</v>
      </c>
      <c r="L88" s="354"/>
      <c r="M88" s="491">
        <f t="shared" ref="M88:M151" si="14">C88*D88*E88*F88*G88</f>
        <v>16.18</v>
      </c>
      <c r="N88" s="491"/>
    </row>
    <row r="89" spans="1:14" ht="17.25">
      <c r="A89" s="348"/>
      <c r="B89" s="457" t="s">
        <v>1772</v>
      </c>
      <c r="C89" s="376">
        <v>1</v>
      </c>
      <c r="D89" s="371">
        <v>1</v>
      </c>
      <c r="E89" s="358">
        <v>3</v>
      </c>
      <c r="F89" s="358">
        <v>3</v>
      </c>
      <c r="G89" s="358">
        <f>3.28-1.87</f>
        <v>1.41</v>
      </c>
      <c r="H89" s="356">
        <f t="shared" si="12"/>
        <v>12.69</v>
      </c>
      <c r="I89" s="357"/>
      <c r="J89" s="358" t="s">
        <v>14</v>
      </c>
      <c r="K89" s="368">
        <f t="shared" si="11"/>
        <v>12.69</v>
      </c>
      <c r="L89" s="354"/>
      <c r="M89" s="491">
        <f t="shared" si="14"/>
        <v>12.69</v>
      </c>
      <c r="N89" s="491"/>
    </row>
    <row r="90" spans="1:14" ht="17.25">
      <c r="A90" s="348"/>
      <c r="B90" s="457" t="s">
        <v>1773</v>
      </c>
      <c r="C90" s="376">
        <v>1</v>
      </c>
      <c r="D90" s="371">
        <v>1</v>
      </c>
      <c r="E90" s="358">
        <v>2.4</v>
      </c>
      <c r="F90" s="358">
        <v>2.4</v>
      </c>
      <c r="G90" s="358">
        <f>3.3-2.2</f>
        <v>1.1000000000000001</v>
      </c>
      <c r="H90" s="356">
        <f t="shared" si="12"/>
        <v>6.34</v>
      </c>
      <c r="I90" s="357"/>
      <c r="J90" s="358" t="s">
        <v>14</v>
      </c>
      <c r="K90" s="368">
        <f t="shared" si="11"/>
        <v>6.34</v>
      </c>
      <c r="L90" s="354"/>
      <c r="M90" s="491">
        <f t="shared" si="14"/>
        <v>6.34</v>
      </c>
      <c r="N90" s="491"/>
    </row>
    <row r="91" spans="1:14" ht="17.25">
      <c r="A91" s="348"/>
      <c r="B91" s="457" t="s">
        <v>1774</v>
      </c>
      <c r="C91" s="376">
        <v>1</v>
      </c>
      <c r="D91" s="371">
        <v>1</v>
      </c>
      <c r="E91" s="358">
        <v>5.2</v>
      </c>
      <c r="F91" s="358">
        <v>7.7</v>
      </c>
      <c r="G91" s="358">
        <f>3.3-2.2</f>
        <v>1.1000000000000001</v>
      </c>
      <c r="H91" s="356">
        <f t="shared" si="12"/>
        <v>44.04</v>
      </c>
      <c r="I91" s="357"/>
      <c r="J91" s="358" t="s">
        <v>14</v>
      </c>
      <c r="K91" s="368">
        <f t="shared" si="11"/>
        <v>44.04</v>
      </c>
      <c r="L91" s="354"/>
      <c r="M91" s="491">
        <f t="shared" si="14"/>
        <v>44.04</v>
      </c>
      <c r="N91" s="491"/>
    </row>
    <row r="92" spans="1:14" ht="17.25">
      <c r="A92" s="348"/>
      <c r="B92" s="457" t="s">
        <v>1775</v>
      </c>
      <c r="C92" s="376">
        <v>1</v>
      </c>
      <c r="D92" s="371">
        <v>1</v>
      </c>
      <c r="E92" s="358">
        <v>2.8</v>
      </c>
      <c r="F92" s="358">
        <v>2.8</v>
      </c>
      <c r="G92" s="358">
        <f>3.42-2.15</f>
        <v>1.27</v>
      </c>
      <c r="H92" s="356">
        <f t="shared" si="12"/>
        <v>9.9600000000000009</v>
      </c>
      <c r="I92" s="357"/>
      <c r="J92" s="358" t="s">
        <v>14</v>
      </c>
      <c r="K92" s="368">
        <f t="shared" si="11"/>
        <v>9.9600000000000009</v>
      </c>
      <c r="L92" s="354"/>
      <c r="M92" s="491">
        <f t="shared" si="14"/>
        <v>9.9600000000000009</v>
      </c>
      <c r="N92" s="491"/>
    </row>
    <row r="93" spans="1:14" ht="17.25">
      <c r="A93" s="348"/>
      <c r="B93" s="457" t="s">
        <v>1776</v>
      </c>
      <c r="C93" s="376">
        <v>1</v>
      </c>
      <c r="D93" s="371">
        <v>1</v>
      </c>
      <c r="E93" s="358">
        <v>2</v>
      </c>
      <c r="F93" s="358">
        <v>2</v>
      </c>
      <c r="G93" s="358">
        <f>3.27-2.08</f>
        <v>1.19</v>
      </c>
      <c r="H93" s="356">
        <f t="shared" si="12"/>
        <v>4.76</v>
      </c>
      <c r="I93" s="357"/>
      <c r="J93" s="358" t="s">
        <v>14</v>
      </c>
      <c r="K93" s="368">
        <f t="shared" si="11"/>
        <v>4.76</v>
      </c>
      <c r="L93" s="354"/>
      <c r="M93" s="491">
        <f t="shared" si="14"/>
        <v>4.76</v>
      </c>
      <c r="N93" s="491"/>
    </row>
    <row r="94" spans="1:14" ht="17.25">
      <c r="A94" s="348"/>
      <c r="B94" s="457" t="s">
        <v>1777</v>
      </c>
      <c r="C94" s="376">
        <v>1</v>
      </c>
      <c r="D94" s="371">
        <v>1</v>
      </c>
      <c r="E94" s="358">
        <v>2</v>
      </c>
      <c r="F94" s="358">
        <v>2</v>
      </c>
      <c r="G94" s="358">
        <f>3.27-2.08</f>
        <v>1.19</v>
      </c>
      <c r="H94" s="356">
        <f t="shared" si="12"/>
        <v>4.76</v>
      </c>
      <c r="I94" s="357"/>
      <c r="J94" s="358" t="s">
        <v>14</v>
      </c>
      <c r="K94" s="368">
        <f t="shared" si="11"/>
        <v>4.76</v>
      </c>
      <c r="L94" s="354"/>
      <c r="M94" s="491">
        <f t="shared" si="14"/>
        <v>4.76</v>
      </c>
      <c r="N94" s="491"/>
    </row>
    <row r="95" spans="1:14" ht="17.25">
      <c r="A95" s="348"/>
      <c r="B95" s="457" t="s">
        <v>1778</v>
      </c>
      <c r="C95" s="376">
        <v>1</v>
      </c>
      <c r="D95" s="371">
        <v>1</v>
      </c>
      <c r="E95" s="358">
        <v>2.8</v>
      </c>
      <c r="F95" s="358">
        <v>2.8</v>
      </c>
      <c r="G95" s="358">
        <f>3.6-2.2</f>
        <v>1.4</v>
      </c>
      <c r="H95" s="356">
        <f t="shared" si="12"/>
        <v>10.98</v>
      </c>
      <c r="I95" s="357"/>
      <c r="J95" s="358" t="s">
        <v>14</v>
      </c>
      <c r="K95" s="368">
        <f t="shared" si="11"/>
        <v>10.98</v>
      </c>
      <c r="L95" s="354"/>
      <c r="M95" s="491">
        <f t="shared" si="14"/>
        <v>10.98</v>
      </c>
      <c r="N95" s="491"/>
    </row>
    <row r="96" spans="1:14" ht="17.25">
      <c r="A96" s="348"/>
      <c r="B96" s="457" t="s">
        <v>1779</v>
      </c>
      <c r="C96" s="376">
        <v>1</v>
      </c>
      <c r="D96" s="371">
        <v>1</v>
      </c>
      <c r="E96" s="358">
        <v>2.2000000000000002</v>
      </c>
      <c r="F96" s="358">
        <v>2.2000000000000002</v>
      </c>
      <c r="G96" s="358">
        <f>3.42-2.15</f>
        <v>1.27</v>
      </c>
      <c r="H96" s="356">
        <f t="shared" si="12"/>
        <v>6.15</v>
      </c>
      <c r="I96" s="357"/>
      <c r="J96" s="358" t="s">
        <v>14</v>
      </c>
      <c r="K96" s="368">
        <f t="shared" si="11"/>
        <v>6.15</v>
      </c>
      <c r="L96" s="354"/>
      <c r="M96" s="491">
        <f t="shared" si="14"/>
        <v>6.15</v>
      </c>
      <c r="N96" s="491"/>
    </row>
    <row r="97" spans="1:14" ht="17.25">
      <c r="A97" s="348"/>
      <c r="B97" s="457" t="s">
        <v>1780</v>
      </c>
      <c r="C97" s="376">
        <v>1</v>
      </c>
      <c r="D97" s="371">
        <v>1</v>
      </c>
      <c r="E97" s="358">
        <v>2.6</v>
      </c>
      <c r="F97" s="358">
        <v>2.6</v>
      </c>
      <c r="G97" s="358">
        <f>3.36-2.76</f>
        <v>0.6</v>
      </c>
      <c r="H97" s="356">
        <f t="shared" si="12"/>
        <v>4.0599999999999996</v>
      </c>
      <c r="I97" s="357"/>
      <c r="J97" s="358" t="s">
        <v>14</v>
      </c>
      <c r="K97" s="368">
        <f t="shared" si="11"/>
        <v>4.0599999999999996</v>
      </c>
      <c r="L97" s="354"/>
      <c r="M97" s="491">
        <f t="shared" si="14"/>
        <v>4.0599999999999996</v>
      </c>
      <c r="N97" s="491"/>
    </row>
    <row r="98" spans="1:14" ht="17.25">
      <c r="A98" s="348"/>
      <c r="B98" s="457" t="s">
        <v>1781</v>
      </c>
      <c r="C98" s="376">
        <v>1</v>
      </c>
      <c r="D98" s="371">
        <v>1</v>
      </c>
      <c r="E98" s="358">
        <v>2</v>
      </c>
      <c r="F98" s="358">
        <v>2</v>
      </c>
      <c r="G98" s="358">
        <f>3.42-2.15</f>
        <v>1.27</v>
      </c>
      <c r="H98" s="356">
        <f t="shared" si="12"/>
        <v>5.08</v>
      </c>
      <c r="I98" s="357"/>
      <c r="J98" s="358" t="s">
        <v>14</v>
      </c>
      <c r="K98" s="368">
        <f t="shared" si="11"/>
        <v>5.08</v>
      </c>
      <c r="L98" s="354"/>
      <c r="M98" s="491">
        <f t="shared" si="14"/>
        <v>5.08</v>
      </c>
      <c r="N98" s="491"/>
    </row>
    <row r="99" spans="1:14" ht="17.25">
      <c r="A99" s="348"/>
      <c r="B99" s="457" t="s">
        <v>1782</v>
      </c>
      <c r="C99" s="376">
        <v>1</v>
      </c>
      <c r="D99" s="371">
        <v>1</v>
      </c>
      <c r="E99" s="358">
        <v>2.2000000000000002</v>
      </c>
      <c r="F99" s="358">
        <v>2.2000000000000002</v>
      </c>
      <c r="G99" s="358">
        <f>3.14-2.2</f>
        <v>0.94</v>
      </c>
      <c r="H99" s="356">
        <f t="shared" si="12"/>
        <v>4.55</v>
      </c>
      <c r="I99" s="357"/>
      <c r="J99" s="358" t="s">
        <v>14</v>
      </c>
      <c r="K99" s="368">
        <f t="shared" si="11"/>
        <v>4.55</v>
      </c>
      <c r="L99" s="354"/>
      <c r="M99" s="491">
        <f t="shared" si="14"/>
        <v>4.55</v>
      </c>
      <c r="N99" s="491"/>
    </row>
    <row r="100" spans="1:14" ht="17.25">
      <c r="A100" s="348"/>
      <c r="B100" s="457" t="s">
        <v>1783</v>
      </c>
      <c r="C100" s="376">
        <v>1</v>
      </c>
      <c r="D100" s="371">
        <v>1</v>
      </c>
      <c r="E100" s="358">
        <v>2.6</v>
      </c>
      <c r="F100" s="358">
        <v>2.6</v>
      </c>
      <c r="G100" s="358">
        <f>3.2-2.25</f>
        <v>0.95</v>
      </c>
      <c r="H100" s="356">
        <f t="shared" si="12"/>
        <v>6.42</v>
      </c>
      <c r="I100" s="357"/>
      <c r="J100" s="358" t="s">
        <v>14</v>
      </c>
      <c r="K100" s="368">
        <f t="shared" si="11"/>
        <v>6.42</v>
      </c>
      <c r="L100" s="354"/>
      <c r="M100" s="491">
        <f t="shared" si="14"/>
        <v>6.42</v>
      </c>
      <c r="N100" s="491"/>
    </row>
    <row r="101" spans="1:14" ht="17.25">
      <c r="A101" s="348"/>
      <c r="B101" s="457" t="s">
        <v>1784</v>
      </c>
      <c r="C101" s="376">
        <v>1</v>
      </c>
      <c r="D101" s="371">
        <v>1</v>
      </c>
      <c r="E101" s="358">
        <v>2.6</v>
      </c>
      <c r="F101" s="358">
        <v>2.6</v>
      </c>
      <c r="G101" s="358">
        <f>3.2-2.25</f>
        <v>0.95</v>
      </c>
      <c r="H101" s="356">
        <f t="shared" si="12"/>
        <v>6.42</v>
      </c>
      <c r="I101" s="357"/>
      <c r="J101" s="358" t="s">
        <v>14</v>
      </c>
      <c r="K101" s="368">
        <f t="shared" si="11"/>
        <v>6.42</v>
      </c>
      <c r="L101" s="354"/>
      <c r="M101" s="491">
        <f t="shared" si="14"/>
        <v>6.42</v>
      </c>
      <c r="N101" s="491"/>
    </row>
    <row r="102" spans="1:14" ht="17.25">
      <c r="A102" s="348"/>
      <c r="B102" s="457" t="s">
        <v>1785</v>
      </c>
      <c r="C102" s="376">
        <v>1</v>
      </c>
      <c r="D102" s="371">
        <v>1</v>
      </c>
      <c r="E102" s="358">
        <v>2.6</v>
      </c>
      <c r="F102" s="358">
        <v>2.6</v>
      </c>
      <c r="G102" s="358">
        <f>3.28-2.5</f>
        <v>0.78</v>
      </c>
      <c r="H102" s="356">
        <f t="shared" si="12"/>
        <v>5.27</v>
      </c>
      <c r="I102" s="357"/>
      <c r="J102" s="358" t="s">
        <v>14</v>
      </c>
      <c r="K102" s="368">
        <f t="shared" si="11"/>
        <v>5.27</v>
      </c>
      <c r="L102" s="354"/>
      <c r="M102" s="491">
        <f t="shared" si="14"/>
        <v>5.27</v>
      </c>
      <c r="N102" s="491"/>
    </row>
    <row r="103" spans="1:14" ht="17.25">
      <c r="A103" s="348"/>
      <c r="B103" s="457" t="s">
        <v>1786</v>
      </c>
      <c r="C103" s="376">
        <v>1</v>
      </c>
      <c r="D103" s="371">
        <v>1</v>
      </c>
      <c r="E103" s="358">
        <v>1.8</v>
      </c>
      <c r="F103" s="358">
        <v>1.8</v>
      </c>
      <c r="G103" s="358">
        <f>3.3-2.2</f>
        <v>1.1000000000000001</v>
      </c>
      <c r="H103" s="356">
        <f t="shared" si="12"/>
        <v>3.56</v>
      </c>
      <c r="I103" s="357"/>
      <c r="J103" s="358" t="s">
        <v>14</v>
      </c>
      <c r="K103" s="368">
        <f t="shared" si="11"/>
        <v>3.56</v>
      </c>
      <c r="L103" s="354"/>
      <c r="M103" s="491">
        <f t="shared" si="14"/>
        <v>3.56</v>
      </c>
      <c r="N103" s="491"/>
    </row>
    <row r="104" spans="1:14" ht="17.25">
      <c r="A104" s="348"/>
      <c r="B104" s="457" t="s">
        <v>1787</v>
      </c>
      <c r="C104" s="376">
        <v>1</v>
      </c>
      <c r="D104" s="371">
        <v>1</v>
      </c>
      <c r="E104" s="358">
        <v>2</v>
      </c>
      <c r="F104" s="358">
        <v>2</v>
      </c>
      <c r="G104" s="358">
        <f>3.45-2.67</f>
        <v>0.78</v>
      </c>
      <c r="H104" s="356">
        <f t="shared" si="12"/>
        <v>3.12</v>
      </c>
      <c r="I104" s="357"/>
      <c r="J104" s="358" t="s">
        <v>14</v>
      </c>
      <c r="K104" s="368">
        <f t="shared" si="11"/>
        <v>3.12</v>
      </c>
      <c r="L104" s="354"/>
      <c r="M104" s="491">
        <f t="shared" si="14"/>
        <v>3.12</v>
      </c>
      <c r="N104" s="491"/>
    </row>
    <row r="105" spans="1:14" ht="17.25">
      <c r="A105" s="348"/>
      <c r="B105" s="457" t="s">
        <v>1788</v>
      </c>
      <c r="C105" s="376">
        <v>1</v>
      </c>
      <c r="D105" s="371">
        <v>1</v>
      </c>
      <c r="E105" s="358">
        <v>2.6</v>
      </c>
      <c r="F105" s="358">
        <v>2.6</v>
      </c>
      <c r="G105" s="358">
        <f>3.37-2.47</f>
        <v>0.9</v>
      </c>
      <c r="H105" s="356">
        <f t="shared" si="12"/>
        <v>6.08</v>
      </c>
      <c r="I105" s="357"/>
      <c r="J105" s="358" t="s">
        <v>14</v>
      </c>
      <c r="K105" s="368">
        <f t="shared" si="11"/>
        <v>6.08</v>
      </c>
      <c r="L105" s="354"/>
      <c r="M105" s="491">
        <f t="shared" si="14"/>
        <v>6.08</v>
      </c>
      <c r="N105" s="491"/>
    </row>
    <row r="106" spans="1:14" ht="17.25">
      <c r="A106" s="348"/>
      <c r="B106" s="457" t="s">
        <v>1789</v>
      </c>
      <c r="C106" s="376">
        <v>1</v>
      </c>
      <c r="D106" s="371">
        <v>1</v>
      </c>
      <c r="E106" s="358">
        <v>2.2000000000000002</v>
      </c>
      <c r="F106" s="358">
        <v>2.2000000000000002</v>
      </c>
      <c r="G106" s="358">
        <f>3.42-2.15</f>
        <v>1.27</v>
      </c>
      <c r="H106" s="356">
        <f t="shared" si="12"/>
        <v>6.15</v>
      </c>
      <c r="I106" s="357"/>
      <c r="J106" s="358" t="s">
        <v>14</v>
      </c>
      <c r="K106" s="368">
        <f t="shared" si="11"/>
        <v>6.15</v>
      </c>
      <c r="L106" s="354"/>
      <c r="M106" s="491">
        <f t="shared" si="14"/>
        <v>6.15</v>
      </c>
      <c r="N106" s="491"/>
    </row>
    <row r="107" spans="1:14" ht="17.25">
      <c r="A107" s="348"/>
      <c r="B107" s="458"/>
      <c r="C107" s="376"/>
      <c r="D107" s="371"/>
      <c r="E107" s="358"/>
      <c r="F107" s="358"/>
      <c r="G107" s="358"/>
      <c r="H107" s="356">
        <f t="shared" si="12"/>
        <v>0</v>
      </c>
      <c r="I107" s="357"/>
      <c r="J107" s="358"/>
      <c r="K107" s="368"/>
      <c r="L107" s="438">
        <f>SUM(K56:K106)</f>
        <v>704.12</v>
      </c>
      <c r="M107" s="491">
        <f t="shared" si="14"/>
        <v>0</v>
      </c>
      <c r="N107" s="491"/>
    </row>
    <row r="108" spans="1:14" ht="17.25">
      <c r="A108" s="348"/>
      <c r="B108" s="459" t="s">
        <v>96</v>
      </c>
      <c r="C108" s="376"/>
      <c r="D108" s="371"/>
      <c r="E108" s="358"/>
      <c r="F108" s="358"/>
      <c r="G108" s="358"/>
      <c r="H108" s="356">
        <f t="shared" si="12"/>
        <v>0</v>
      </c>
      <c r="I108" s="357"/>
      <c r="J108" s="358"/>
      <c r="K108" s="368"/>
      <c r="L108" s="354"/>
      <c r="M108" s="491">
        <f t="shared" si="14"/>
        <v>0</v>
      </c>
      <c r="N108" s="491"/>
    </row>
    <row r="109" spans="1:14" ht="17.25">
      <c r="A109" s="348"/>
      <c r="B109" s="370" t="s">
        <v>1790</v>
      </c>
      <c r="C109" s="376">
        <v>1</v>
      </c>
      <c r="D109" s="371">
        <v>1</v>
      </c>
      <c r="E109" s="358">
        <v>1.4</v>
      </c>
      <c r="F109" s="358">
        <v>1.4</v>
      </c>
      <c r="G109" s="358">
        <f>3-1.6</f>
        <v>1.4</v>
      </c>
      <c r="H109" s="356">
        <f t="shared" si="12"/>
        <v>2.74</v>
      </c>
      <c r="I109" s="357"/>
      <c r="J109" s="358" t="s">
        <v>14</v>
      </c>
      <c r="K109" s="368">
        <f t="shared" si="11"/>
        <v>2.74</v>
      </c>
      <c r="L109" s="354"/>
      <c r="M109" s="491">
        <f t="shared" si="14"/>
        <v>2.74</v>
      </c>
      <c r="N109" s="491"/>
    </row>
    <row r="110" spans="1:14" ht="17.25">
      <c r="A110" s="348"/>
      <c r="B110" s="370" t="s">
        <v>1791</v>
      </c>
      <c r="C110" s="376">
        <v>1</v>
      </c>
      <c r="D110" s="371">
        <v>1</v>
      </c>
      <c r="E110" s="358">
        <v>1.8</v>
      </c>
      <c r="F110" s="358">
        <v>1.8</v>
      </c>
      <c r="G110" s="358">
        <f>3.1-1.6</f>
        <v>1.5</v>
      </c>
      <c r="H110" s="356">
        <f t="shared" si="12"/>
        <v>4.8600000000000003</v>
      </c>
      <c r="I110" s="357"/>
      <c r="J110" s="358" t="s">
        <v>14</v>
      </c>
      <c r="K110" s="368">
        <f t="shared" si="11"/>
        <v>4.8600000000000003</v>
      </c>
      <c r="L110" s="354"/>
      <c r="M110" s="491">
        <f t="shared" si="14"/>
        <v>4.8600000000000003</v>
      </c>
      <c r="N110" s="491"/>
    </row>
    <row r="111" spans="1:14" ht="17.25">
      <c r="A111" s="348"/>
      <c r="B111" s="370" t="s">
        <v>1792</v>
      </c>
      <c r="C111" s="376">
        <v>1</v>
      </c>
      <c r="D111" s="371">
        <v>1</v>
      </c>
      <c r="E111" s="358">
        <v>1.8</v>
      </c>
      <c r="F111" s="358">
        <v>1.8</v>
      </c>
      <c r="G111" s="358">
        <f>2.85-1.45</f>
        <v>1.4</v>
      </c>
      <c r="H111" s="356">
        <f t="shared" si="12"/>
        <v>4.54</v>
      </c>
      <c r="I111" s="357"/>
      <c r="J111" s="358" t="s">
        <v>14</v>
      </c>
      <c r="K111" s="368">
        <f t="shared" si="11"/>
        <v>4.54</v>
      </c>
      <c r="L111" s="354"/>
      <c r="M111" s="491">
        <f t="shared" si="14"/>
        <v>4.54</v>
      </c>
      <c r="N111" s="491"/>
    </row>
    <row r="112" spans="1:14" ht="17.25">
      <c r="A112" s="348"/>
      <c r="B112" s="370" t="s">
        <v>1793</v>
      </c>
      <c r="C112" s="376">
        <v>1</v>
      </c>
      <c r="D112" s="371">
        <v>1</v>
      </c>
      <c r="E112" s="358">
        <v>1.6</v>
      </c>
      <c r="F112" s="358">
        <v>1.6</v>
      </c>
      <c r="G112" s="358">
        <f>2.95-1.32</f>
        <v>1.63</v>
      </c>
      <c r="H112" s="356">
        <f t="shared" si="12"/>
        <v>4.17</v>
      </c>
      <c r="I112" s="357"/>
      <c r="J112" s="358" t="s">
        <v>14</v>
      </c>
      <c r="K112" s="368">
        <f t="shared" si="11"/>
        <v>4.17</v>
      </c>
      <c r="L112" s="354"/>
      <c r="M112" s="491">
        <f t="shared" si="14"/>
        <v>4.17</v>
      </c>
      <c r="N112" s="491"/>
    </row>
    <row r="113" spans="1:14" ht="17.25">
      <c r="A113" s="348"/>
      <c r="B113" s="370" t="s">
        <v>1794</v>
      </c>
      <c r="C113" s="376">
        <v>1</v>
      </c>
      <c r="D113" s="371">
        <v>1</v>
      </c>
      <c r="E113" s="358">
        <v>5.2</v>
      </c>
      <c r="F113" s="358">
        <v>7.7</v>
      </c>
      <c r="G113" s="358">
        <f>2.78-1.42</f>
        <v>1.36</v>
      </c>
      <c r="H113" s="356">
        <f t="shared" si="12"/>
        <v>54.45</v>
      </c>
      <c r="I113" s="357"/>
      <c r="J113" s="358" t="s">
        <v>14</v>
      </c>
      <c r="K113" s="368">
        <f t="shared" si="11"/>
        <v>54.45</v>
      </c>
      <c r="L113" s="354"/>
      <c r="M113" s="491">
        <f t="shared" si="14"/>
        <v>54.45</v>
      </c>
      <c r="N113" s="491"/>
    </row>
    <row r="114" spans="1:14" ht="17.25">
      <c r="A114" s="348"/>
      <c r="B114" s="370" t="s">
        <v>1795</v>
      </c>
      <c r="C114" s="376">
        <v>1</v>
      </c>
      <c r="D114" s="371">
        <v>1</v>
      </c>
      <c r="E114" s="358">
        <v>1.8</v>
      </c>
      <c r="F114" s="358">
        <v>1.8</v>
      </c>
      <c r="G114" s="358">
        <f>2.92-1.5</f>
        <v>1.42</v>
      </c>
      <c r="H114" s="356">
        <f t="shared" si="12"/>
        <v>4.5999999999999996</v>
      </c>
      <c r="I114" s="357"/>
      <c r="J114" s="358" t="s">
        <v>14</v>
      </c>
      <c r="K114" s="368">
        <f t="shared" si="11"/>
        <v>4.5999999999999996</v>
      </c>
      <c r="L114" s="354"/>
      <c r="M114" s="491">
        <f t="shared" si="14"/>
        <v>4.5999999999999996</v>
      </c>
      <c r="N114" s="491"/>
    </row>
    <row r="115" spans="1:14" ht="17.25">
      <c r="A115" s="348"/>
      <c r="B115" s="370" t="s">
        <v>1796</v>
      </c>
      <c r="C115" s="376">
        <v>1</v>
      </c>
      <c r="D115" s="371">
        <v>1</v>
      </c>
      <c r="E115" s="358">
        <v>1.6</v>
      </c>
      <c r="F115" s="358">
        <v>1.6</v>
      </c>
      <c r="G115" s="358">
        <f>2.95-1.38</f>
        <v>1.57</v>
      </c>
      <c r="H115" s="356">
        <f t="shared" si="12"/>
        <v>4.0199999999999996</v>
      </c>
      <c r="I115" s="357"/>
      <c r="J115" s="358" t="s">
        <v>14</v>
      </c>
      <c r="K115" s="368">
        <f t="shared" si="11"/>
        <v>4.0199999999999996</v>
      </c>
      <c r="L115" s="354"/>
      <c r="M115" s="491">
        <f t="shared" si="14"/>
        <v>4.0199999999999996</v>
      </c>
      <c r="N115" s="491"/>
    </row>
    <row r="116" spans="1:14" ht="17.25">
      <c r="A116" s="348"/>
      <c r="B116" s="370" t="s">
        <v>1797</v>
      </c>
      <c r="C116" s="376">
        <v>1</v>
      </c>
      <c r="D116" s="371">
        <v>1</v>
      </c>
      <c r="E116" s="358">
        <v>1.6</v>
      </c>
      <c r="F116" s="358">
        <v>1.6</v>
      </c>
      <c r="G116" s="358">
        <f>3.28-1.6</f>
        <v>1.68</v>
      </c>
      <c r="H116" s="356">
        <f t="shared" si="12"/>
        <v>4.3</v>
      </c>
      <c r="I116" s="357"/>
      <c r="J116" s="358" t="s">
        <v>14</v>
      </c>
      <c r="K116" s="368">
        <f t="shared" si="11"/>
        <v>4.3</v>
      </c>
      <c r="L116" s="354"/>
      <c r="M116" s="491">
        <f t="shared" si="14"/>
        <v>4.3</v>
      </c>
      <c r="N116" s="491"/>
    </row>
    <row r="117" spans="1:14" ht="17.25">
      <c r="A117" s="348"/>
      <c r="B117" s="370" t="s">
        <v>1798</v>
      </c>
      <c r="C117" s="376">
        <v>1</v>
      </c>
      <c r="D117" s="371">
        <v>1</v>
      </c>
      <c r="E117" s="358">
        <v>2.4</v>
      </c>
      <c r="F117" s="358">
        <v>2.4</v>
      </c>
      <c r="G117" s="358">
        <f>3.15-1.6</f>
        <v>1.55</v>
      </c>
      <c r="H117" s="356">
        <f t="shared" si="12"/>
        <v>8.93</v>
      </c>
      <c r="I117" s="357"/>
      <c r="J117" s="358" t="s">
        <v>14</v>
      </c>
      <c r="K117" s="368">
        <f t="shared" si="11"/>
        <v>8.93</v>
      </c>
      <c r="L117" s="354"/>
      <c r="M117" s="491">
        <f t="shared" si="14"/>
        <v>8.93</v>
      </c>
      <c r="N117" s="491"/>
    </row>
    <row r="118" spans="1:14" ht="17.25">
      <c r="A118" s="348"/>
      <c r="B118" s="370" t="s">
        <v>1799</v>
      </c>
      <c r="C118" s="376">
        <v>1</v>
      </c>
      <c r="D118" s="371">
        <v>1</v>
      </c>
      <c r="E118" s="358">
        <v>2.4</v>
      </c>
      <c r="F118" s="358">
        <v>2.4</v>
      </c>
      <c r="G118" s="463">
        <f>3.8-1.52</f>
        <v>2.2799999999999998</v>
      </c>
      <c r="H118" s="356">
        <f t="shared" si="12"/>
        <v>13.13</v>
      </c>
      <c r="I118" s="357"/>
      <c r="J118" s="358" t="s">
        <v>14</v>
      </c>
      <c r="K118" s="368">
        <f t="shared" si="11"/>
        <v>13.13</v>
      </c>
      <c r="L118" s="354"/>
      <c r="M118" s="491">
        <f t="shared" si="14"/>
        <v>13.13</v>
      </c>
      <c r="N118" s="491"/>
    </row>
    <row r="119" spans="1:14" ht="17.25">
      <c r="A119" s="348"/>
      <c r="B119" s="370" t="s">
        <v>1800</v>
      </c>
      <c r="C119" s="376">
        <v>1</v>
      </c>
      <c r="D119" s="371">
        <v>1</v>
      </c>
      <c r="E119" s="358">
        <v>2.2000000000000002</v>
      </c>
      <c r="F119" s="358">
        <v>2.2000000000000002</v>
      </c>
      <c r="G119" s="358">
        <f>2.94-1.53</f>
        <v>1.41</v>
      </c>
      <c r="H119" s="356">
        <f t="shared" si="12"/>
        <v>6.82</v>
      </c>
      <c r="I119" s="357"/>
      <c r="J119" s="358" t="s">
        <v>14</v>
      </c>
      <c r="K119" s="368">
        <f t="shared" si="11"/>
        <v>6.82</v>
      </c>
      <c r="L119" s="354"/>
      <c r="M119" s="491">
        <f t="shared" si="14"/>
        <v>6.82</v>
      </c>
      <c r="N119" s="491"/>
    </row>
    <row r="120" spans="1:14" ht="17.25">
      <c r="A120" s="348"/>
      <c r="B120" s="370" t="s">
        <v>1801</v>
      </c>
      <c r="C120" s="376">
        <v>1</v>
      </c>
      <c r="D120" s="371">
        <v>1</v>
      </c>
      <c r="E120" s="358">
        <v>2.4</v>
      </c>
      <c r="F120" s="358">
        <v>2.4</v>
      </c>
      <c r="G120" s="358">
        <f>2.65-1.47</f>
        <v>1.18</v>
      </c>
      <c r="H120" s="356">
        <f t="shared" si="12"/>
        <v>6.8</v>
      </c>
      <c r="I120" s="357"/>
      <c r="J120" s="358" t="s">
        <v>14</v>
      </c>
      <c r="K120" s="368">
        <f t="shared" si="11"/>
        <v>6.8</v>
      </c>
      <c r="L120" s="354"/>
      <c r="M120" s="491">
        <f t="shared" si="14"/>
        <v>6.8</v>
      </c>
      <c r="N120" s="491"/>
    </row>
    <row r="121" spans="1:14" ht="17.25">
      <c r="A121" s="348"/>
      <c r="B121" s="370" t="s">
        <v>1802</v>
      </c>
      <c r="C121" s="376">
        <v>1</v>
      </c>
      <c r="D121" s="371">
        <v>1</v>
      </c>
      <c r="E121" s="358">
        <v>1.4</v>
      </c>
      <c r="F121" s="358">
        <v>1.4</v>
      </c>
      <c r="G121" s="358">
        <f>3.34-1.5</f>
        <v>1.84</v>
      </c>
      <c r="H121" s="356">
        <f t="shared" ref="H121:H165" si="15">D121*E121*F121*G121</f>
        <v>3.61</v>
      </c>
      <c r="I121" s="357"/>
      <c r="J121" s="358" t="s">
        <v>14</v>
      </c>
      <c r="K121" s="368">
        <f t="shared" ref="K121:K165" si="16">H121*C121</f>
        <v>3.61</v>
      </c>
      <c r="L121" s="354"/>
      <c r="M121" s="491">
        <f t="shared" si="14"/>
        <v>3.61</v>
      </c>
      <c r="N121" s="491"/>
    </row>
    <row r="122" spans="1:14" ht="17.25">
      <c r="A122" s="348"/>
      <c r="B122" s="370" t="s">
        <v>1803</v>
      </c>
      <c r="C122" s="376">
        <v>1</v>
      </c>
      <c r="D122" s="371">
        <v>1</v>
      </c>
      <c r="E122" s="358">
        <v>2</v>
      </c>
      <c r="F122" s="358">
        <v>2</v>
      </c>
      <c r="G122" s="358">
        <f>2.96-1.58</f>
        <v>1.38</v>
      </c>
      <c r="H122" s="356">
        <f t="shared" si="15"/>
        <v>5.52</v>
      </c>
      <c r="I122" s="357"/>
      <c r="J122" s="358" t="s">
        <v>14</v>
      </c>
      <c r="K122" s="368">
        <f t="shared" si="16"/>
        <v>5.52</v>
      </c>
      <c r="L122" s="354"/>
      <c r="M122" s="491">
        <f t="shared" si="14"/>
        <v>5.52</v>
      </c>
      <c r="N122" s="491"/>
    </row>
    <row r="123" spans="1:14" ht="17.25">
      <c r="A123" s="348"/>
      <c r="B123" s="370" t="s">
        <v>1804</v>
      </c>
      <c r="C123" s="376">
        <v>1</v>
      </c>
      <c r="D123" s="371">
        <v>1</v>
      </c>
      <c r="E123" s="358">
        <v>2</v>
      </c>
      <c r="F123" s="358">
        <v>2</v>
      </c>
      <c r="G123" s="358">
        <f>2.96-1.58</f>
        <v>1.38</v>
      </c>
      <c r="H123" s="356">
        <f t="shared" si="15"/>
        <v>5.52</v>
      </c>
      <c r="I123" s="357"/>
      <c r="J123" s="358" t="s">
        <v>14</v>
      </c>
      <c r="K123" s="368">
        <f t="shared" si="16"/>
        <v>5.52</v>
      </c>
      <c r="L123" s="354"/>
      <c r="M123" s="491">
        <f t="shared" si="14"/>
        <v>5.52</v>
      </c>
      <c r="N123" s="491"/>
    </row>
    <row r="124" spans="1:14" ht="17.25">
      <c r="A124" s="348"/>
      <c r="B124" s="370" t="s">
        <v>1805</v>
      </c>
      <c r="C124" s="376">
        <v>1</v>
      </c>
      <c r="D124" s="371">
        <v>1</v>
      </c>
      <c r="E124" s="358">
        <v>1.8</v>
      </c>
      <c r="F124" s="358">
        <v>1.8</v>
      </c>
      <c r="G124" s="358">
        <f>2.89-1.55</f>
        <v>1.34</v>
      </c>
      <c r="H124" s="356">
        <f t="shared" si="15"/>
        <v>4.34</v>
      </c>
      <c r="I124" s="357"/>
      <c r="J124" s="358" t="s">
        <v>14</v>
      </c>
      <c r="K124" s="368">
        <f t="shared" si="16"/>
        <v>4.34</v>
      </c>
      <c r="L124" s="354"/>
      <c r="M124" s="491">
        <f t="shared" si="14"/>
        <v>4.34</v>
      </c>
      <c r="N124" s="491"/>
    </row>
    <row r="125" spans="1:14" ht="17.25">
      <c r="A125" s="348"/>
      <c r="B125" s="370" t="s">
        <v>1806</v>
      </c>
      <c r="C125" s="376">
        <v>1</v>
      </c>
      <c r="D125" s="371">
        <v>1</v>
      </c>
      <c r="E125" s="358">
        <v>1.8</v>
      </c>
      <c r="F125" s="358">
        <v>1.8</v>
      </c>
      <c r="G125" s="358">
        <f>2.89-1.55</f>
        <v>1.34</v>
      </c>
      <c r="H125" s="356">
        <f t="shared" si="15"/>
        <v>4.34</v>
      </c>
      <c r="I125" s="357"/>
      <c r="J125" s="358" t="s">
        <v>14</v>
      </c>
      <c r="K125" s="368">
        <f t="shared" si="16"/>
        <v>4.34</v>
      </c>
      <c r="L125" s="354"/>
      <c r="M125" s="491">
        <f t="shared" si="14"/>
        <v>4.34</v>
      </c>
      <c r="N125" s="491"/>
    </row>
    <row r="126" spans="1:14" ht="17.25">
      <c r="A126" s="348"/>
      <c r="B126" s="370" t="s">
        <v>1807</v>
      </c>
      <c r="C126" s="376">
        <v>1</v>
      </c>
      <c r="D126" s="371">
        <v>1</v>
      </c>
      <c r="E126" s="358">
        <v>5.7</v>
      </c>
      <c r="F126" s="358">
        <v>5.7</v>
      </c>
      <c r="G126" s="358">
        <f>2.94-1.65</f>
        <v>1.29</v>
      </c>
      <c r="H126" s="356">
        <f t="shared" si="15"/>
        <v>41.91</v>
      </c>
      <c r="I126" s="357"/>
      <c r="J126" s="358" t="s">
        <v>14</v>
      </c>
      <c r="K126" s="368">
        <f t="shared" si="16"/>
        <v>41.91</v>
      </c>
      <c r="L126" s="354"/>
      <c r="M126" s="491">
        <f t="shared" si="14"/>
        <v>41.91</v>
      </c>
      <c r="N126" s="491"/>
    </row>
    <row r="127" spans="1:14" ht="17.25">
      <c r="A127" s="348"/>
      <c r="B127" s="370" t="s">
        <v>1808</v>
      </c>
      <c r="C127" s="376">
        <v>1</v>
      </c>
      <c r="D127" s="371">
        <v>1</v>
      </c>
      <c r="E127" s="358">
        <v>5.2</v>
      </c>
      <c r="F127" s="358">
        <v>7.7</v>
      </c>
      <c r="G127" s="358">
        <f>2.96-1.58</f>
        <v>1.38</v>
      </c>
      <c r="H127" s="356">
        <f t="shared" si="15"/>
        <v>55.26</v>
      </c>
      <c r="I127" s="357"/>
      <c r="J127" s="358" t="s">
        <v>14</v>
      </c>
      <c r="K127" s="368">
        <f t="shared" si="16"/>
        <v>55.26</v>
      </c>
      <c r="L127" s="354"/>
      <c r="M127" s="491">
        <f t="shared" si="14"/>
        <v>55.26</v>
      </c>
      <c r="N127" s="491"/>
    </row>
    <row r="128" spans="1:14" ht="17.25">
      <c r="A128" s="348"/>
      <c r="B128" s="370" t="s">
        <v>1809</v>
      </c>
      <c r="C128" s="376">
        <v>1</v>
      </c>
      <c r="D128" s="371">
        <v>1</v>
      </c>
      <c r="E128" s="358">
        <v>3.2</v>
      </c>
      <c r="F128" s="358">
        <v>2.2000000000000002</v>
      </c>
      <c r="G128" s="358">
        <f>2.96-1.5</f>
        <v>1.46</v>
      </c>
      <c r="H128" s="356">
        <f t="shared" si="15"/>
        <v>10.28</v>
      </c>
      <c r="I128" s="357"/>
      <c r="J128" s="358" t="s">
        <v>14</v>
      </c>
      <c r="K128" s="368">
        <f t="shared" si="16"/>
        <v>10.28</v>
      </c>
      <c r="L128" s="354"/>
      <c r="M128" s="491">
        <f t="shared" si="14"/>
        <v>10.28</v>
      </c>
      <c r="N128" s="491"/>
    </row>
    <row r="129" spans="1:14" ht="17.25">
      <c r="A129" s="348"/>
      <c r="B129" s="370" t="s">
        <v>1810</v>
      </c>
      <c r="C129" s="376">
        <v>1</v>
      </c>
      <c r="D129" s="371">
        <v>1</v>
      </c>
      <c r="E129" s="358">
        <v>1.6</v>
      </c>
      <c r="F129" s="358">
        <v>1.6</v>
      </c>
      <c r="G129" s="358">
        <f>3.22-1.56</f>
        <v>1.66</v>
      </c>
      <c r="H129" s="356">
        <f t="shared" si="15"/>
        <v>4.25</v>
      </c>
      <c r="I129" s="357"/>
      <c r="J129" s="358" t="s">
        <v>14</v>
      </c>
      <c r="K129" s="368">
        <f t="shared" si="16"/>
        <v>4.25</v>
      </c>
      <c r="L129" s="354"/>
      <c r="M129" s="491">
        <f t="shared" si="14"/>
        <v>4.25</v>
      </c>
      <c r="N129" s="491"/>
    </row>
    <row r="130" spans="1:14" ht="17.25">
      <c r="A130" s="348"/>
      <c r="B130" s="370" t="s">
        <v>1811</v>
      </c>
      <c r="C130" s="376">
        <v>1</v>
      </c>
      <c r="D130" s="371">
        <v>1</v>
      </c>
      <c r="E130" s="358">
        <v>1.4</v>
      </c>
      <c r="F130" s="358">
        <v>1.4</v>
      </c>
      <c r="G130" s="358">
        <f>3.2-1.54</f>
        <v>1.66</v>
      </c>
      <c r="H130" s="356">
        <f t="shared" si="15"/>
        <v>3.25</v>
      </c>
      <c r="I130" s="357"/>
      <c r="J130" s="358" t="s">
        <v>14</v>
      </c>
      <c r="K130" s="368">
        <f t="shared" si="16"/>
        <v>3.25</v>
      </c>
      <c r="L130" s="354"/>
      <c r="M130" s="491">
        <f t="shared" si="14"/>
        <v>3.25</v>
      </c>
      <c r="N130" s="491"/>
    </row>
    <row r="131" spans="1:14" ht="17.25">
      <c r="A131" s="348"/>
      <c r="B131" s="370" t="s">
        <v>1812</v>
      </c>
      <c r="C131" s="376">
        <v>1</v>
      </c>
      <c r="D131" s="371">
        <v>1</v>
      </c>
      <c r="E131" s="358">
        <v>5.7</v>
      </c>
      <c r="F131" s="358">
        <v>5.7</v>
      </c>
      <c r="G131" s="358">
        <f>3.28-1.8</f>
        <v>1.48</v>
      </c>
      <c r="H131" s="356">
        <f t="shared" si="15"/>
        <v>48.09</v>
      </c>
      <c r="I131" s="357"/>
      <c r="J131" s="358" t="s">
        <v>14</v>
      </c>
      <c r="K131" s="368">
        <f t="shared" si="16"/>
        <v>48.09</v>
      </c>
      <c r="L131" s="354"/>
      <c r="M131" s="491">
        <f t="shared" si="14"/>
        <v>48.09</v>
      </c>
      <c r="N131" s="491"/>
    </row>
    <row r="132" spans="1:14" ht="17.25">
      <c r="A132" s="348"/>
      <c r="B132" s="370" t="s">
        <v>1813</v>
      </c>
      <c r="C132" s="376">
        <v>1</v>
      </c>
      <c r="D132" s="371">
        <v>1</v>
      </c>
      <c r="E132" s="358">
        <v>1.4</v>
      </c>
      <c r="F132" s="358">
        <v>1.4</v>
      </c>
      <c r="G132" s="358">
        <f>3.15-2.07</f>
        <v>1.08</v>
      </c>
      <c r="H132" s="356">
        <f t="shared" si="15"/>
        <v>2.12</v>
      </c>
      <c r="I132" s="357"/>
      <c r="J132" s="358" t="s">
        <v>14</v>
      </c>
      <c r="K132" s="368">
        <f t="shared" si="16"/>
        <v>2.12</v>
      </c>
      <c r="L132" s="354"/>
      <c r="M132" s="491">
        <f t="shared" si="14"/>
        <v>2.12</v>
      </c>
      <c r="N132" s="491"/>
    </row>
    <row r="133" spans="1:14" ht="17.25">
      <c r="A133" s="348"/>
      <c r="B133" s="370" t="s">
        <v>1814</v>
      </c>
      <c r="C133" s="376">
        <v>1</v>
      </c>
      <c r="D133" s="371">
        <v>1</v>
      </c>
      <c r="E133" s="358">
        <v>1.4</v>
      </c>
      <c r="F133" s="358">
        <v>1.4</v>
      </c>
      <c r="G133" s="358">
        <f>3.15-2.07</f>
        <v>1.08</v>
      </c>
      <c r="H133" s="356">
        <f t="shared" si="15"/>
        <v>2.12</v>
      </c>
      <c r="I133" s="357"/>
      <c r="J133" s="358" t="s">
        <v>14</v>
      </c>
      <c r="K133" s="368">
        <f t="shared" si="16"/>
        <v>2.12</v>
      </c>
      <c r="L133" s="354"/>
      <c r="M133" s="491">
        <f t="shared" si="14"/>
        <v>2.12</v>
      </c>
      <c r="N133" s="491"/>
    </row>
    <row r="134" spans="1:14" ht="17.25">
      <c r="A134" s="348"/>
      <c r="B134" s="370" t="s">
        <v>1815</v>
      </c>
      <c r="C134" s="376">
        <v>1</v>
      </c>
      <c r="D134" s="371">
        <v>1</v>
      </c>
      <c r="E134" s="358">
        <v>1.6</v>
      </c>
      <c r="F134" s="358">
        <v>1.6</v>
      </c>
      <c r="G134" s="358">
        <f>3-1.54</f>
        <v>1.46</v>
      </c>
      <c r="H134" s="356">
        <f t="shared" si="15"/>
        <v>3.74</v>
      </c>
      <c r="I134" s="357"/>
      <c r="J134" s="358" t="s">
        <v>14</v>
      </c>
      <c r="K134" s="368">
        <f t="shared" si="16"/>
        <v>3.74</v>
      </c>
      <c r="L134" s="354"/>
      <c r="M134" s="491">
        <f t="shared" si="14"/>
        <v>3.74</v>
      </c>
      <c r="N134" s="491"/>
    </row>
    <row r="135" spans="1:14" ht="17.25">
      <c r="A135" s="348"/>
      <c r="B135" s="370" t="s">
        <v>1816</v>
      </c>
      <c r="C135" s="376">
        <v>1</v>
      </c>
      <c r="D135" s="371">
        <v>1</v>
      </c>
      <c r="E135" s="358">
        <v>1.6</v>
      </c>
      <c r="F135" s="358">
        <v>1.6</v>
      </c>
      <c r="G135" s="358">
        <f>3.2-1.54</f>
        <v>1.66</v>
      </c>
      <c r="H135" s="356">
        <f t="shared" si="15"/>
        <v>4.25</v>
      </c>
      <c r="I135" s="357"/>
      <c r="J135" s="358" t="s">
        <v>14</v>
      </c>
      <c r="K135" s="368">
        <f t="shared" si="16"/>
        <v>4.25</v>
      </c>
      <c r="L135" s="354"/>
      <c r="M135" s="491">
        <f t="shared" si="14"/>
        <v>4.25</v>
      </c>
      <c r="N135" s="491"/>
    </row>
    <row r="136" spans="1:14" ht="17.25">
      <c r="A136" s="348"/>
      <c r="B136" s="370" t="s">
        <v>1817</v>
      </c>
      <c r="C136" s="376">
        <v>1</v>
      </c>
      <c r="D136" s="371">
        <v>1</v>
      </c>
      <c r="E136" s="358">
        <v>2.2000000000000002</v>
      </c>
      <c r="F136" s="358">
        <v>2.2000000000000002</v>
      </c>
      <c r="G136" s="358">
        <f>3.28-1.74</f>
        <v>1.54</v>
      </c>
      <c r="H136" s="356">
        <f t="shared" si="15"/>
        <v>7.45</v>
      </c>
      <c r="I136" s="357"/>
      <c r="J136" s="358" t="s">
        <v>14</v>
      </c>
      <c r="K136" s="368">
        <f t="shared" si="16"/>
        <v>7.45</v>
      </c>
      <c r="L136" s="354"/>
      <c r="M136" s="491">
        <f t="shared" si="14"/>
        <v>7.45</v>
      </c>
      <c r="N136" s="491"/>
    </row>
    <row r="137" spans="1:14" ht="17.25">
      <c r="A137" s="348"/>
      <c r="B137" s="370" t="s">
        <v>1818</v>
      </c>
      <c r="C137" s="376">
        <v>1</v>
      </c>
      <c r="D137" s="371">
        <v>1</v>
      </c>
      <c r="E137" s="358">
        <f>4.14-2*0.2</f>
        <v>3.74</v>
      </c>
      <c r="F137" s="358">
        <f>0.2+0.8+0.2</f>
        <v>1.2</v>
      </c>
      <c r="G137" s="358">
        <f t="shared" ref="G137:G142" si="17">3.15-2.07</f>
        <v>1.08</v>
      </c>
      <c r="H137" s="356">
        <f t="shared" si="15"/>
        <v>4.8499999999999996</v>
      </c>
      <c r="I137" s="357"/>
      <c r="J137" s="358" t="s">
        <v>14</v>
      </c>
      <c r="K137" s="368">
        <f t="shared" si="16"/>
        <v>4.8499999999999996</v>
      </c>
      <c r="L137" s="354"/>
      <c r="M137" s="491">
        <f t="shared" si="14"/>
        <v>4.8499999999999996</v>
      </c>
      <c r="N137" s="491"/>
    </row>
    <row r="138" spans="1:14" ht="17.25">
      <c r="A138" s="348"/>
      <c r="B138" s="370" t="s">
        <v>1818</v>
      </c>
      <c r="C138" s="376">
        <v>1</v>
      </c>
      <c r="D138" s="371">
        <v>1</v>
      </c>
      <c r="E138" s="358">
        <f>5.38-2*0.2</f>
        <v>4.9800000000000004</v>
      </c>
      <c r="F138" s="358">
        <f t="shared" ref="F138:F140" si="18">0.2+0.8+0.2</f>
        <v>1.2</v>
      </c>
      <c r="G138" s="358">
        <f t="shared" si="17"/>
        <v>1.08</v>
      </c>
      <c r="H138" s="356">
        <f t="shared" si="15"/>
        <v>6.45</v>
      </c>
      <c r="I138" s="357"/>
      <c r="J138" s="358" t="s">
        <v>14</v>
      </c>
      <c r="K138" s="368">
        <f t="shared" si="16"/>
        <v>6.45</v>
      </c>
      <c r="L138" s="354"/>
      <c r="M138" s="491">
        <f t="shared" si="14"/>
        <v>6.45</v>
      </c>
      <c r="N138" s="491"/>
    </row>
    <row r="139" spans="1:14" ht="17.25">
      <c r="A139" s="348"/>
      <c r="B139" s="370" t="s">
        <v>1818</v>
      </c>
      <c r="C139" s="376">
        <v>1</v>
      </c>
      <c r="D139" s="371">
        <v>1</v>
      </c>
      <c r="E139" s="358">
        <f>7.85+2*0.2</f>
        <v>8.25</v>
      </c>
      <c r="F139" s="358">
        <f t="shared" si="18"/>
        <v>1.2</v>
      </c>
      <c r="G139" s="358">
        <f t="shared" si="17"/>
        <v>1.08</v>
      </c>
      <c r="H139" s="356">
        <f t="shared" si="15"/>
        <v>10.69</v>
      </c>
      <c r="I139" s="357"/>
      <c r="J139" s="358" t="s">
        <v>14</v>
      </c>
      <c r="K139" s="368">
        <f t="shared" si="16"/>
        <v>10.69</v>
      </c>
      <c r="L139" s="354"/>
      <c r="M139" s="491">
        <f t="shared" si="14"/>
        <v>10.69</v>
      </c>
      <c r="N139" s="491"/>
    </row>
    <row r="140" spans="1:14" ht="17.25">
      <c r="A140" s="348"/>
      <c r="B140" s="370" t="s">
        <v>1818</v>
      </c>
      <c r="C140" s="376">
        <v>1</v>
      </c>
      <c r="D140" s="371">
        <v>2</v>
      </c>
      <c r="E140" s="358">
        <f>1.25-2*0.2</f>
        <v>0.85</v>
      </c>
      <c r="F140" s="358">
        <f t="shared" si="18"/>
        <v>1.2</v>
      </c>
      <c r="G140" s="358">
        <f t="shared" si="17"/>
        <v>1.08</v>
      </c>
      <c r="H140" s="356">
        <f t="shared" si="15"/>
        <v>2.2000000000000002</v>
      </c>
      <c r="I140" s="357"/>
      <c r="J140" s="358" t="s">
        <v>14</v>
      </c>
      <c r="K140" s="368">
        <f t="shared" si="16"/>
        <v>2.2000000000000002</v>
      </c>
      <c r="L140" s="354"/>
      <c r="M140" s="491">
        <f t="shared" si="14"/>
        <v>2.2000000000000002</v>
      </c>
      <c r="N140" s="491"/>
    </row>
    <row r="141" spans="1:14" ht="17.25">
      <c r="A141" s="348"/>
      <c r="B141" s="370" t="s">
        <v>1819</v>
      </c>
      <c r="C141" s="376">
        <v>1</v>
      </c>
      <c r="D141" s="371">
        <v>1</v>
      </c>
      <c r="E141" s="358">
        <v>2.9</v>
      </c>
      <c r="F141" s="358">
        <v>2.9</v>
      </c>
      <c r="G141" s="358">
        <f t="shared" si="17"/>
        <v>1.08</v>
      </c>
      <c r="H141" s="356">
        <f t="shared" si="15"/>
        <v>9.08</v>
      </c>
      <c r="I141" s="357"/>
      <c r="J141" s="358" t="s">
        <v>14</v>
      </c>
      <c r="K141" s="368">
        <f t="shared" si="16"/>
        <v>9.08</v>
      </c>
      <c r="L141" s="354"/>
      <c r="M141" s="491">
        <f t="shared" si="14"/>
        <v>9.08</v>
      </c>
      <c r="N141" s="491"/>
    </row>
    <row r="142" spans="1:14" ht="17.25">
      <c r="A142" s="348"/>
      <c r="B142" s="370" t="s">
        <v>1820</v>
      </c>
      <c r="C142" s="376">
        <v>1</v>
      </c>
      <c r="D142" s="371">
        <v>1</v>
      </c>
      <c r="E142" s="358">
        <v>1.4</v>
      </c>
      <c r="F142" s="358">
        <v>1.4</v>
      </c>
      <c r="G142" s="358">
        <f t="shared" si="17"/>
        <v>1.08</v>
      </c>
      <c r="H142" s="356">
        <f t="shared" si="15"/>
        <v>2.12</v>
      </c>
      <c r="I142" s="357"/>
      <c r="J142" s="358" t="s">
        <v>14</v>
      </c>
      <c r="K142" s="368">
        <f t="shared" si="16"/>
        <v>2.12</v>
      </c>
      <c r="L142" s="354"/>
      <c r="M142" s="491">
        <f t="shared" si="14"/>
        <v>2.12</v>
      </c>
      <c r="N142" s="491"/>
    </row>
    <row r="143" spans="1:14" ht="17.25">
      <c r="A143" s="348"/>
      <c r="B143" s="370" t="s">
        <v>1821</v>
      </c>
      <c r="C143" s="376">
        <v>1</v>
      </c>
      <c r="D143" s="371">
        <v>1</v>
      </c>
      <c r="E143" s="358">
        <v>1.9</v>
      </c>
      <c r="F143" s="358">
        <v>1.9</v>
      </c>
      <c r="G143" s="358">
        <f>3.33-2.07</f>
        <v>1.26</v>
      </c>
      <c r="H143" s="356">
        <f t="shared" si="15"/>
        <v>4.55</v>
      </c>
      <c r="I143" s="357"/>
      <c r="J143" s="358" t="s">
        <v>14</v>
      </c>
      <c r="K143" s="368">
        <f t="shared" si="16"/>
        <v>4.55</v>
      </c>
      <c r="L143" s="354"/>
      <c r="M143" s="491">
        <f t="shared" si="14"/>
        <v>4.55</v>
      </c>
      <c r="N143" s="491"/>
    </row>
    <row r="144" spans="1:14" ht="17.25">
      <c r="A144" s="348"/>
      <c r="B144" s="370" t="s">
        <v>1822</v>
      </c>
      <c r="C144" s="376">
        <v>1</v>
      </c>
      <c r="D144" s="371">
        <v>1</v>
      </c>
      <c r="E144" s="358">
        <v>1.6</v>
      </c>
      <c r="F144" s="358">
        <v>1.6</v>
      </c>
      <c r="G144" s="358">
        <f>3.53-2.07</f>
        <v>1.46</v>
      </c>
      <c r="H144" s="356">
        <f t="shared" si="15"/>
        <v>3.74</v>
      </c>
      <c r="I144" s="357"/>
      <c r="J144" s="358" t="s">
        <v>14</v>
      </c>
      <c r="K144" s="368">
        <f t="shared" si="16"/>
        <v>3.74</v>
      </c>
      <c r="L144" s="354"/>
      <c r="M144" s="491">
        <f t="shared" si="14"/>
        <v>3.74</v>
      </c>
      <c r="N144" s="491"/>
    </row>
    <row r="145" spans="1:14" ht="17.25">
      <c r="A145" s="348"/>
      <c r="B145" s="370" t="s">
        <v>1823</v>
      </c>
      <c r="C145" s="376">
        <v>1</v>
      </c>
      <c r="D145" s="371">
        <v>1</v>
      </c>
      <c r="E145" s="358">
        <f>3.72-2*0.2</f>
        <v>3.32</v>
      </c>
      <c r="F145" s="358">
        <f>0.6+2*0.2</f>
        <v>1</v>
      </c>
      <c r="G145" s="358">
        <f>3.33-2.07</f>
        <v>1.26</v>
      </c>
      <c r="H145" s="356">
        <f t="shared" si="15"/>
        <v>4.18</v>
      </c>
      <c r="I145" s="357"/>
      <c r="J145" s="358" t="s">
        <v>14</v>
      </c>
      <c r="K145" s="368">
        <f t="shared" si="16"/>
        <v>4.18</v>
      </c>
      <c r="L145" s="354"/>
      <c r="M145" s="491">
        <f t="shared" si="14"/>
        <v>4.18</v>
      </c>
      <c r="N145" s="491"/>
    </row>
    <row r="146" spans="1:14" ht="17.25">
      <c r="A146" s="348"/>
      <c r="B146" s="370"/>
      <c r="C146" s="376">
        <v>1</v>
      </c>
      <c r="D146" s="371">
        <v>1</v>
      </c>
      <c r="E146" s="358">
        <f>6.8+2*0.2</f>
        <v>7.2</v>
      </c>
      <c r="F146" s="358">
        <f t="shared" ref="F146:F149" si="19">0.6+2*0.2</f>
        <v>1</v>
      </c>
      <c r="G146" s="358">
        <f t="shared" ref="G146:G149" si="20">3.33-2.07</f>
        <v>1.26</v>
      </c>
      <c r="H146" s="356">
        <f t="shared" si="15"/>
        <v>9.07</v>
      </c>
      <c r="I146" s="357"/>
      <c r="J146" s="358" t="s">
        <v>14</v>
      </c>
      <c r="K146" s="368">
        <f t="shared" si="16"/>
        <v>9.07</v>
      </c>
      <c r="L146" s="354"/>
      <c r="M146" s="491">
        <f t="shared" si="14"/>
        <v>9.07</v>
      </c>
      <c r="N146" s="491"/>
    </row>
    <row r="147" spans="1:14" ht="17.25">
      <c r="A147" s="348"/>
      <c r="B147" s="370"/>
      <c r="C147" s="376">
        <v>1</v>
      </c>
      <c r="D147" s="371">
        <v>1</v>
      </c>
      <c r="E147" s="358">
        <f>0.8-2*0.2</f>
        <v>0.4</v>
      </c>
      <c r="F147" s="358">
        <f t="shared" si="19"/>
        <v>1</v>
      </c>
      <c r="G147" s="358">
        <f t="shared" si="20"/>
        <v>1.26</v>
      </c>
      <c r="H147" s="356">
        <f t="shared" si="15"/>
        <v>0.5</v>
      </c>
      <c r="I147" s="357"/>
      <c r="J147" s="358" t="s">
        <v>14</v>
      </c>
      <c r="K147" s="368">
        <f t="shared" si="16"/>
        <v>0.5</v>
      </c>
      <c r="L147" s="354"/>
      <c r="M147" s="491">
        <f t="shared" si="14"/>
        <v>0.5</v>
      </c>
      <c r="N147" s="491"/>
    </row>
    <row r="148" spans="1:14" ht="17.25">
      <c r="A148" s="348"/>
      <c r="B148" s="370"/>
      <c r="C148" s="376">
        <v>1</v>
      </c>
      <c r="D148" s="371">
        <v>1</v>
      </c>
      <c r="E148" s="358">
        <f>1.3+2*0.2</f>
        <v>1.7</v>
      </c>
      <c r="F148" s="358">
        <f t="shared" si="19"/>
        <v>1</v>
      </c>
      <c r="G148" s="358">
        <f t="shared" si="20"/>
        <v>1.26</v>
      </c>
      <c r="H148" s="356">
        <f t="shared" si="15"/>
        <v>2.14</v>
      </c>
      <c r="I148" s="357"/>
      <c r="J148" s="358" t="s">
        <v>14</v>
      </c>
      <c r="K148" s="368">
        <f t="shared" si="16"/>
        <v>2.14</v>
      </c>
      <c r="L148" s="354"/>
      <c r="M148" s="491">
        <f t="shared" si="14"/>
        <v>2.14</v>
      </c>
      <c r="N148" s="491"/>
    </row>
    <row r="149" spans="1:14" ht="17.25">
      <c r="A149" s="348"/>
      <c r="B149" s="370"/>
      <c r="C149" s="376">
        <v>1</v>
      </c>
      <c r="D149" s="371">
        <v>1</v>
      </c>
      <c r="E149" s="358">
        <f>2.22-2*0.2</f>
        <v>1.82</v>
      </c>
      <c r="F149" s="358">
        <f t="shared" si="19"/>
        <v>1</v>
      </c>
      <c r="G149" s="358">
        <f t="shared" si="20"/>
        <v>1.26</v>
      </c>
      <c r="H149" s="356">
        <f t="shared" si="15"/>
        <v>2.29</v>
      </c>
      <c r="I149" s="357"/>
      <c r="J149" s="358" t="s">
        <v>14</v>
      </c>
      <c r="K149" s="368">
        <f t="shared" si="16"/>
        <v>2.29</v>
      </c>
      <c r="L149" s="354"/>
      <c r="M149" s="491">
        <f t="shared" si="14"/>
        <v>2.29</v>
      </c>
      <c r="N149" s="491"/>
    </row>
    <row r="150" spans="1:14" ht="17.25">
      <c r="A150" s="348"/>
      <c r="B150" s="370" t="s">
        <v>1824</v>
      </c>
      <c r="C150" s="376">
        <v>1</v>
      </c>
      <c r="D150" s="371">
        <v>1</v>
      </c>
      <c r="E150" s="358">
        <v>7.2</v>
      </c>
      <c r="F150" s="358">
        <v>4.9000000000000004</v>
      </c>
      <c r="G150" s="358">
        <f>3.35-2.25</f>
        <v>1.1000000000000001</v>
      </c>
      <c r="H150" s="356">
        <f t="shared" si="15"/>
        <v>38.81</v>
      </c>
      <c r="I150" s="357"/>
      <c r="J150" s="358" t="s">
        <v>14</v>
      </c>
      <c r="K150" s="368">
        <f t="shared" si="16"/>
        <v>38.81</v>
      </c>
      <c r="L150" s="354"/>
      <c r="M150" s="491">
        <f t="shared" si="14"/>
        <v>38.81</v>
      </c>
      <c r="N150" s="491"/>
    </row>
    <row r="151" spans="1:14" ht="17.25">
      <c r="A151" s="348"/>
      <c r="B151" s="370" t="s">
        <v>1825</v>
      </c>
      <c r="C151" s="376">
        <v>1</v>
      </c>
      <c r="D151" s="371">
        <v>1</v>
      </c>
      <c r="E151" s="358">
        <v>4.2</v>
      </c>
      <c r="F151" s="358">
        <v>2.4</v>
      </c>
      <c r="G151" s="358">
        <f>3.5-1.98</f>
        <v>1.52</v>
      </c>
      <c r="H151" s="356">
        <f t="shared" si="15"/>
        <v>15.32</v>
      </c>
      <c r="I151" s="357"/>
      <c r="J151" s="358" t="s">
        <v>14</v>
      </c>
      <c r="K151" s="368">
        <f t="shared" si="16"/>
        <v>15.32</v>
      </c>
      <c r="L151" s="354"/>
      <c r="M151" s="491">
        <f t="shared" si="14"/>
        <v>15.32</v>
      </c>
      <c r="N151" s="491"/>
    </row>
    <row r="152" spans="1:14" ht="17.25">
      <c r="A152" s="348"/>
      <c r="B152" s="370" t="s">
        <v>1826</v>
      </c>
      <c r="C152" s="376">
        <v>1</v>
      </c>
      <c r="D152" s="371">
        <v>1</v>
      </c>
      <c r="E152" s="358">
        <v>1.4</v>
      </c>
      <c r="F152" s="358">
        <v>1.4</v>
      </c>
      <c r="G152" s="358">
        <f>3.33-2.07</f>
        <v>1.26</v>
      </c>
      <c r="H152" s="356">
        <f t="shared" si="15"/>
        <v>2.4700000000000002</v>
      </c>
      <c r="I152" s="357"/>
      <c r="J152" s="358" t="s">
        <v>14</v>
      </c>
      <c r="K152" s="368">
        <f t="shared" si="16"/>
        <v>2.4700000000000002</v>
      </c>
      <c r="L152" s="354"/>
      <c r="M152" s="491">
        <f t="shared" ref="M152:M215" si="21">C152*D152*E152*F152*G152</f>
        <v>2.4700000000000002</v>
      </c>
      <c r="N152" s="491"/>
    </row>
    <row r="153" spans="1:14" ht="17.25">
      <c r="A153" s="348"/>
      <c r="B153" s="370" t="s">
        <v>1827</v>
      </c>
      <c r="C153" s="376">
        <v>1</v>
      </c>
      <c r="D153" s="371">
        <v>1</v>
      </c>
      <c r="E153" s="358">
        <v>2.2000000000000002</v>
      </c>
      <c r="F153" s="358">
        <v>2.2000000000000002</v>
      </c>
      <c r="G153" s="358">
        <f>3.33-2.07</f>
        <v>1.26</v>
      </c>
      <c r="H153" s="356">
        <f t="shared" si="15"/>
        <v>6.1</v>
      </c>
      <c r="I153" s="357"/>
      <c r="J153" s="358" t="s">
        <v>14</v>
      </c>
      <c r="K153" s="368">
        <f t="shared" si="16"/>
        <v>6.1</v>
      </c>
      <c r="L153" s="354"/>
      <c r="M153" s="491">
        <f t="shared" si="21"/>
        <v>6.1</v>
      </c>
      <c r="N153" s="491"/>
    </row>
    <row r="154" spans="1:14" ht="17.25">
      <c r="A154" s="348"/>
      <c r="B154" s="370" t="s">
        <v>1828</v>
      </c>
      <c r="C154" s="376">
        <v>1</v>
      </c>
      <c r="D154" s="371">
        <v>1</v>
      </c>
      <c r="E154" s="358">
        <v>3</v>
      </c>
      <c r="F154" s="358">
        <v>3</v>
      </c>
      <c r="G154" s="358">
        <f>3.34-2.24</f>
        <v>1.1000000000000001</v>
      </c>
      <c r="H154" s="356">
        <f t="shared" si="15"/>
        <v>9.9</v>
      </c>
      <c r="I154" s="357"/>
      <c r="J154" s="358" t="s">
        <v>14</v>
      </c>
      <c r="K154" s="368">
        <f t="shared" si="16"/>
        <v>9.9</v>
      </c>
      <c r="L154" s="354"/>
      <c r="M154" s="491">
        <f t="shared" si="21"/>
        <v>9.9</v>
      </c>
      <c r="N154" s="491"/>
    </row>
    <row r="155" spans="1:14" ht="17.25">
      <c r="A155" s="348"/>
      <c r="B155" s="370" t="s">
        <v>1829</v>
      </c>
      <c r="C155" s="376">
        <v>1</v>
      </c>
      <c r="D155" s="371">
        <v>1</v>
      </c>
      <c r="E155" s="358">
        <v>1.8</v>
      </c>
      <c r="F155" s="358">
        <v>1.8</v>
      </c>
      <c r="G155" s="358">
        <f>3.34-2.24</f>
        <v>1.1000000000000001</v>
      </c>
      <c r="H155" s="356">
        <f t="shared" si="15"/>
        <v>3.56</v>
      </c>
      <c r="I155" s="357"/>
      <c r="J155" s="358" t="s">
        <v>14</v>
      </c>
      <c r="K155" s="368">
        <f t="shared" si="16"/>
        <v>3.56</v>
      </c>
      <c r="L155" s="354"/>
      <c r="M155" s="491">
        <f t="shared" si="21"/>
        <v>3.56</v>
      </c>
      <c r="N155" s="491"/>
    </row>
    <row r="156" spans="1:14" ht="17.25">
      <c r="A156" s="348"/>
      <c r="B156" s="370" t="s">
        <v>1830</v>
      </c>
      <c r="C156" s="376">
        <v>1</v>
      </c>
      <c r="D156" s="371">
        <v>1</v>
      </c>
      <c r="E156" s="358">
        <v>5.2</v>
      </c>
      <c r="F156" s="358">
        <v>4.95</v>
      </c>
      <c r="G156" s="358">
        <f>3.15-2.07</f>
        <v>1.08</v>
      </c>
      <c r="H156" s="356">
        <f t="shared" si="15"/>
        <v>27.8</v>
      </c>
      <c r="I156" s="357"/>
      <c r="J156" s="358" t="s">
        <v>14</v>
      </c>
      <c r="K156" s="368">
        <f t="shared" si="16"/>
        <v>27.8</v>
      </c>
      <c r="L156" s="354"/>
      <c r="M156" s="491">
        <f t="shared" si="21"/>
        <v>27.8</v>
      </c>
      <c r="N156" s="491"/>
    </row>
    <row r="157" spans="1:14" ht="17.25">
      <c r="A157" s="348"/>
      <c r="B157" s="370" t="s">
        <v>1831</v>
      </c>
      <c r="C157" s="376">
        <v>1</v>
      </c>
      <c r="D157" s="371">
        <v>1</v>
      </c>
      <c r="E157" s="358">
        <v>3</v>
      </c>
      <c r="F157" s="358">
        <v>3</v>
      </c>
      <c r="G157" s="358">
        <f>3.6-2.2</f>
        <v>1.4</v>
      </c>
      <c r="H157" s="356">
        <f t="shared" si="15"/>
        <v>12.6</v>
      </c>
      <c r="I157" s="357"/>
      <c r="J157" s="358" t="s">
        <v>14</v>
      </c>
      <c r="K157" s="368">
        <f t="shared" si="16"/>
        <v>12.6</v>
      </c>
      <c r="L157" s="354"/>
      <c r="M157" s="491">
        <f t="shared" si="21"/>
        <v>12.6</v>
      </c>
      <c r="N157" s="491"/>
    </row>
    <row r="158" spans="1:14" ht="17.25">
      <c r="A158" s="348"/>
      <c r="B158" s="370" t="s">
        <v>1832</v>
      </c>
      <c r="C158" s="376">
        <v>1</v>
      </c>
      <c r="D158" s="371">
        <v>1</v>
      </c>
      <c r="E158" s="358">
        <v>3</v>
      </c>
      <c r="F158" s="358">
        <v>3</v>
      </c>
      <c r="G158" s="358">
        <f>3.6-2.07</f>
        <v>1.53</v>
      </c>
      <c r="H158" s="356">
        <f t="shared" si="15"/>
        <v>13.77</v>
      </c>
      <c r="I158" s="357"/>
      <c r="J158" s="358" t="s">
        <v>14</v>
      </c>
      <c r="K158" s="368">
        <f t="shared" si="16"/>
        <v>13.77</v>
      </c>
      <c r="L158" s="354"/>
      <c r="M158" s="491">
        <f t="shared" si="21"/>
        <v>13.77</v>
      </c>
      <c r="N158" s="491"/>
    </row>
    <row r="159" spans="1:14" ht="17.25">
      <c r="A159" s="348"/>
      <c r="B159" s="370" t="s">
        <v>1840</v>
      </c>
      <c r="C159" s="376">
        <v>1</v>
      </c>
      <c r="D159" s="371">
        <v>1</v>
      </c>
      <c r="E159" s="358">
        <f>2.95</f>
        <v>2.95</v>
      </c>
      <c r="F159" s="358">
        <f>0.8+2*0.2</f>
        <v>1.2</v>
      </c>
      <c r="G159" s="358">
        <f>3.7-2.6</f>
        <v>1.1000000000000001</v>
      </c>
      <c r="H159" s="356">
        <f t="shared" si="15"/>
        <v>3.89</v>
      </c>
      <c r="I159" s="357"/>
      <c r="J159" s="358" t="s">
        <v>14</v>
      </c>
      <c r="K159" s="368">
        <f t="shared" si="16"/>
        <v>3.89</v>
      </c>
      <c r="L159" s="354"/>
      <c r="M159" s="491">
        <f t="shared" si="21"/>
        <v>3.89</v>
      </c>
      <c r="N159" s="491"/>
    </row>
    <row r="160" spans="1:14" ht="17.25">
      <c r="A160" s="348"/>
      <c r="B160" s="370" t="s">
        <v>1839</v>
      </c>
      <c r="C160" s="376">
        <v>1</v>
      </c>
      <c r="D160" s="371">
        <v>1</v>
      </c>
      <c r="E160" s="358">
        <f>4.1+2*0.2</f>
        <v>4.5</v>
      </c>
      <c r="F160" s="358">
        <f>0.8+2*0.2</f>
        <v>1.2</v>
      </c>
      <c r="G160" s="358">
        <f>3.7-2.6</f>
        <v>1.1000000000000001</v>
      </c>
      <c r="H160" s="356">
        <f t="shared" si="15"/>
        <v>5.94</v>
      </c>
      <c r="I160" s="357"/>
      <c r="J160" s="358" t="s">
        <v>14</v>
      </c>
      <c r="K160" s="368">
        <f t="shared" ref="K160" si="22">H160*C160</f>
        <v>5.94</v>
      </c>
      <c r="L160" s="354"/>
      <c r="M160" s="491">
        <f t="shared" si="21"/>
        <v>5.94</v>
      </c>
      <c r="N160" s="491"/>
    </row>
    <row r="161" spans="1:14" ht="17.25">
      <c r="A161" s="348"/>
      <c r="B161" s="370" t="s">
        <v>1841</v>
      </c>
      <c r="C161" s="376">
        <v>1</v>
      </c>
      <c r="D161" s="371">
        <v>1</v>
      </c>
      <c r="E161" s="358">
        <f>1.2+2*0.2</f>
        <v>1.6</v>
      </c>
      <c r="F161" s="358">
        <f>1.2+2*0.2</f>
        <v>1.6</v>
      </c>
      <c r="G161" s="358">
        <f>3.7-2.6</f>
        <v>1.1000000000000001</v>
      </c>
      <c r="H161" s="356">
        <f t="shared" si="15"/>
        <v>2.82</v>
      </c>
      <c r="I161" s="357"/>
      <c r="J161" s="358" t="s">
        <v>14</v>
      </c>
      <c r="K161" s="368">
        <f t="shared" ref="K161" si="23">H161*C161</f>
        <v>2.82</v>
      </c>
      <c r="L161" s="354"/>
      <c r="M161" s="491">
        <f t="shared" si="21"/>
        <v>2.82</v>
      </c>
      <c r="N161" s="491"/>
    </row>
    <row r="162" spans="1:14" ht="17.25">
      <c r="A162" s="348"/>
      <c r="B162" s="370" t="s">
        <v>1833</v>
      </c>
      <c r="C162" s="376">
        <v>1</v>
      </c>
      <c r="D162" s="371">
        <v>1</v>
      </c>
      <c r="E162" s="358">
        <v>2.9</v>
      </c>
      <c r="F162" s="358">
        <v>2.9</v>
      </c>
      <c r="G162" s="358">
        <f>3.45-2.75</f>
        <v>0.7</v>
      </c>
      <c r="H162" s="356">
        <f t="shared" si="15"/>
        <v>5.89</v>
      </c>
      <c r="I162" s="357"/>
      <c r="J162" s="358" t="s">
        <v>14</v>
      </c>
      <c r="K162" s="368">
        <f t="shared" si="16"/>
        <v>5.89</v>
      </c>
      <c r="L162" s="354"/>
      <c r="M162" s="491">
        <f t="shared" si="21"/>
        <v>5.89</v>
      </c>
      <c r="N162" s="491"/>
    </row>
    <row r="163" spans="1:14" ht="17.25">
      <c r="A163" s="348"/>
      <c r="B163" s="370" t="s">
        <v>1834</v>
      </c>
      <c r="C163" s="376">
        <v>1</v>
      </c>
      <c r="D163" s="371">
        <v>1</v>
      </c>
      <c r="E163" s="358">
        <v>2</v>
      </c>
      <c r="F163" s="358">
        <v>2</v>
      </c>
      <c r="G163" s="358">
        <f>3.58-2.74</f>
        <v>0.84</v>
      </c>
      <c r="H163" s="356">
        <f t="shared" si="15"/>
        <v>3.36</v>
      </c>
      <c r="I163" s="357"/>
      <c r="J163" s="358" t="s">
        <v>14</v>
      </c>
      <c r="K163" s="368">
        <f t="shared" si="16"/>
        <v>3.36</v>
      </c>
      <c r="L163" s="354"/>
      <c r="M163" s="491">
        <f t="shared" si="21"/>
        <v>3.36</v>
      </c>
      <c r="N163" s="491"/>
    </row>
    <row r="164" spans="1:14" ht="17.25">
      <c r="A164" s="348"/>
      <c r="B164" s="370" t="s">
        <v>1835</v>
      </c>
      <c r="C164" s="376">
        <v>1</v>
      </c>
      <c r="D164" s="371">
        <v>1</v>
      </c>
      <c r="E164" s="358">
        <v>4.2</v>
      </c>
      <c r="F164" s="358">
        <v>4.2</v>
      </c>
      <c r="G164" s="358">
        <f>4.55-2.75</f>
        <v>1.8</v>
      </c>
      <c r="H164" s="356">
        <f t="shared" si="15"/>
        <v>31.75</v>
      </c>
      <c r="I164" s="357"/>
      <c r="J164" s="358" t="s">
        <v>14</v>
      </c>
      <c r="K164" s="368">
        <f t="shared" si="16"/>
        <v>31.75</v>
      </c>
      <c r="L164" s="354"/>
      <c r="M164" s="491">
        <f t="shared" si="21"/>
        <v>31.75</v>
      </c>
      <c r="N164" s="491"/>
    </row>
    <row r="165" spans="1:14" ht="17.25">
      <c r="A165" s="348"/>
      <c r="B165" s="370" t="s">
        <v>1836</v>
      </c>
      <c r="C165" s="376">
        <v>1</v>
      </c>
      <c r="D165" s="371">
        <v>1</v>
      </c>
      <c r="E165" s="358">
        <v>2</v>
      </c>
      <c r="F165" s="358">
        <v>2</v>
      </c>
      <c r="G165" s="358">
        <f>4.45-2.4</f>
        <v>2.0499999999999998</v>
      </c>
      <c r="H165" s="356">
        <f t="shared" si="15"/>
        <v>8.1999999999999993</v>
      </c>
      <c r="I165" s="357"/>
      <c r="J165" s="358" t="s">
        <v>14</v>
      </c>
      <c r="K165" s="368">
        <f t="shared" si="16"/>
        <v>8.1999999999999993</v>
      </c>
      <c r="L165" s="438">
        <f>SUM(K109:K165)</f>
        <v>579.45000000000005</v>
      </c>
      <c r="M165" s="491">
        <f t="shared" si="21"/>
        <v>8.1999999999999993</v>
      </c>
      <c r="N165" s="491"/>
    </row>
    <row r="166" spans="1:14" ht="15.75" customHeight="1">
      <c r="A166" s="362"/>
      <c r="B166" s="485" t="s">
        <v>1844</v>
      </c>
      <c r="C166" s="375"/>
      <c r="D166" s="362"/>
      <c r="E166" s="363"/>
      <c r="F166" s="362"/>
      <c r="G166" s="356"/>
      <c r="H166" s="437"/>
      <c r="I166" s="351"/>
      <c r="J166" s="389"/>
      <c r="K166" s="486"/>
      <c r="L166" s="354"/>
      <c r="M166" s="491">
        <f t="shared" si="21"/>
        <v>0</v>
      </c>
      <c r="N166" s="491"/>
    </row>
    <row r="167" spans="1:14" customFormat="1" ht="17.25">
      <c r="A167" s="348"/>
      <c r="B167" s="370" t="s">
        <v>1845</v>
      </c>
      <c r="C167" s="376">
        <v>1</v>
      </c>
      <c r="D167" s="371">
        <v>1</v>
      </c>
      <c r="E167" s="358">
        <v>1.4</v>
      </c>
      <c r="F167" s="358">
        <v>1.4</v>
      </c>
      <c r="G167" s="358">
        <f>3.72-1.8</f>
        <v>1.92</v>
      </c>
      <c r="H167" s="356">
        <f t="shared" ref="H167:H207" si="24">G167*F167*E167*D167*C167</f>
        <v>3.76</v>
      </c>
      <c r="I167" s="357"/>
      <c r="J167" s="358" t="s">
        <v>14</v>
      </c>
      <c r="K167" s="368">
        <f t="shared" ref="K167:K207" si="25">H167*C167</f>
        <v>3.76</v>
      </c>
      <c r="L167" s="354"/>
      <c r="M167" s="491">
        <f t="shared" si="21"/>
        <v>3.76</v>
      </c>
      <c r="N167" s="491"/>
    </row>
    <row r="168" spans="1:14" customFormat="1" ht="17.25">
      <c r="A168" s="348"/>
      <c r="B168" s="370" t="s">
        <v>1846</v>
      </c>
      <c r="C168" s="376">
        <v>1</v>
      </c>
      <c r="D168" s="371">
        <v>1</v>
      </c>
      <c r="E168" s="358">
        <v>1.4</v>
      </c>
      <c r="F168" s="358">
        <v>1.4</v>
      </c>
      <c r="G168" s="358">
        <f>3.65-1.8</f>
        <v>1.85</v>
      </c>
      <c r="H168" s="356">
        <f t="shared" si="24"/>
        <v>3.63</v>
      </c>
      <c r="I168" s="357"/>
      <c r="J168" s="358" t="s">
        <v>14</v>
      </c>
      <c r="K168" s="368">
        <f t="shared" si="25"/>
        <v>3.63</v>
      </c>
      <c r="L168" s="354"/>
      <c r="M168" s="491">
        <f t="shared" si="21"/>
        <v>3.63</v>
      </c>
      <c r="N168" s="491"/>
    </row>
    <row r="169" spans="1:14" customFormat="1" ht="17.25">
      <c r="A169" s="348"/>
      <c r="B169" s="370" t="s">
        <v>1847</v>
      </c>
      <c r="C169" s="376">
        <v>1</v>
      </c>
      <c r="D169" s="371">
        <v>1</v>
      </c>
      <c r="E169" s="358">
        <v>1.8</v>
      </c>
      <c r="F169" s="358">
        <v>1.8</v>
      </c>
      <c r="G169" s="358">
        <f>3.6-1.85</f>
        <v>1.75</v>
      </c>
      <c r="H169" s="356">
        <f t="shared" si="24"/>
        <v>5.67</v>
      </c>
      <c r="I169" s="357"/>
      <c r="J169" s="358" t="s">
        <v>14</v>
      </c>
      <c r="K169" s="368">
        <f t="shared" si="25"/>
        <v>5.67</v>
      </c>
      <c r="L169" s="354"/>
      <c r="M169" s="491">
        <f t="shared" si="21"/>
        <v>5.67</v>
      </c>
      <c r="N169" s="491"/>
    </row>
    <row r="170" spans="1:14" customFormat="1" ht="17.25">
      <c r="A170" s="348"/>
      <c r="B170" s="370" t="s">
        <v>1848</v>
      </c>
      <c r="C170" s="376">
        <v>1</v>
      </c>
      <c r="D170" s="371">
        <v>1</v>
      </c>
      <c r="E170" s="358">
        <v>1.6</v>
      </c>
      <c r="F170" s="358">
        <v>1.6</v>
      </c>
      <c r="G170" s="358">
        <f>3.6-2</f>
        <v>1.6</v>
      </c>
      <c r="H170" s="356">
        <f t="shared" si="24"/>
        <v>4.0999999999999996</v>
      </c>
      <c r="I170" s="357"/>
      <c r="J170" s="358" t="s">
        <v>14</v>
      </c>
      <c r="K170" s="368">
        <f t="shared" si="25"/>
        <v>4.0999999999999996</v>
      </c>
      <c r="L170" s="354"/>
      <c r="M170" s="491">
        <f t="shared" si="21"/>
        <v>4.0999999999999996</v>
      </c>
      <c r="N170" s="491"/>
    </row>
    <row r="171" spans="1:14" customFormat="1" ht="17.25">
      <c r="A171" s="348"/>
      <c r="B171" s="370" t="s">
        <v>1849</v>
      </c>
      <c r="C171" s="376">
        <v>1</v>
      </c>
      <c r="D171" s="371">
        <v>1</v>
      </c>
      <c r="E171" s="358">
        <v>1.4</v>
      </c>
      <c r="F171" s="358">
        <v>1.4</v>
      </c>
      <c r="G171" s="463">
        <f>3.7-1.95</f>
        <v>1.75</v>
      </c>
      <c r="H171" s="356">
        <f t="shared" si="24"/>
        <v>3.43</v>
      </c>
      <c r="I171" s="357"/>
      <c r="J171" s="358" t="s">
        <v>14</v>
      </c>
      <c r="K171" s="368">
        <f t="shared" si="25"/>
        <v>3.43</v>
      </c>
      <c r="L171" s="354"/>
      <c r="M171" s="491">
        <f t="shared" si="21"/>
        <v>3.43</v>
      </c>
      <c r="N171" s="491"/>
    </row>
    <row r="172" spans="1:14" customFormat="1" ht="17.25">
      <c r="A172" s="348"/>
      <c r="B172" s="370" t="s">
        <v>1850</v>
      </c>
      <c r="C172" s="376">
        <v>1</v>
      </c>
      <c r="D172" s="371">
        <v>1</v>
      </c>
      <c r="E172" s="358">
        <v>1.6</v>
      </c>
      <c r="F172" s="358">
        <v>1.6</v>
      </c>
      <c r="G172" s="358">
        <f>3.7-1.9</f>
        <v>1.8</v>
      </c>
      <c r="H172" s="356">
        <f t="shared" si="24"/>
        <v>4.6100000000000003</v>
      </c>
      <c r="I172" s="357"/>
      <c r="J172" s="358" t="s">
        <v>14</v>
      </c>
      <c r="K172" s="368">
        <f t="shared" si="25"/>
        <v>4.6100000000000003</v>
      </c>
      <c r="L172" s="354"/>
      <c r="M172" s="491">
        <f t="shared" si="21"/>
        <v>4.6100000000000003</v>
      </c>
      <c r="N172" s="491"/>
    </row>
    <row r="173" spans="1:14" customFormat="1" ht="17.25">
      <c r="A173" s="348"/>
      <c r="B173" s="370" t="s">
        <v>1851</v>
      </c>
      <c r="C173" s="376">
        <v>1</v>
      </c>
      <c r="D173" s="371">
        <v>1</v>
      </c>
      <c r="E173" s="358">
        <v>1.6</v>
      </c>
      <c r="F173" s="358">
        <v>1.6</v>
      </c>
      <c r="G173" s="358">
        <f>3.7-1.9</f>
        <v>1.8</v>
      </c>
      <c r="H173" s="356">
        <f t="shared" si="24"/>
        <v>4.6100000000000003</v>
      </c>
      <c r="I173" s="357"/>
      <c r="J173" s="358" t="s">
        <v>14</v>
      </c>
      <c r="K173" s="368">
        <f t="shared" si="25"/>
        <v>4.6100000000000003</v>
      </c>
      <c r="L173" s="354"/>
      <c r="M173" s="491">
        <f t="shared" si="21"/>
        <v>4.6100000000000003</v>
      </c>
      <c r="N173" s="491"/>
    </row>
    <row r="174" spans="1:14" customFormat="1" ht="17.25">
      <c r="A174" s="348"/>
      <c r="B174" s="370" t="s">
        <v>1852</v>
      </c>
      <c r="C174" s="376">
        <v>1</v>
      </c>
      <c r="D174" s="371">
        <v>1</v>
      </c>
      <c r="E174" s="358">
        <v>1.4</v>
      </c>
      <c r="F174" s="358">
        <v>1.4</v>
      </c>
      <c r="G174" s="358">
        <f>3.6-2</f>
        <v>1.6</v>
      </c>
      <c r="H174" s="356">
        <f t="shared" si="24"/>
        <v>3.14</v>
      </c>
      <c r="I174" s="357"/>
      <c r="J174" s="358" t="s">
        <v>14</v>
      </c>
      <c r="K174" s="368">
        <f t="shared" si="25"/>
        <v>3.14</v>
      </c>
      <c r="L174" s="354"/>
      <c r="M174" s="491">
        <f t="shared" si="21"/>
        <v>3.14</v>
      </c>
      <c r="N174" s="491"/>
    </row>
    <row r="175" spans="1:14" customFormat="1" ht="17.25">
      <c r="A175" s="348"/>
      <c r="B175" s="370" t="s">
        <v>1853</v>
      </c>
      <c r="C175" s="376">
        <v>1</v>
      </c>
      <c r="D175" s="371">
        <v>1</v>
      </c>
      <c r="E175" s="358">
        <v>1.4</v>
      </c>
      <c r="F175" s="358">
        <v>1.4</v>
      </c>
      <c r="G175" s="463">
        <f>3.7-1.95</f>
        <v>1.75</v>
      </c>
      <c r="H175" s="356">
        <f t="shared" si="24"/>
        <v>3.43</v>
      </c>
      <c r="I175" s="357"/>
      <c r="J175" s="358" t="s">
        <v>14</v>
      </c>
      <c r="K175" s="368">
        <f t="shared" si="25"/>
        <v>3.43</v>
      </c>
      <c r="L175" s="354"/>
      <c r="M175" s="491">
        <f t="shared" si="21"/>
        <v>3.43</v>
      </c>
      <c r="N175" s="491"/>
    </row>
    <row r="176" spans="1:14" customFormat="1" ht="17.25">
      <c r="A176" s="348"/>
      <c r="B176" s="370" t="s">
        <v>1854</v>
      </c>
      <c r="C176" s="376">
        <v>1</v>
      </c>
      <c r="D176" s="371">
        <v>1</v>
      </c>
      <c r="E176" s="358">
        <v>1.6</v>
      </c>
      <c r="F176" s="358">
        <v>1.6</v>
      </c>
      <c r="G176" s="358">
        <f>3.7-2</f>
        <v>1.7</v>
      </c>
      <c r="H176" s="356">
        <f t="shared" si="24"/>
        <v>4.3499999999999996</v>
      </c>
      <c r="I176" s="357"/>
      <c r="J176" s="358" t="s">
        <v>14</v>
      </c>
      <c r="K176" s="368">
        <f t="shared" si="25"/>
        <v>4.3499999999999996</v>
      </c>
      <c r="L176" s="354"/>
      <c r="M176" s="491">
        <f t="shared" si="21"/>
        <v>4.3499999999999996</v>
      </c>
      <c r="N176" s="491"/>
    </row>
    <row r="177" spans="1:14" customFormat="1" ht="17.25">
      <c r="A177" s="348"/>
      <c r="B177" s="370" t="s">
        <v>1855</v>
      </c>
      <c r="C177" s="376">
        <v>1</v>
      </c>
      <c r="D177" s="371">
        <v>1</v>
      </c>
      <c r="E177" s="358">
        <v>1.6</v>
      </c>
      <c r="F177" s="358">
        <v>1.6</v>
      </c>
      <c r="G177" s="358">
        <f>3.72-1.92</f>
        <v>1.8</v>
      </c>
      <c r="H177" s="356">
        <f t="shared" si="24"/>
        <v>4.6100000000000003</v>
      </c>
      <c r="I177" s="357"/>
      <c r="J177" s="358" t="s">
        <v>14</v>
      </c>
      <c r="K177" s="368">
        <f t="shared" si="25"/>
        <v>4.6100000000000003</v>
      </c>
      <c r="L177" s="354"/>
      <c r="M177" s="491">
        <f t="shared" si="21"/>
        <v>4.6100000000000003</v>
      </c>
      <c r="N177" s="491"/>
    </row>
    <row r="178" spans="1:14" customFormat="1" ht="17.25">
      <c r="A178" s="348"/>
      <c r="B178" s="370" t="s">
        <v>1856</v>
      </c>
      <c r="C178" s="376">
        <v>1</v>
      </c>
      <c r="D178" s="371">
        <v>1</v>
      </c>
      <c r="E178" s="358">
        <v>1.6</v>
      </c>
      <c r="F178" s="358">
        <v>1.6</v>
      </c>
      <c r="G178" s="358">
        <f>3.65-2.05</f>
        <v>1.6</v>
      </c>
      <c r="H178" s="356">
        <f t="shared" si="24"/>
        <v>4.0999999999999996</v>
      </c>
      <c r="I178" s="357"/>
      <c r="J178" s="358" t="s">
        <v>14</v>
      </c>
      <c r="K178" s="368">
        <f t="shared" si="25"/>
        <v>4.0999999999999996</v>
      </c>
      <c r="L178" s="354"/>
      <c r="M178" s="491">
        <f t="shared" si="21"/>
        <v>4.0999999999999996</v>
      </c>
      <c r="N178" s="491"/>
    </row>
    <row r="179" spans="1:14" customFormat="1" ht="17.25">
      <c r="A179" s="348"/>
      <c r="B179" s="370" t="s">
        <v>1857</v>
      </c>
      <c r="C179" s="376">
        <v>1</v>
      </c>
      <c r="D179" s="371">
        <v>1</v>
      </c>
      <c r="E179" s="358">
        <v>1.8</v>
      </c>
      <c r="F179" s="358">
        <v>1.8</v>
      </c>
      <c r="G179" s="358">
        <f>3.7-1.95</f>
        <v>1.75</v>
      </c>
      <c r="H179" s="356">
        <f t="shared" si="24"/>
        <v>5.67</v>
      </c>
      <c r="I179" s="357"/>
      <c r="J179" s="358" t="s">
        <v>14</v>
      </c>
      <c r="K179" s="368">
        <f t="shared" si="25"/>
        <v>5.67</v>
      </c>
      <c r="L179" s="354"/>
      <c r="M179" s="491">
        <f t="shared" si="21"/>
        <v>5.67</v>
      </c>
      <c r="N179" s="491"/>
    </row>
    <row r="180" spans="1:14" customFormat="1" ht="17.25">
      <c r="A180" s="348"/>
      <c r="B180" s="370" t="s">
        <v>1858</v>
      </c>
      <c r="C180" s="376">
        <v>1</v>
      </c>
      <c r="D180" s="371">
        <v>1</v>
      </c>
      <c r="E180" s="358">
        <v>1.8</v>
      </c>
      <c r="F180" s="358">
        <v>1.8</v>
      </c>
      <c r="G180" s="358">
        <f>3.6-1.9</f>
        <v>1.7</v>
      </c>
      <c r="H180" s="356">
        <f t="shared" si="24"/>
        <v>5.51</v>
      </c>
      <c r="I180" s="357"/>
      <c r="J180" s="358" t="s">
        <v>14</v>
      </c>
      <c r="K180" s="368">
        <f t="shared" si="25"/>
        <v>5.51</v>
      </c>
      <c r="L180" s="354"/>
      <c r="M180" s="491">
        <f t="shared" si="21"/>
        <v>5.51</v>
      </c>
      <c r="N180" s="491"/>
    </row>
    <row r="181" spans="1:14" customFormat="1" ht="17.25">
      <c r="A181" s="348"/>
      <c r="B181" s="370" t="s">
        <v>1859</v>
      </c>
      <c r="C181" s="376">
        <v>1</v>
      </c>
      <c r="D181" s="371">
        <v>1</v>
      </c>
      <c r="E181" s="358">
        <v>1.4</v>
      </c>
      <c r="F181" s="358">
        <v>1.4</v>
      </c>
      <c r="G181" s="358">
        <f>3.5-1.9</f>
        <v>1.6</v>
      </c>
      <c r="H181" s="356">
        <f t="shared" si="24"/>
        <v>3.14</v>
      </c>
      <c r="I181" s="357"/>
      <c r="J181" s="358" t="s">
        <v>14</v>
      </c>
      <c r="K181" s="368">
        <f t="shared" si="25"/>
        <v>3.14</v>
      </c>
      <c r="L181" s="354"/>
      <c r="M181" s="491">
        <f t="shared" si="21"/>
        <v>3.14</v>
      </c>
      <c r="N181" s="491"/>
    </row>
    <row r="182" spans="1:14" customFormat="1" ht="17.25">
      <c r="A182" s="348"/>
      <c r="B182" s="370" t="s">
        <v>1860</v>
      </c>
      <c r="C182" s="376">
        <v>1</v>
      </c>
      <c r="D182" s="371">
        <v>1</v>
      </c>
      <c r="E182" s="358">
        <v>2</v>
      </c>
      <c r="F182" s="358">
        <v>2</v>
      </c>
      <c r="G182" s="358">
        <f>3.55-2</f>
        <v>1.55</v>
      </c>
      <c r="H182" s="356">
        <f t="shared" si="24"/>
        <v>6.2</v>
      </c>
      <c r="I182" s="357"/>
      <c r="J182" s="358" t="s">
        <v>14</v>
      </c>
      <c r="K182" s="368">
        <f t="shared" si="25"/>
        <v>6.2</v>
      </c>
      <c r="L182" s="354"/>
      <c r="M182" s="491">
        <f t="shared" si="21"/>
        <v>6.2</v>
      </c>
      <c r="N182" s="491"/>
    </row>
    <row r="183" spans="1:14" customFormat="1" ht="17.25">
      <c r="A183" s="348"/>
      <c r="B183" s="370" t="s">
        <v>1861</v>
      </c>
      <c r="C183" s="376">
        <v>1</v>
      </c>
      <c r="D183" s="371">
        <v>1</v>
      </c>
      <c r="E183" s="358">
        <v>2</v>
      </c>
      <c r="F183" s="358">
        <v>2</v>
      </c>
      <c r="G183" s="358">
        <f>3.47-2</f>
        <v>1.47</v>
      </c>
      <c r="H183" s="356">
        <f t="shared" si="24"/>
        <v>5.88</v>
      </c>
      <c r="I183" s="357"/>
      <c r="J183" s="358" t="s">
        <v>14</v>
      </c>
      <c r="K183" s="368">
        <f t="shared" si="25"/>
        <v>5.88</v>
      </c>
      <c r="L183" s="354"/>
      <c r="M183" s="491">
        <f t="shared" si="21"/>
        <v>5.88</v>
      </c>
      <c r="N183" s="491"/>
    </row>
    <row r="184" spans="1:14" customFormat="1" ht="17.25">
      <c r="A184" s="348"/>
      <c r="B184" s="370" t="s">
        <v>1862</v>
      </c>
      <c r="C184" s="376">
        <v>1</v>
      </c>
      <c r="D184" s="371">
        <v>1</v>
      </c>
      <c r="E184" s="358">
        <v>1.6</v>
      </c>
      <c r="F184" s="358">
        <v>1.6</v>
      </c>
      <c r="G184" s="358">
        <f>3.5-2</f>
        <v>1.5</v>
      </c>
      <c r="H184" s="356">
        <f t="shared" si="24"/>
        <v>3.84</v>
      </c>
      <c r="I184" s="357"/>
      <c r="J184" s="358" t="s">
        <v>14</v>
      </c>
      <c r="K184" s="368">
        <f t="shared" si="25"/>
        <v>3.84</v>
      </c>
      <c r="L184" s="354"/>
      <c r="M184" s="491">
        <f t="shared" si="21"/>
        <v>3.84</v>
      </c>
      <c r="N184" s="491"/>
    </row>
    <row r="185" spans="1:14" customFormat="1" ht="17.25">
      <c r="A185" s="348"/>
      <c r="B185" s="370" t="s">
        <v>1863</v>
      </c>
      <c r="C185" s="376">
        <v>1</v>
      </c>
      <c r="D185" s="371">
        <v>1</v>
      </c>
      <c r="E185" s="358">
        <v>2</v>
      </c>
      <c r="F185" s="358">
        <v>2</v>
      </c>
      <c r="G185" s="358">
        <f>3.49-2</f>
        <v>1.49</v>
      </c>
      <c r="H185" s="356">
        <f t="shared" si="24"/>
        <v>5.96</v>
      </c>
      <c r="I185" s="357"/>
      <c r="J185" s="358" t="s">
        <v>14</v>
      </c>
      <c r="K185" s="368">
        <f t="shared" si="25"/>
        <v>5.96</v>
      </c>
      <c r="L185" s="354"/>
      <c r="M185" s="491">
        <f t="shared" si="21"/>
        <v>5.96</v>
      </c>
      <c r="N185" s="491"/>
    </row>
    <row r="186" spans="1:14" customFormat="1" ht="17.25">
      <c r="A186" s="348"/>
      <c r="B186" s="370" t="s">
        <v>1864</v>
      </c>
      <c r="C186" s="376">
        <v>1</v>
      </c>
      <c r="D186" s="371">
        <v>1</v>
      </c>
      <c r="E186" s="358">
        <v>1.8</v>
      </c>
      <c r="F186" s="358">
        <v>1.8</v>
      </c>
      <c r="G186" s="358">
        <f>3.49-1.85</f>
        <v>1.64</v>
      </c>
      <c r="H186" s="356">
        <f t="shared" si="24"/>
        <v>5.31</v>
      </c>
      <c r="I186" s="357"/>
      <c r="J186" s="358" t="s">
        <v>14</v>
      </c>
      <c r="K186" s="368">
        <f t="shared" si="25"/>
        <v>5.31</v>
      </c>
      <c r="L186" s="354"/>
      <c r="M186" s="491">
        <f t="shared" si="21"/>
        <v>5.31</v>
      </c>
      <c r="N186" s="491"/>
    </row>
    <row r="187" spans="1:14" customFormat="1" ht="17.25">
      <c r="A187" s="348"/>
      <c r="B187" s="370" t="s">
        <v>1865</v>
      </c>
      <c r="C187" s="376">
        <v>1</v>
      </c>
      <c r="D187" s="371">
        <v>1</v>
      </c>
      <c r="E187" s="358">
        <v>1.4</v>
      </c>
      <c r="F187" s="358">
        <v>1.4</v>
      </c>
      <c r="G187" s="358">
        <f>3.49-1.85</f>
        <v>1.64</v>
      </c>
      <c r="H187" s="356">
        <f t="shared" si="24"/>
        <v>3.21</v>
      </c>
      <c r="I187" s="357"/>
      <c r="J187" s="358" t="s">
        <v>14</v>
      </c>
      <c r="K187" s="368">
        <f t="shared" si="25"/>
        <v>3.21</v>
      </c>
      <c r="L187" s="354"/>
      <c r="M187" s="491">
        <f t="shared" si="21"/>
        <v>3.21</v>
      </c>
      <c r="N187" s="491"/>
    </row>
    <row r="188" spans="1:14" customFormat="1" ht="17.25">
      <c r="A188" s="348"/>
      <c r="B188" s="370" t="s">
        <v>1866</v>
      </c>
      <c r="C188" s="376">
        <v>1</v>
      </c>
      <c r="D188" s="371">
        <v>1</v>
      </c>
      <c r="E188" s="358">
        <v>2.2000000000000002</v>
      </c>
      <c r="F188" s="358">
        <v>2.2000000000000002</v>
      </c>
      <c r="G188" s="358">
        <f>3.67-2</f>
        <v>1.67</v>
      </c>
      <c r="H188" s="356">
        <f t="shared" si="24"/>
        <v>8.08</v>
      </c>
      <c r="I188" s="357"/>
      <c r="J188" s="358" t="s">
        <v>14</v>
      </c>
      <c r="K188" s="368">
        <f t="shared" si="25"/>
        <v>8.08</v>
      </c>
      <c r="L188" s="354"/>
      <c r="M188" s="491">
        <f t="shared" si="21"/>
        <v>8.08</v>
      </c>
      <c r="N188" s="491"/>
    </row>
    <row r="189" spans="1:14" customFormat="1" ht="17.25">
      <c r="A189" s="348"/>
      <c r="B189" s="370" t="s">
        <v>1867</v>
      </c>
      <c r="C189" s="376">
        <v>1</v>
      </c>
      <c r="D189" s="371">
        <v>1</v>
      </c>
      <c r="E189" s="358">
        <v>1.8</v>
      </c>
      <c r="F189" s="358">
        <v>1.8</v>
      </c>
      <c r="G189" s="358">
        <f>3.54-2.1</f>
        <v>1.44</v>
      </c>
      <c r="H189" s="356">
        <f t="shared" si="24"/>
        <v>4.67</v>
      </c>
      <c r="I189" s="357"/>
      <c r="J189" s="358" t="s">
        <v>14</v>
      </c>
      <c r="K189" s="368">
        <f t="shared" si="25"/>
        <v>4.67</v>
      </c>
      <c r="L189" s="354"/>
      <c r="M189" s="491">
        <f t="shared" si="21"/>
        <v>4.67</v>
      </c>
      <c r="N189" s="491"/>
    </row>
    <row r="190" spans="1:14" customFormat="1" ht="17.25">
      <c r="A190" s="348"/>
      <c r="B190" s="370" t="s">
        <v>1868</v>
      </c>
      <c r="C190" s="376">
        <v>1</v>
      </c>
      <c r="D190" s="371">
        <v>1</v>
      </c>
      <c r="E190" s="358">
        <v>1.8</v>
      </c>
      <c r="F190" s="358">
        <v>1.8</v>
      </c>
      <c r="G190" s="358">
        <f>3.52-2.05</f>
        <v>1.47</v>
      </c>
      <c r="H190" s="356">
        <f t="shared" si="24"/>
        <v>4.76</v>
      </c>
      <c r="I190" s="357"/>
      <c r="J190" s="358" t="s">
        <v>14</v>
      </c>
      <c r="K190" s="368">
        <f t="shared" si="25"/>
        <v>4.76</v>
      </c>
      <c r="L190" s="354"/>
      <c r="M190" s="491">
        <f t="shared" si="21"/>
        <v>4.76</v>
      </c>
      <c r="N190" s="491"/>
    </row>
    <row r="191" spans="1:14" customFormat="1" ht="17.25">
      <c r="A191" s="348"/>
      <c r="B191" s="370" t="s">
        <v>1869</v>
      </c>
      <c r="C191" s="376">
        <v>1</v>
      </c>
      <c r="D191" s="371">
        <v>1</v>
      </c>
      <c r="E191" s="358">
        <v>1.8</v>
      </c>
      <c r="F191" s="358">
        <v>1.8</v>
      </c>
      <c r="G191" s="358">
        <f>3.48-2.05</f>
        <v>1.43</v>
      </c>
      <c r="H191" s="356">
        <f t="shared" si="24"/>
        <v>4.63</v>
      </c>
      <c r="I191" s="357"/>
      <c r="J191" s="358" t="s">
        <v>14</v>
      </c>
      <c r="K191" s="368">
        <f t="shared" si="25"/>
        <v>4.63</v>
      </c>
      <c r="L191" s="354"/>
      <c r="M191" s="491">
        <f t="shared" si="21"/>
        <v>4.63</v>
      </c>
      <c r="N191" s="491"/>
    </row>
    <row r="192" spans="1:14" customFormat="1" ht="17.25">
      <c r="A192" s="348"/>
      <c r="B192" s="370" t="s">
        <v>1870</v>
      </c>
      <c r="C192" s="376">
        <v>1</v>
      </c>
      <c r="D192" s="371">
        <v>1</v>
      </c>
      <c r="E192" s="358">
        <v>1.6</v>
      </c>
      <c r="F192" s="358">
        <v>1.6</v>
      </c>
      <c r="G192" s="358">
        <f>3.47-2</f>
        <v>1.47</v>
      </c>
      <c r="H192" s="356">
        <f t="shared" si="24"/>
        <v>3.76</v>
      </c>
      <c r="I192" s="357"/>
      <c r="J192" s="358" t="s">
        <v>14</v>
      </c>
      <c r="K192" s="368">
        <f t="shared" si="25"/>
        <v>3.76</v>
      </c>
      <c r="L192" s="354"/>
      <c r="M192" s="491">
        <f t="shared" si="21"/>
        <v>3.76</v>
      </c>
      <c r="N192" s="491"/>
    </row>
    <row r="193" spans="1:14" customFormat="1" ht="17.25">
      <c r="A193" s="348"/>
      <c r="B193" s="370" t="s">
        <v>1871</v>
      </c>
      <c r="C193" s="376">
        <v>1</v>
      </c>
      <c r="D193" s="371">
        <v>1</v>
      </c>
      <c r="E193" s="358">
        <v>1.6</v>
      </c>
      <c r="F193" s="358">
        <v>1.6</v>
      </c>
      <c r="G193" s="358">
        <f>3.5-1.95</f>
        <v>1.55</v>
      </c>
      <c r="H193" s="356">
        <f t="shared" si="24"/>
        <v>3.97</v>
      </c>
      <c r="I193" s="357"/>
      <c r="J193" s="358" t="s">
        <v>14</v>
      </c>
      <c r="K193" s="368">
        <f t="shared" si="25"/>
        <v>3.97</v>
      </c>
      <c r="L193" s="354"/>
      <c r="M193" s="491">
        <f t="shared" si="21"/>
        <v>3.97</v>
      </c>
      <c r="N193" s="491"/>
    </row>
    <row r="194" spans="1:14" customFormat="1" ht="17.25">
      <c r="A194" s="348"/>
      <c r="B194" s="370" t="s">
        <v>1872</v>
      </c>
      <c r="C194" s="376">
        <v>1</v>
      </c>
      <c r="D194" s="371">
        <v>1</v>
      </c>
      <c r="E194" s="358">
        <v>1.6</v>
      </c>
      <c r="F194" s="358">
        <v>1.6</v>
      </c>
      <c r="G194" s="358">
        <f>3.52-1.9</f>
        <v>1.62</v>
      </c>
      <c r="H194" s="356">
        <f t="shared" si="24"/>
        <v>4.1500000000000004</v>
      </c>
      <c r="I194" s="357"/>
      <c r="J194" s="358" t="s">
        <v>14</v>
      </c>
      <c r="K194" s="368">
        <f t="shared" si="25"/>
        <v>4.1500000000000004</v>
      </c>
      <c r="L194" s="354"/>
      <c r="M194" s="491">
        <f t="shared" si="21"/>
        <v>4.1500000000000004</v>
      </c>
      <c r="N194" s="491"/>
    </row>
    <row r="195" spans="1:14" customFormat="1" ht="17.25">
      <c r="A195" s="348"/>
      <c r="B195" s="370" t="s">
        <v>1873</v>
      </c>
      <c r="C195" s="376">
        <v>1</v>
      </c>
      <c r="D195" s="371">
        <v>1</v>
      </c>
      <c r="E195" s="358">
        <v>1.8</v>
      </c>
      <c r="F195" s="358">
        <v>1.8</v>
      </c>
      <c r="G195" s="358">
        <f>3.55-2</f>
        <v>1.55</v>
      </c>
      <c r="H195" s="356">
        <f t="shared" si="24"/>
        <v>5.0199999999999996</v>
      </c>
      <c r="I195" s="357"/>
      <c r="J195" s="358" t="s">
        <v>14</v>
      </c>
      <c r="K195" s="368">
        <f t="shared" si="25"/>
        <v>5.0199999999999996</v>
      </c>
      <c r="L195" s="354"/>
      <c r="M195" s="491">
        <f t="shared" si="21"/>
        <v>5.0199999999999996</v>
      </c>
      <c r="N195" s="491"/>
    </row>
    <row r="196" spans="1:14" customFormat="1" ht="17.25">
      <c r="A196" s="348"/>
      <c r="B196" s="370" t="s">
        <v>1874</v>
      </c>
      <c r="C196" s="376">
        <v>1</v>
      </c>
      <c r="D196" s="371">
        <v>1</v>
      </c>
      <c r="E196" s="358">
        <v>2</v>
      </c>
      <c r="F196" s="358">
        <v>2</v>
      </c>
      <c r="G196" s="358">
        <f>3.52-2.1</f>
        <v>1.42</v>
      </c>
      <c r="H196" s="356">
        <f t="shared" si="24"/>
        <v>5.68</v>
      </c>
      <c r="I196" s="357"/>
      <c r="J196" s="358" t="s">
        <v>14</v>
      </c>
      <c r="K196" s="368">
        <f t="shared" si="25"/>
        <v>5.68</v>
      </c>
      <c r="L196" s="354"/>
      <c r="M196" s="491">
        <f t="shared" si="21"/>
        <v>5.68</v>
      </c>
      <c r="N196" s="491"/>
    </row>
    <row r="197" spans="1:14" customFormat="1" ht="17.25">
      <c r="A197" s="348"/>
      <c r="B197" s="370" t="s">
        <v>1875</v>
      </c>
      <c r="C197" s="376">
        <v>1</v>
      </c>
      <c r="D197" s="371">
        <v>1</v>
      </c>
      <c r="E197" s="358">
        <v>1.8</v>
      </c>
      <c r="F197" s="358">
        <v>1.8</v>
      </c>
      <c r="G197" s="358">
        <f>3.5-2.1</f>
        <v>1.4</v>
      </c>
      <c r="H197" s="356">
        <f t="shared" si="24"/>
        <v>4.54</v>
      </c>
      <c r="I197" s="357"/>
      <c r="J197" s="358" t="s">
        <v>14</v>
      </c>
      <c r="K197" s="368">
        <f t="shared" si="25"/>
        <v>4.54</v>
      </c>
      <c r="L197" s="354"/>
      <c r="M197" s="491">
        <f t="shared" si="21"/>
        <v>4.54</v>
      </c>
      <c r="N197" s="491"/>
    </row>
    <row r="198" spans="1:14" customFormat="1" ht="17.25">
      <c r="A198" s="348"/>
      <c r="B198" s="370" t="s">
        <v>1876</v>
      </c>
      <c r="C198" s="376">
        <v>1</v>
      </c>
      <c r="D198" s="371">
        <v>1</v>
      </c>
      <c r="E198" s="358">
        <v>1.6</v>
      </c>
      <c r="F198" s="358">
        <v>1.6</v>
      </c>
      <c r="G198" s="358">
        <f>3.5-2.1</f>
        <v>1.4</v>
      </c>
      <c r="H198" s="356">
        <f t="shared" si="24"/>
        <v>3.58</v>
      </c>
      <c r="I198" s="357"/>
      <c r="J198" s="358" t="s">
        <v>14</v>
      </c>
      <c r="K198" s="368">
        <f t="shared" si="25"/>
        <v>3.58</v>
      </c>
      <c r="L198" s="354"/>
      <c r="M198" s="491">
        <f t="shared" si="21"/>
        <v>3.58</v>
      </c>
      <c r="N198" s="491"/>
    </row>
    <row r="199" spans="1:14" customFormat="1" ht="17.25">
      <c r="A199" s="348"/>
      <c r="B199" s="370" t="s">
        <v>1877</v>
      </c>
      <c r="C199" s="376">
        <v>1</v>
      </c>
      <c r="D199" s="371">
        <v>1</v>
      </c>
      <c r="E199" s="358">
        <v>1.8</v>
      </c>
      <c r="F199" s="358">
        <v>1.8</v>
      </c>
      <c r="G199" s="358">
        <f>3.48-2.1</f>
        <v>1.38</v>
      </c>
      <c r="H199" s="356">
        <f t="shared" si="24"/>
        <v>4.47</v>
      </c>
      <c r="I199" s="357"/>
      <c r="J199" s="358" t="s">
        <v>14</v>
      </c>
      <c r="K199" s="368">
        <f t="shared" si="25"/>
        <v>4.47</v>
      </c>
      <c r="L199" s="354"/>
      <c r="M199" s="491">
        <f t="shared" si="21"/>
        <v>4.47</v>
      </c>
      <c r="N199" s="491"/>
    </row>
    <row r="200" spans="1:14" customFormat="1" ht="17.25">
      <c r="A200" s="348"/>
      <c r="B200" s="370" t="s">
        <v>1878</v>
      </c>
      <c r="C200" s="376">
        <v>1</v>
      </c>
      <c r="D200" s="371">
        <v>1</v>
      </c>
      <c r="E200" s="358">
        <v>1.8</v>
      </c>
      <c r="F200" s="358">
        <v>1.8</v>
      </c>
      <c r="G200" s="358">
        <f>3.49-2.1</f>
        <v>1.39</v>
      </c>
      <c r="H200" s="356">
        <f t="shared" si="24"/>
        <v>4.5</v>
      </c>
      <c r="I200" s="357"/>
      <c r="J200" s="358" t="s">
        <v>14</v>
      </c>
      <c r="K200" s="368">
        <f t="shared" si="25"/>
        <v>4.5</v>
      </c>
      <c r="L200" s="354"/>
      <c r="M200" s="491">
        <f t="shared" si="21"/>
        <v>4.5</v>
      </c>
      <c r="N200" s="491"/>
    </row>
    <row r="201" spans="1:14" customFormat="1" ht="17.25">
      <c r="A201" s="348"/>
      <c r="B201" s="370" t="s">
        <v>1879</v>
      </c>
      <c r="C201" s="376">
        <v>1</v>
      </c>
      <c r="D201" s="371">
        <v>1</v>
      </c>
      <c r="E201" s="358">
        <v>1.8</v>
      </c>
      <c r="F201" s="358">
        <v>1.8</v>
      </c>
      <c r="G201" s="358">
        <f>3.55-2.1</f>
        <v>1.45</v>
      </c>
      <c r="H201" s="356">
        <f t="shared" si="24"/>
        <v>4.7</v>
      </c>
      <c r="I201" s="357"/>
      <c r="J201" s="358" t="s">
        <v>14</v>
      </c>
      <c r="K201" s="368">
        <f t="shared" si="25"/>
        <v>4.7</v>
      </c>
      <c r="L201" s="354"/>
      <c r="M201" s="491">
        <f t="shared" si="21"/>
        <v>4.7</v>
      </c>
      <c r="N201" s="491"/>
    </row>
    <row r="202" spans="1:14" customFormat="1" ht="17.25">
      <c r="A202" s="348"/>
      <c r="B202" s="370" t="s">
        <v>1880</v>
      </c>
      <c r="C202" s="376">
        <v>1</v>
      </c>
      <c r="D202" s="371">
        <v>1</v>
      </c>
      <c r="E202" s="358">
        <f>7-0.2</f>
        <v>6.8</v>
      </c>
      <c r="F202" s="358">
        <v>1.4</v>
      </c>
      <c r="G202" s="358">
        <f>(G195+G196)/2</f>
        <v>1.49</v>
      </c>
      <c r="H202" s="356">
        <f t="shared" si="24"/>
        <v>14.18</v>
      </c>
      <c r="I202" s="357"/>
      <c r="J202" s="358" t="s">
        <v>14</v>
      </c>
      <c r="K202" s="368">
        <f t="shared" si="25"/>
        <v>14.18</v>
      </c>
      <c r="L202" s="354"/>
      <c r="M202" s="491">
        <f t="shared" si="21"/>
        <v>14.18</v>
      </c>
      <c r="N202" s="491"/>
    </row>
    <row r="203" spans="1:14" customFormat="1" ht="17.25">
      <c r="A203" s="348"/>
      <c r="B203" s="370" t="s">
        <v>1881</v>
      </c>
      <c r="C203" s="376">
        <v>1</v>
      </c>
      <c r="D203" s="371">
        <v>1</v>
      </c>
      <c r="E203" s="358">
        <f>2.25-0.2</f>
        <v>2.0499999999999998</v>
      </c>
      <c r="F203" s="358">
        <v>1.4</v>
      </c>
      <c r="G203" s="358">
        <f>(G196+G197)/2</f>
        <v>1.41</v>
      </c>
      <c r="H203" s="356">
        <f t="shared" si="24"/>
        <v>4.05</v>
      </c>
      <c r="I203" s="357"/>
      <c r="J203" s="358" t="s">
        <v>14</v>
      </c>
      <c r="K203" s="368">
        <f t="shared" si="25"/>
        <v>4.05</v>
      </c>
      <c r="L203" s="354"/>
      <c r="M203" s="491">
        <f t="shared" si="21"/>
        <v>4.05</v>
      </c>
      <c r="N203" s="491"/>
    </row>
    <row r="204" spans="1:14" customFormat="1" ht="17.25">
      <c r="A204" s="348"/>
      <c r="B204" s="370" t="s">
        <v>1882</v>
      </c>
      <c r="C204" s="376">
        <v>1</v>
      </c>
      <c r="D204" s="371">
        <v>1</v>
      </c>
      <c r="E204" s="358">
        <f>5.7-0.2</f>
        <v>5.5</v>
      </c>
      <c r="F204" s="358">
        <v>1.4</v>
      </c>
      <c r="G204" s="358">
        <f t="shared" ref="G204:G207" si="26">(G197+G198)/2</f>
        <v>1.4</v>
      </c>
      <c r="H204" s="356">
        <f t="shared" si="24"/>
        <v>10.78</v>
      </c>
      <c r="I204" s="357"/>
      <c r="J204" s="358" t="s">
        <v>14</v>
      </c>
      <c r="K204" s="368">
        <f t="shared" si="25"/>
        <v>10.78</v>
      </c>
      <c r="L204" s="354"/>
      <c r="M204" s="491">
        <f t="shared" si="21"/>
        <v>10.78</v>
      </c>
      <c r="N204" s="491"/>
    </row>
    <row r="205" spans="1:14" customFormat="1" ht="17.25">
      <c r="A205" s="348"/>
      <c r="B205" s="370" t="s">
        <v>1883</v>
      </c>
      <c r="C205" s="376">
        <v>1</v>
      </c>
      <c r="D205" s="371">
        <v>1</v>
      </c>
      <c r="E205" s="358">
        <f>2.1-0.2</f>
        <v>1.9</v>
      </c>
      <c r="F205" s="358">
        <v>1.4</v>
      </c>
      <c r="G205" s="358">
        <f t="shared" si="26"/>
        <v>1.39</v>
      </c>
      <c r="H205" s="356">
        <f t="shared" si="24"/>
        <v>3.7</v>
      </c>
      <c r="I205" s="357"/>
      <c r="J205" s="358" t="s">
        <v>14</v>
      </c>
      <c r="K205" s="368">
        <f t="shared" si="25"/>
        <v>3.7</v>
      </c>
      <c r="L205" s="354"/>
      <c r="M205" s="491">
        <f t="shared" si="21"/>
        <v>3.7</v>
      </c>
      <c r="N205" s="491"/>
    </row>
    <row r="206" spans="1:14" customFormat="1" ht="17.25">
      <c r="A206" s="348"/>
      <c r="B206" s="370" t="s">
        <v>1884</v>
      </c>
      <c r="C206" s="376">
        <v>1</v>
      </c>
      <c r="D206" s="371">
        <v>1</v>
      </c>
      <c r="E206" s="358">
        <f>2.56-0.2</f>
        <v>2.36</v>
      </c>
      <c r="F206" s="358">
        <v>1.4</v>
      </c>
      <c r="G206" s="358">
        <f t="shared" si="26"/>
        <v>1.39</v>
      </c>
      <c r="H206" s="356">
        <f t="shared" si="24"/>
        <v>4.59</v>
      </c>
      <c r="I206" s="357"/>
      <c r="J206" s="358" t="s">
        <v>14</v>
      </c>
      <c r="K206" s="368">
        <f t="shared" si="25"/>
        <v>4.59</v>
      </c>
      <c r="L206" s="354"/>
      <c r="M206" s="491">
        <f t="shared" si="21"/>
        <v>4.59</v>
      </c>
      <c r="N206" s="491"/>
    </row>
    <row r="207" spans="1:14" customFormat="1" ht="17.25">
      <c r="A207" s="348"/>
      <c r="B207" s="370" t="s">
        <v>1885</v>
      </c>
      <c r="C207" s="376">
        <v>1</v>
      </c>
      <c r="D207" s="371">
        <v>1</v>
      </c>
      <c r="E207" s="358">
        <f>3.5-0.2</f>
        <v>3.3</v>
      </c>
      <c r="F207" s="358">
        <v>1.4</v>
      </c>
      <c r="G207" s="358">
        <f t="shared" si="26"/>
        <v>1.42</v>
      </c>
      <c r="H207" s="356">
        <f t="shared" si="24"/>
        <v>6.56</v>
      </c>
      <c r="I207" s="357"/>
      <c r="J207" s="358" t="s">
        <v>14</v>
      </c>
      <c r="K207" s="368">
        <f t="shared" si="25"/>
        <v>6.56</v>
      </c>
      <c r="L207" s="438">
        <f>SUM(K167:K207)</f>
        <v>204.53</v>
      </c>
      <c r="M207" s="491">
        <f t="shared" si="21"/>
        <v>6.56</v>
      </c>
      <c r="N207" s="491"/>
    </row>
    <row r="208" spans="1:14" ht="15.75" customHeight="1">
      <c r="A208" s="348"/>
      <c r="B208" s="327"/>
      <c r="C208" s="374"/>
      <c r="D208" s="327"/>
      <c r="E208" s="327"/>
      <c r="F208" s="349"/>
      <c r="G208" s="349"/>
      <c r="H208" s="350"/>
      <c r="I208" s="351"/>
      <c r="J208" s="352"/>
      <c r="K208" s="353"/>
      <c r="L208" s="354"/>
      <c r="M208" s="491">
        <f t="shared" si="21"/>
        <v>0</v>
      </c>
      <c r="N208" s="491"/>
    </row>
    <row r="209" spans="1:14" ht="15.75" customHeight="1">
      <c r="A209" s="348"/>
      <c r="B209" s="485" t="s">
        <v>1886</v>
      </c>
      <c r="C209" s="374"/>
      <c r="D209" s="327"/>
      <c r="E209" s="327"/>
      <c r="F209" s="349"/>
      <c r="G209" s="349"/>
      <c r="H209" s="350"/>
      <c r="I209" s="351"/>
      <c r="J209" s="352"/>
      <c r="K209" s="353"/>
      <c r="L209" s="354"/>
      <c r="M209" s="491">
        <f t="shared" si="21"/>
        <v>0</v>
      </c>
      <c r="N209" s="491"/>
    </row>
    <row r="210" spans="1:14" customFormat="1" ht="17.25">
      <c r="A210" s="348"/>
      <c r="B210" s="370" t="s">
        <v>1887</v>
      </c>
      <c r="C210" s="376">
        <v>1</v>
      </c>
      <c r="D210" s="371">
        <v>1</v>
      </c>
      <c r="E210" s="358">
        <v>2.4</v>
      </c>
      <c r="F210" s="358">
        <v>2.4</v>
      </c>
      <c r="G210" s="358">
        <f>3.35-1.85</f>
        <v>1.5</v>
      </c>
      <c r="H210" s="356">
        <f t="shared" ref="H210:H270" si="27">G210*F210*E210*D210*C210</f>
        <v>8.64</v>
      </c>
      <c r="I210" s="357"/>
      <c r="J210" s="358" t="s">
        <v>14</v>
      </c>
      <c r="K210" s="368">
        <f t="shared" ref="K210:K270" si="28">H210*C210</f>
        <v>8.64</v>
      </c>
      <c r="L210" s="354"/>
      <c r="M210" s="491">
        <f t="shared" si="21"/>
        <v>8.64</v>
      </c>
      <c r="N210" s="491"/>
    </row>
    <row r="211" spans="1:14" customFormat="1" ht="17.25">
      <c r="A211" s="348"/>
      <c r="B211" s="370" t="s">
        <v>1888</v>
      </c>
      <c r="C211" s="376">
        <v>1</v>
      </c>
      <c r="D211" s="371">
        <v>1</v>
      </c>
      <c r="E211" s="358">
        <v>1.6</v>
      </c>
      <c r="F211" s="358">
        <v>1.6</v>
      </c>
      <c r="G211" s="358">
        <f>3.45-1.9</f>
        <v>1.55</v>
      </c>
      <c r="H211" s="356">
        <f t="shared" si="27"/>
        <v>3.97</v>
      </c>
      <c r="I211" s="357"/>
      <c r="J211" s="358" t="s">
        <v>14</v>
      </c>
      <c r="K211" s="368">
        <f t="shared" si="28"/>
        <v>3.97</v>
      </c>
      <c r="L211" s="354"/>
      <c r="M211" s="491">
        <f t="shared" si="21"/>
        <v>3.97</v>
      </c>
      <c r="N211" s="491"/>
    </row>
    <row r="212" spans="1:14" customFormat="1" ht="17.25">
      <c r="A212" s="348"/>
      <c r="B212" s="370" t="s">
        <v>1889</v>
      </c>
      <c r="C212" s="376">
        <v>1</v>
      </c>
      <c r="D212" s="371">
        <v>1</v>
      </c>
      <c r="E212" s="358">
        <v>2.2000000000000002</v>
      </c>
      <c r="F212" s="358">
        <v>2.2000000000000002</v>
      </c>
      <c r="G212" s="358">
        <f>3.38-1.9</f>
        <v>1.48</v>
      </c>
      <c r="H212" s="356">
        <f t="shared" si="27"/>
        <v>7.16</v>
      </c>
      <c r="I212" s="357"/>
      <c r="J212" s="358" t="s">
        <v>14</v>
      </c>
      <c r="K212" s="368">
        <f t="shared" si="28"/>
        <v>7.16</v>
      </c>
      <c r="L212" s="354"/>
      <c r="M212" s="491">
        <f t="shared" si="21"/>
        <v>7.16</v>
      </c>
      <c r="N212" s="491"/>
    </row>
    <row r="213" spans="1:14" customFormat="1" ht="17.25">
      <c r="A213" s="348"/>
      <c r="B213" s="370" t="s">
        <v>1890</v>
      </c>
      <c r="C213" s="376">
        <v>1</v>
      </c>
      <c r="D213" s="371">
        <v>1</v>
      </c>
      <c r="E213" s="358">
        <v>1.4</v>
      </c>
      <c r="F213" s="358">
        <v>1.4</v>
      </c>
      <c r="G213" s="358">
        <f>3.42-1.85</f>
        <v>1.57</v>
      </c>
      <c r="H213" s="356">
        <f t="shared" si="27"/>
        <v>3.08</v>
      </c>
      <c r="I213" s="357"/>
      <c r="J213" s="358" t="s">
        <v>14</v>
      </c>
      <c r="K213" s="368">
        <f t="shared" si="28"/>
        <v>3.08</v>
      </c>
      <c r="L213" s="354"/>
      <c r="M213" s="491">
        <f t="shared" si="21"/>
        <v>3.08</v>
      </c>
      <c r="N213" s="491"/>
    </row>
    <row r="214" spans="1:14" customFormat="1" ht="17.25">
      <c r="A214" s="348"/>
      <c r="B214" s="370" t="s">
        <v>1891</v>
      </c>
      <c r="C214" s="376">
        <v>1</v>
      </c>
      <c r="D214" s="371">
        <v>1</v>
      </c>
      <c r="E214" s="358">
        <v>1.8</v>
      </c>
      <c r="F214" s="358">
        <v>1.8</v>
      </c>
      <c r="G214" s="358">
        <f>3.47-1.78</f>
        <v>1.69</v>
      </c>
      <c r="H214" s="356">
        <f t="shared" si="27"/>
        <v>5.48</v>
      </c>
      <c r="I214" s="357"/>
      <c r="J214" s="358" t="s">
        <v>14</v>
      </c>
      <c r="K214" s="368">
        <f t="shared" si="28"/>
        <v>5.48</v>
      </c>
      <c r="L214" s="354"/>
      <c r="M214" s="491">
        <f t="shared" si="21"/>
        <v>5.48</v>
      </c>
      <c r="N214" s="491"/>
    </row>
    <row r="215" spans="1:14" customFormat="1" ht="17.25">
      <c r="A215" s="348"/>
      <c r="B215" s="370" t="s">
        <v>1892</v>
      </c>
      <c r="C215" s="376">
        <v>1</v>
      </c>
      <c r="D215" s="371">
        <v>1</v>
      </c>
      <c r="E215" s="358">
        <v>1.8</v>
      </c>
      <c r="F215" s="358">
        <v>1.8</v>
      </c>
      <c r="G215" s="358">
        <f>3.46-1.78</f>
        <v>1.68</v>
      </c>
      <c r="H215" s="356">
        <f t="shared" si="27"/>
        <v>5.44</v>
      </c>
      <c r="I215" s="357"/>
      <c r="J215" s="358" t="s">
        <v>14</v>
      </c>
      <c r="K215" s="368">
        <f t="shared" si="28"/>
        <v>5.44</v>
      </c>
      <c r="L215" s="354"/>
      <c r="M215" s="491">
        <f t="shared" si="21"/>
        <v>5.44</v>
      </c>
      <c r="N215" s="491"/>
    </row>
    <row r="216" spans="1:14" customFormat="1" ht="17.25">
      <c r="A216" s="348"/>
      <c r="B216" s="370" t="s">
        <v>1893</v>
      </c>
      <c r="C216" s="376">
        <v>1</v>
      </c>
      <c r="D216" s="371">
        <v>1</v>
      </c>
      <c r="E216" s="358">
        <v>1.8</v>
      </c>
      <c r="F216" s="358">
        <v>1.8</v>
      </c>
      <c r="G216" s="358">
        <f>3.38-1.74</f>
        <v>1.64</v>
      </c>
      <c r="H216" s="356">
        <f t="shared" si="27"/>
        <v>5.31</v>
      </c>
      <c r="I216" s="357"/>
      <c r="J216" s="358" t="s">
        <v>14</v>
      </c>
      <c r="K216" s="368">
        <f t="shared" si="28"/>
        <v>5.31</v>
      </c>
      <c r="L216" s="354"/>
      <c r="M216" s="491">
        <f t="shared" ref="M216:M270" si="29">C216*D216*E216*F216*G216</f>
        <v>5.31</v>
      </c>
      <c r="N216" s="491"/>
    </row>
    <row r="217" spans="1:14" customFormat="1" ht="17.25">
      <c r="A217" s="348"/>
      <c r="B217" s="370" t="s">
        <v>1894</v>
      </c>
      <c r="C217" s="376">
        <v>1</v>
      </c>
      <c r="D217" s="371">
        <v>1</v>
      </c>
      <c r="E217" s="358">
        <v>2</v>
      </c>
      <c r="F217" s="358">
        <v>2</v>
      </c>
      <c r="G217" s="358">
        <f>3.38-1.75</f>
        <v>1.63</v>
      </c>
      <c r="H217" s="356">
        <f t="shared" si="27"/>
        <v>6.52</v>
      </c>
      <c r="I217" s="357"/>
      <c r="J217" s="358" t="s">
        <v>14</v>
      </c>
      <c r="K217" s="368">
        <f t="shared" si="28"/>
        <v>6.52</v>
      </c>
      <c r="L217" s="354"/>
      <c r="M217" s="491">
        <f t="shared" si="29"/>
        <v>6.52</v>
      </c>
      <c r="N217" s="491"/>
    </row>
    <row r="218" spans="1:14" customFormat="1" ht="17.25">
      <c r="A218" s="348"/>
      <c r="B218" s="370" t="s">
        <v>1895</v>
      </c>
      <c r="C218" s="376">
        <v>1</v>
      </c>
      <c r="D218" s="371">
        <v>1</v>
      </c>
      <c r="E218" s="358">
        <v>2</v>
      </c>
      <c r="F218" s="358">
        <v>2</v>
      </c>
      <c r="G218" s="358">
        <f>3.33-1.75</f>
        <v>1.58</v>
      </c>
      <c r="H218" s="356">
        <f t="shared" si="27"/>
        <v>6.32</v>
      </c>
      <c r="I218" s="357"/>
      <c r="J218" s="358" t="s">
        <v>14</v>
      </c>
      <c r="K218" s="368">
        <f t="shared" si="28"/>
        <v>6.32</v>
      </c>
      <c r="L218" s="354"/>
      <c r="M218" s="491">
        <f t="shared" si="29"/>
        <v>6.32</v>
      </c>
      <c r="N218" s="491"/>
    </row>
    <row r="219" spans="1:14" customFormat="1" ht="17.25">
      <c r="A219" s="348"/>
      <c r="B219" s="370" t="s">
        <v>1896</v>
      </c>
      <c r="C219" s="376">
        <v>1</v>
      </c>
      <c r="D219" s="371">
        <v>1</v>
      </c>
      <c r="E219" s="358">
        <v>1.8</v>
      </c>
      <c r="F219" s="358">
        <v>1.8</v>
      </c>
      <c r="G219" s="358">
        <f>3.48-1.75</f>
        <v>1.73</v>
      </c>
      <c r="H219" s="356">
        <f t="shared" si="27"/>
        <v>5.61</v>
      </c>
      <c r="I219" s="357"/>
      <c r="J219" s="358" t="s">
        <v>14</v>
      </c>
      <c r="K219" s="368">
        <f t="shared" si="28"/>
        <v>5.61</v>
      </c>
      <c r="L219" s="354"/>
      <c r="M219" s="491">
        <f t="shared" si="29"/>
        <v>5.61</v>
      </c>
      <c r="N219" s="491"/>
    </row>
    <row r="220" spans="1:14" customFormat="1" ht="17.25">
      <c r="A220" s="348"/>
      <c r="B220" s="370" t="s">
        <v>1897</v>
      </c>
      <c r="C220" s="376">
        <v>1</v>
      </c>
      <c r="D220" s="371">
        <v>1</v>
      </c>
      <c r="E220" s="358">
        <v>6.7</v>
      </c>
      <c r="F220" s="358">
        <v>3.85</v>
      </c>
      <c r="G220" s="358">
        <f>3.4-1.75</f>
        <v>1.65</v>
      </c>
      <c r="H220" s="356">
        <f t="shared" si="27"/>
        <v>42.56</v>
      </c>
      <c r="I220" s="357"/>
      <c r="J220" s="358" t="s">
        <v>14</v>
      </c>
      <c r="K220" s="368">
        <f t="shared" si="28"/>
        <v>42.56</v>
      </c>
      <c r="L220" s="354"/>
      <c r="M220" s="491">
        <f t="shared" si="29"/>
        <v>42.56</v>
      </c>
      <c r="N220" s="491"/>
    </row>
    <row r="221" spans="1:14" customFormat="1" ht="17.25">
      <c r="A221" s="348"/>
      <c r="B221" s="370" t="s">
        <v>1898</v>
      </c>
      <c r="C221" s="376">
        <v>1</v>
      </c>
      <c r="D221" s="371">
        <v>1</v>
      </c>
      <c r="E221" s="358">
        <v>1.8</v>
      </c>
      <c r="F221" s="358">
        <v>1.8</v>
      </c>
      <c r="G221" s="358">
        <f>3.45-1.8</f>
        <v>1.65</v>
      </c>
      <c r="H221" s="356">
        <f t="shared" si="27"/>
        <v>5.35</v>
      </c>
      <c r="I221" s="357"/>
      <c r="J221" s="358" t="s">
        <v>14</v>
      </c>
      <c r="K221" s="368">
        <f t="shared" si="28"/>
        <v>5.35</v>
      </c>
      <c r="L221" s="354"/>
      <c r="M221" s="491">
        <f t="shared" si="29"/>
        <v>5.35</v>
      </c>
      <c r="N221" s="491"/>
    </row>
    <row r="222" spans="1:14" customFormat="1" ht="17.25">
      <c r="A222" s="348"/>
      <c r="B222" s="370" t="s">
        <v>1899</v>
      </c>
      <c r="C222" s="376">
        <v>1</v>
      </c>
      <c r="D222" s="371">
        <v>1</v>
      </c>
      <c r="E222" s="358">
        <v>2</v>
      </c>
      <c r="F222" s="358">
        <v>2</v>
      </c>
      <c r="G222" s="358">
        <f>3.48-1.85</f>
        <v>1.63</v>
      </c>
      <c r="H222" s="356">
        <f t="shared" si="27"/>
        <v>6.52</v>
      </c>
      <c r="I222" s="357"/>
      <c r="J222" s="358" t="s">
        <v>14</v>
      </c>
      <c r="K222" s="368">
        <f t="shared" si="28"/>
        <v>6.52</v>
      </c>
      <c r="L222" s="354"/>
      <c r="M222" s="491">
        <f t="shared" si="29"/>
        <v>6.52</v>
      </c>
      <c r="N222" s="491"/>
    </row>
    <row r="223" spans="1:14" customFormat="1" ht="17.25">
      <c r="A223" s="348"/>
      <c r="B223" s="370" t="s">
        <v>1900</v>
      </c>
      <c r="C223" s="376">
        <v>1</v>
      </c>
      <c r="D223" s="371">
        <v>1</v>
      </c>
      <c r="E223" s="358">
        <v>1.6</v>
      </c>
      <c r="F223" s="358">
        <v>1.6</v>
      </c>
      <c r="G223" s="358">
        <f>3.46-1.85</f>
        <v>1.61</v>
      </c>
      <c r="H223" s="356">
        <f t="shared" si="27"/>
        <v>4.12</v>
      </c>
      <c r="I223" s="357"/>
      <c r="J223" s="358" t="s">
        <v>14</v>
      </c>
      <c r="K223" s="368">
        <f t="shared" si="28"/>
        <v>4.12</v>
      </c>
      <c r="L223" s="354"/>
      <c r="M223" s="491">
        <f t="shared" si="29"/>
        <v>4.12</v>
      </c>
      <c r="N223" s="491"/>
    </row>
    <row r="224" spans="1:14" customFormat="1" ht="17.25">
      <c r="A224" s="348"/>
      <c r="B224" s="370" t="s">
        <v>1901</v>
      </c>
      <c r="C224" s="376">
        <v>1</v>
      </c>
      <c r="D224" s="371">
        <v>1</v>
      </c>
      <c r="E224" s="358">
        <v>6.45</v>
      </c>
      <c r="F224" s="358">
        <v>0.9</v>
      </c>
      <c r="G224" s="358">
        <f>3.36-1.85</f>
        <v>1.51</v>
      </c>
      <c r="H224" s="356">
        <f t="shared" si="27"/>
        <v>8.77</v>
      </c>
      <c r="I224" s="357"/>
      <c r="J224" s="358" t="s">
        <v>14</v>
      </c>
      <c r="K224" s="368">
        <f t="shared" si="28"/>
        <v>8.77</v>
      </c>
      <c r="L224" s="354"/>
      <c r="M224" s="491">
        <f t="shared" si="29"/>
        <v>8.77</v>
      </c>
      <c r="N224" s="491"/>
    </row>
    <row r="225" spans="1:14" customFormat="1" ht="17.25">
      <c r="A225" s="348"/>
      <c r="B225" s="370" t="s">
        <v>1902</v>
      </c>
      <c r="C225" s="376">
        <v>1</v>
      </c>
      <c r="D225" s="371">
        <v>1</v>
      </c>
      <c r="E225" s="358">
        <v>2.6</v>
      </c>
      <c r="F225" s="358">
        <v>2.6</v>
      </c>
      <c r="G225" s="358">
        <f>3.78-1.8</f>
        <v>1.98</v>
      </c>
      <c r="H225" s="356">
        <f t="shared" si="27"/>
        <v>13.38</v>
      </c>
      <c r="I225" s="357"/>
      <c r="J225" s="358" t="s">
        <v>14</v>
      </c>
      <c r="K225" s="368">
        <f t="shared" si="28"/>
        <v>13.38</v>
      </c>
      <c r="L225" s="354"/>
      <c r="M225" s="491">
        <f t="shared" si="29"/>
        <v>13.38</v>
      </c>
      <c r="N225" s="491"/>
    </row>
    <row r="226" spans="1:14" customFormat="1" ht="17.25">
      <c r="A226" s="348"/>
      <c r="B226" s="370" t="s">
        <v>1903</v>
      </c>
      <c r="C226" s="376">
        <v>1</v>
      </c>
      <c r="D226" s="371">
        <v>1</v>
      </c>
      <c r="E226" s="358">
        <v>2.4</v>
      </c>
      <c r="F226" s="358">
        <v>2.4</v>
      </c>
      <c r="G226" s="358">
        <f>3.85-1.81</f>
        <v>2.04</v>
      </c>
      <c r="H226" s="356">
        <f t="shared" si="27"/>
        <v>11.75</v>
      </c>
      <c r="I226" s="357"/>
      <c r="J226" s="358" t="s">
        <v>14</v>
      </c>
      <c r="K226" s="368">
        <f t="shared" si="28"/>
        <v>11.75</v>
      </c>
      <c r="L226" s="354"/>
      <c r="M226" s="491">
        <f t="shared" si="29"/>
        <v>11.75</v>
      </c>
      <c r="N226" s="491"/>
    </row>
    <row r="227" spans="1:14" customFormat="1" ht="17.25">
      <c r="A227" s="348"/>
      <c r="B227" s="370" t="s">
        <v>1904</v>
      </c>
      <c r="C227" s="376">
        <v>1</v>
      </c>
      <c r="D227" s="371">
        <v>1</v>
      </c>
      <c r="E227" s="358">
        <v>2.4</v>
      </c>
      <c r="F227" s="358">
        <v>2.4</v>
      </c>
      <c r="G227" s="358">
        <f>3.75-1.8</f>
        <v>1.95</v>
      </c>
      <c r="H227" s="356">
        <f t="shared" si="27"/>
        <v>11.23</v>
      </c>
      <c r="I227" s="357"/>
      <c r="J227" s="358" t="s">
        <v>14</v>
      </c>
      <c r="K227" s="368">
        <f t="shared" si="28"/>
        <v>11.23</v>
      </c>
      <c r="L227" s="354"/>
      <c r="M227" s="491">
        <f t="shared" si="29"/>
        <v>11.23</v>
      </c>
      <c r="N227" s="491"/>
    </row>
    <row r="228" spans="1:14" customFormat="1" ht="17.25">
      <c r="A228" s="348"/>
      <c r="B228" s="370" t="s">
        <v>1905</v>
      </c>
      <c r="C228" s="376">
        <v>1</v>
      </c>
      <c r="D228" s="371">
        <v>1</v>
      </c>
      <c r="E228" s="358">
        <v>2.4</v>
      </c>
      <c r="F228" s="358">
        <v>2.4</v>
      </c>
      <c r="G228" s="358">
        <f>3.68-1.78</f>
        <v>1.9</v>
      </c>
      <c r="H228" s="356">
        <f t="shared" si="27"/>
        <v>10.94</v>
      </c>
      <c r="I228" s="357"/>
      <c r="J228" s="358" t="s">
        <v>14</v>
      </c>
      <c r="K228" s="368">
        <f t="shared" si="28"/>
        <v>10.94</v>
      </c>
      <c r="L228" s="354"/>
      <c r="M228" s="491">
        <f t="shared" si="29"/>
        <v>10.94</v>
      </c>
      <c r="N228" s="491"/>
    </row>
    <row r="229" spans="1:14" customFormat="1" ht="17.25">
      <c r="A229" s="348"/>
      <c r="B229" s="370" t="s">
        <v>1906</v>
      </c>
      <c r="C229" s="376">
        <v>1</v>
      </c>
      <c r="D229" s="371">
        <v>1</v>
      </c>
      <c r="E229" s="358">
        <v>2.4</v>
      </c>
      <c r="F229" s="358">
        <v>2.4</v>
      </c>
      <c r="G229" s="358">
        <f>3.71-1.81</f>
        <v>1.9</v>
      </c>
      <c r="H229" s="356">
        <f t="shared" si="27"/>
        <v>10.94</v>
      </c>
      <c r="I229" s="357"/>
      <c r="J229" s="358" t="s">
        <v>14</v>
      </c>
      <c r="K229" s="368">
        <f t="shared" si="28"/>
        <v>10.94</v>
      </c>
      <c r="L229" s="354"/>
      <c r="M229" s="491">
        <f t="shared" si="29"/>
        <v>10.94</v>
      </c>
      <c r="N229" s="491"/>
    </row>
    <row r="230" spans="1:14" customFormat="1" ht="17.25">
      <c r="A230" s="348"/>
      <c r="B230" s="370" t="s">
        <v>1907</v>
      </c>
      <c r="C230" s="376">
        <v>1</v>
      </c>
      <c r="D230" s="371">
        <v>1</v>
      </c>
      <c r="E230" s="358">
        <v>2.4</v>
      </c>
      <c r="F230" s="358">
        <v>2.4</v>
      </c>
      <c r="G230" s="358">
        <f>3.68-1.8</f>
        <v>1.88</v>
      </c>
      <c r="H230" s="356">
        <f t="shared" si="27"/>
        <v>10.83</v>
      </c>
      <c r="I230" s="357"/>
      <c r="J230" s="358" t="s">
        <v>14</v>
      </c>
      <c r="K230" s="368">
        <f t="shared" si="28"/>
        <v>10.83</v>
      </c>
      <c r="L230" s="354"/>
      <c r="M230" s="491">
        <f t="shared" si="29"/>
        <v>10.83</v>
      </c>
      <c r="N230" s="491"/>
    </row>
    <row r="231" spans="1:14" customFormat="1" ht="17.25">
      <c r="A231" s="348"/>
      <c r="B231" s="370" t="s">
        <v>1908</v>
      </c>
      <c r="C231" s="376">
        <v>1</v>
      </c>
      <c r="D231" s="371">
        <v>1</v>
      </c>
      <c r="E231" s="358">
        <v>1.6</v>
      </c>
      <c r="F231" s="358">
        <v>1.6</v>
      </c>
      <c r="G231" s="358">
        <f>3.66-1.77</f>
        <v>1.89</v>
      </c>
      <c r="H231" s="356">
        <f t="shared" si="27"/>
        <v>4.84</v>
      </c>
      <c r="I231" s="357"/>
      <c r="J231" s="358" t="s">
        <v>14</v>
      </c>
      <c r="K231" s="368">
        <f t="shared" si="28"/>
        <v>4.84</v>
      </c>
      <c r="L231" s="354"/>
      <c r="M231" s="491">
        <f t="shared" si="29"/>
        <v>4.84</v>
      </c>
      <c r="N231" s="491"/>
    </row>
    <row r="232" spans="1:14" customFormat="1" ht="17.25">
      <c r="A232" s="348"/>
      <c r="B232" s="370" t="s">
        <v>1909</v>
      </c>
      <c r="C232" s="376">
        <v>1</v>
      </c>
      <c r="D232" s="371">
        <v>1</v>
      </c>
      <c r="E232" s="358">
        <v>1.8</v>
      </c>
      <c r="F232" s="358">
        <v>1.8</v>
      </c>
      <c r="G232" s="358">
        <f>3.4-1.84</f>
        <v>1.56</v>
      </c>
      <c r="H232" s="356">
        <f t="shared" si="27"/>
        <v>5.05</v>
      </c>
      <c r="I232" s="357"/>
      <c r="J232" s="358" t="s">
        <v>14</v>
      </c>
      <c r="K232" s="368">
        <f t="shared" si="28"/>
        <v>5.05</v>
      </c>
      <c r="L232" s="354"/>
      <c r="M232" s="491">
        <f t="shared" si="29"/>
        <v>5.05</v>
      </c>
      <c r="N232" s="491"/>
    </row>
    <row r="233" spans="1:14" customFormat="1" ht="17.25">
      <c r="A233" s="348"/>
      <c r="B233" s="370" t="s">
        <v>1910</v>
      </c>
      <c r="C233" s="376">
        <v>1</v>
      </c>
      <c r="D233" s="371">
        <v>1</v>
      </c>
      <c r="E233" s="358">
        <v>1.6</v>
      </c>
      <c r="F233" s="358">
        <v>1.6</v>
      </c>
      <c r="G233" s="358">
        <f>3.49-1.84</f>
        <v>1.65</v>
      </c>
      <c r="H233" s="356">
        <f t="shared" si="27"/>
        <v>4.22</v>
      </c>
      <c r="I233" s="357"/>
      <c r="J233" s="358" t="s">
        <v>14</v>
      </c>
      <c r="K233" s="368">
        <f t="shared" si="28"/>
        <v>4.22</v>
      </c>
      <c r="L233" s="354"/>
      <c r="M233" s="491">
        <f t="shared" si="29"/>
        <v>4.22</v>
      </c>
      <c r="N233" s="491"/>
    </row>
    <row r="234" spans="1:14" customFormat="1" ht="17.25">
      <c r="A234" s="348"/>
      <c r="B234" s="370" t="s">
        <v>1911</v>
      </c>
      <c r="C234" s="376">
        <v>1</v>
      </c>
      <c r="D234" s="371">
        <v>1</v>
      </c>
      <c r="E234" s="358">
        <v>1.4</v>
      </c>
      <c r="F234" s="358">
        <v>1.4</v>
      </c>
      <c r="G234" s="358">
        <f>3.38-1.8</f>
        <v>1.58</v>
      </c>
      <c r="H234" s="356">
        <f t="shared" si="27"/>
        <v>3.1</v>
      </c>
      <c r="I234" s="357"/>
      <c r="J234" s="358" t="s">
        <v>14</v>
      </c>
      <c r="K234" s="368">
        <f t="shared" si="28"/>
        <v>3.1</v>
      </c>
      <c r="L234" s="354"/>
      <c r="M234" s="491">
        <f t="shared" si="29"/>
        <v>3.1</v>
      </c>
      <c r="N234" s="491"/>
    </row>
    <row r="235" spans="1:14" customFormat="1" ht="17.25">
      <c r="A235" s="348"/>
      <c r="B235" s="370" t="s">
        <v>1912</v>
      </c>
      <c r="C235" s="376">
        <v>1</v>
      </c>
      <c r="D235" s="371">
        <v>1</v>
      </c>
      <c r="E235" s="358">
        <v>2.2000000000000002</v>
      </c>
      <c r="F235" s="358">
        <v>2.2000000000000002</v>
      </c>
      <c r="G235" s="358">
        <f>3.4-1.8</f>
        <v>1.6</v>
      </c>
      <c r="H235" s="356">
        <f t="shared" si="27"/>
        <v>7.74</v>
      </c>
      <c r="I235" s="357"/>
      <c r="J235" s="358" t="s">
        <v>14</v>
      </c>
      <c r="K235" s="368">
        <f t="shared" si="28"/>
        <v>7.74</v>
      </c>
      <c r="L235" s="354"/>
      <c r="M235" s="491">
        <f t="shared" si="29"/>
        <v>7.74</v>
      </c>
      <c r="N235" s="491"/>
    </row>
    <row r="236" spans="1:14" customFormat="1" ht="17.25">
      <c r="A236" s="348"/>
      <c r="B236" s="370" t="s">
        <v>1913</v>
      </c>
      <c r="C236" s="376">
        <v>1</v>
      </c>
      <c r="D236" s="371">
        <v>1</v>
      </c>
      <c r="E236" s="358">
        <v>1.4</v>
      </c>
      <c r="F236" s="358">
        <v>1.4</v>
      </c>
      <c r="G236" s="358">
        <f>3.36-1.85</f>
        <v>1.51</v>
      </c>
      <c r="H236" s="356">
        <f t="shared" si="27"/>
        <v>2.96</v>
      </c>
      <c r="I236" s="357"/>
      <c r="J236" s="358" t="s">
        <v>14</v>
      </c>
      <c r="K236" s="368">
        <f t="shared" si="28"/>
        <v>2.96</v>
      </c>
      <c r="L236" s="354"/>
      <c r="M236" s="491">
        <f t="shared" si="29"/>
        <v>2.96</v>
      </c>
      <c r="N236" s="491"/>
    </row>
    <row r="237" spans="1:14" customFormat="1" ht="17.25">
      <c r="A237" s="348"/>
      <c r="B237" s="370" t="s">
        <v>1914</v>
      </c>
      <c r="C237" s="376">
        <v>1</v>
      </c>
      <c r="D237" s="371">
        <v>1</v>
      </c>
      <c r="E237" s="358">
        <v>1.4</v>
      </c>
      <c r="F237" s="358">
        <v>1.4</v>
      </c>
      <c r="G237" s="358">
        <f>3.74-1.8</f>
        <v>1.94</v>
      </c>
      <c r="H237" s="356">
        <f t="shared" si="27"/>
        <v>3.8</v>
      </c>
      <c r="I237" s="357"/>
      <c r="J237" s="358" t="s">
        <v>14</v>
      </c>
      <c r="K237" s="368">
        <f t="shared" si="28"/>
        <v>3.8</v>
      </c>
      <c r="L237" s="354"/>
      <c r="M237" s="491">
        <f t="shared" si="29"/>
        <v>3.8</v>
      </c>
      <c r="N237" s="491"/>
    </row>
    <row r="238" spans="1:14" customFormat="1" ht="17.25">
      <c r="A238" s="348"/>
      <c r="B238" s="370" t="s">
        <v>1915</v>
      </c>
      <c r="C238" s="376">
        <v>1</v>
      </c>
      <c r="D238" s="371">
        <v>1</v>
      </c>
      <c r="E238" s="358">
        <v>1.4</v>
      </c>
      <c r="F238" s="358">
        <v>1.4</v>
      </c>
      <c r="G238" s="358">
        <f>3.62-1.75</f>
        <v>1.87</v>
      </c>
      <c r="H238" s="356">
        <f t="shared" si="27"/>
        <v>3.67</v>
      </c>
      <c r="I238" s="357"/>
      <c r="J238" s="358" t="s">
        <v>14</v>
      </c>
      <c r="K238" s="368">
        <f t="shared" si="28"/>
        <v>3.67</v>
      </c>
      <c r="L238" s="354"/>
      <c r="M238" s="491">
        <f t="shared" si="29"/>
        <v>3.67</v>
      </c>
      <c r="N238" s="491"/>
    </row>
    <row r="239" spans="1:14" customFormat="1" ht="17.25">
      <c r="A239" s="348"/>
      <c r="B239" s="370" t="s">
        <v>1916</v>
      </c>
      <c r="C239" s="376">
        <v>1</v>
      </c>
      <c r="D239" s="371">
        <v>1</v>
      </c>
      <c r="E239" s="358">
        <v>1.6</v>
      </c>
      <c r="F239" s="358">
        <v>1.6</v>
      </c>
      <c r="G239" s="358">
        <f>3.68-1.8</f>
        <v>1.88</v>
      </c>
      <c r="H239" s="356">
        <f t="shared" si="27"/>
        <v>4.8099999999999996</v>
      </c>
      <c r="I239" s="357"/>
      <c r="J239" s="358" t="s">
        <v>14</v>
      </c>
      <c r="K239" s="368">
        <f t="shared" si="28"/>
        <v>4.8099999999999996</v>
      </c>
      <c r="L239" s="354"/>
      <c r="M239" s="491">
        <f t="shared" si="29"/>
        <v>4.8099999999999996</v>
      </c>
      <c r="N239" s="491"/>
    </row>
    <row r="240" spans="1:14" customFormat="1" ht="17.25">
      <c r="A240" s="348"/>
      <c r="B240" s="370" t="s">
        <v>1917</v>
      </c>
      <c r="C240" s="376">
        <v>1</v>
      </c>
      <c r="D240" s="371">
        <v>1</v>
      </c>
      <c r="E240" s="358">
        <v>1.8</v>
      </c>
      <c r="F240" s="358">
        <v>1.8</v>
      </c>
      <c r="G240" s="358">
        <f>3.75-1.79</f>
        <v>1.96</v>
      </c>
      <c r="H240" s="356">
        <f t="shared" si="27"/>
        <v>6.35</v>
      </c>
      <c r="I240" s="357"/>
      <c r="J240" s="358" t="s">
        <v>14</v>
      </c>
      <c r="K240" s="368">
        <f t="shared" si="28"/>
        <v>6.35</v>
      </c>
      <c r="L240" s="354"/>
      <c r="M240" s="491">
        <f t="shared" si="29"/>
        <v>6.35</v>
      </c>
      <c r="N240" s="491"/>
    </row>
    <row r="241" spans="1:14" customFormat="1" ht="17.25">
      <c r="A241" s="348"/>
      <c r="B241" s="370" t="s">
        <v>1918</v>
      </c>
      <c r="C241" s="376">
        <v>1</v>
      </c>
      <c r="D241" s="371">
        <v>1</v>
      </c>
      <c r="E241" s="358">
        <v>1.8</v>
      </c>
      <c r="F241" s="358">
        <v>1.8</v>
      </c>
      <c r="G241" s="358">
        <f>3.68-1.78</f>
        <v>1.9</v>
      </c>
      <c r="H241" s="356">
        <f t="shared" si="27"/>
        <v>6.16</v>
      </c>
      <c r="I241" s="357"/>
      <c r="J241" s="358" t="s">
        <v>14</v>
      </c>
      <c r="K241" s="368">
        <f t="shared" si="28"/>
        <v>6.16</v>
      </c>
      <c r="L241" s="354"/>
      <c r="M241" s="491">
        <f t="shared" si="29"/>
        <v>6.16</v>
      </c>
      <c r="N241" s="491"/>
    </row>
    <row r="242" spans="1:14" customFormat="1" ht="17.25">
      <c r="A242" s="348"/>
      <c r="B242" s="370" t="s">
        <v>1919</v>
      </c>
      <c r="C242" s="376">
        <v>1</v>
      </c>
      <c r="D242" s="371">
        <v>1</v>
      </c>
      <c r="E242" s="358">
        <v>1.8</v>
      </c>
      <c r="F242" s="358">
        <v>1.8</v>
      </c>
      <c r="G242" s="358">
        <f>3.68-1.8</f>
        <v>1.88</v>
      </c>
      <c r="H242" s="356">
        <f t="shared" si="27"/>
        <v>6.09</v>
      </c>
      <c r="I242" s="357"/>
      <c r="J242" s="358" t="s">
        <v>14</v>
      </c>
      <c r="K242" s="368">
        <f t="shared" si="28"/>
        <v>6.09</v>
      </c>
      <c r="L242" s="354"/>
      <c r="M242" s="491">
        <f t="shared" si="29"/>
        <v>6.09</v>
      </c>
      <c r="N242" s="491"/>
    </row>
    <row r="243" spans="1:14" customFormat="1" ht="17.25">
      <c r="A243" s="348"/>
      <c r="B243" s="370" t="s">
        <v>1920</v>
      </c>
      <c r="C243" s="376">
        <v>1</v>
      </c>
      <c r="D243" s="371">
        <v>1</v>
      </c>
      <c r="E243" s="358">
        <v>1.8</v>
      </c>
      <c r="F243" s="358">
        <v>1.8</v>
      </c>
      <c r="G243" s="358">
        <f>3.56-1.78</f>
        <v>1.78</v>
      </c>
      <c r="H243" s="356">
        <f t="shared" si="27"/>
        <v>5.77</v>
      </c>
      <c r="I243" s="357"/>
      <c r="J243" s="358" t="s">
        <v>14</v>
      </c>
      <c r="K243" s="368">
        <f t="shared" si="28"/>
        <v>5.77</v>
      </c>
      <c r="L243" s="354"/>
      <c r="M243" s="491">
        <f t="shared" si="29"/>
        <v>5.77</v>
      </c>
      <c r="N243" s="491"/>
    </row>
    <row r="244" spans="1:14" customFormat="1" ht="17.25">
      <c r="A244" s="348"/>
      <c r="B244" s="370" t="s">
        <v>1921</v>
      </c>
      <c r="C244" s="376">
        <v>1</v>
      </c>
      <c r="D244" s="371">
        <v>1</v>
      </c>
      <c r="E244" s="358">
        <v>1.4</v>
      </c>
      <c r="F244" s="358">
        <v>1.4</v>
      </c>
      <c r="G244" s="358">
        <f>3.64-1.74</f>
        <v>1.9</v>
      </c>
      <c r="H244" s="356">
        <f t="shared" si="27"/>
        <v>3.72</v>
      </c>
      <c r="I244" s="357"/>
      <c r="J244" s="358" t="s">
        <v>14</v>
      </c>
      <c r="K244" s="368">
        <f t="shared" si="28"/>
        <v>3.72</v>
      </c>
      <c r="L244" s="354"/>
      <c r="M244" s="491">
        <f t="shared" si="29"/>
        <v>3.72</v>
      </c>
      <c r="N244" s="491"/>
    </row>
    <row r="245" spans="1:14" customFormat="1" ht="17.25">
      <c r="A245" s="348"/>
      <c r="B245" s="370" t="s">
        <v>1922</v>
      </c>
      <c r="C245" s="376">
        <v>1</v>
      </c>
      <c r="D245" s="371">
        <v>1</v>
      </c>
      <c r="E245" s="358">
        <v>1.4</v>
      </c>
      <c r="F245" s="358">
        <v>1.4</v>
      </c>
      <c r="G245" s="358">
        <f>3.52-1.84</f>
        <v>1.68</v>
      </c>
      <c r="H245" s="356">
        <f t="shared" si="27"/>
        <v>3.29</v>
      </c>
      <c r="I245" s="357"/>
      <c r="J245" s="358" t="s">
        <v>14</v>
      </c>
      <c r="K245" s="368">
        <f t="shared" si="28"/>
        <v>3.29</v>
      </c>
      <c r="L245" s="354"/>
      <c r="M245" s="491">
        <f t="shared" si="29"/>
        <v>3.29</v>
      </c>
      <c r="N245" s="491"/>
    </row>
    <row r="246" spans="1:14" customFormat="1" ht="17.25">
      <c r="A246" s="348"/>
      <c r="B246" s="370" t="s">
        <v>1923</v>
      </c>
      <c r="C246" s="376">
        <v>1</v>
      </c>
      <c r="D246" s="371">
        <v>1</v>
      </c>
      <c r="E246" s="358">
        <v>6.45</v>
      </c>
      <c r="F246" s="358">
        <v>0.85</v>
      </c>
      <c r="G246" s="358">
        <f>3.4-1.8</f>
        <v>1.6</v>
      </c>
      <c r="H246" s="356">
        <f t="shared" si="27"/>
        <v>8.77</v>
      </c>
      <c r="I246" s="357"/>
      <c r="J246" s="358" t="s">
        <v>14</v>
      </c>
      <c r="K246" s="368">
        <f t="shared" si="28"/>
        <v>8.77</v>
      </c>
      <c r="L246" s="354"/>
      <c r="M246" s="491">
        <f t="shared" si="29"/>
        <v>8.77</v>
      </c>
      <c r="N246" s="491"/>
    </row>
    <row r="247" spans="1:14" customFormat="1" ht="17.25">
      <c r="A247" s="348"/>
      <c r="B247" s="370" t="s">
        <v>1924</v>
      </c>
      <c r="C247" s="376">
        <v>1</v>
      </c>
      <c r="D247" s="371">
        <v>1</v>
      </c>
      <c r="E247" s="358">
        <v>1.4</v>
      </c>
      <c r="F247" s="358">
        <v>1.4</v>
      </c>
      <c r="G247" s="358">
        <f>3.56-1.9</f>
        <v>1.66</v>
      </c>
      <c r="H247" s="356">
        <f t="shared" si="27"/>
        <v>3.25</v>
      </c>
      <c r="I247" s="357"/>
      <c r="J247" s="358" t="s">
        <v>14</v>
      </c>
      <c r="K247" s="368">
        <f t="shared" si="28"/>
        <v>3.25</v>
      </c>
      <c r="L247" s="354"/>
      <c r="M247" s="491">
        <f t="shared" si="29"/>
        <v>3.25</v>
      </c>
      <c r="N247" s="491"/>
    </row>
    <row r="248" spans="1:14" customFormat="1" ht="17.25">
      <c r="A248" s="348"/>
      <c r="B248" s="370" t="s">
        <v>1925</v>
      </c>
      <c r="C248" s="376">
        <v>1</v>
      </c>
      <c r="D248" s="371">
        <v>1</v>
      </c>
      <c r="E248" s="358">
        <v>1.4</v>
      </c>
      <c r="F248" s="358">
        <v>1.4</v>
      </c>
      <c r="G248" s="358">
        <f>3.36-1.85</f>
        <v>1.51</v>
      </c>
      <c r="H248" s="356">
        <f t="shared" si="27"/>
        <v>2.96</v>
      </c>
      <c r="I248" s="357"/>
      <c r="J248" s="358" t="s">
        <v>14</v>
      </c>
      <c r="K248" s="368">
        <f t="shared" si="28"/>
        <v>2.96</v>
      </c>
      <c r="L248" s="354"/>
      <c r="M248" s="491">
        <f t="shared" si="29"/>
        <v>2.96</v>
      </c>
      <c r="N248" s="491"/>
    </row>
    <row r="249" spans="1:14" customFormat="1" ht="17.25">
      <c r="A249" s="348"/>
      <c r="B249" s="370" t="s">
        <v>1926</v>
      </c>
      <c r="C249" s="376">
        <v>1</v>
      </c>
      <c r="D249" s="371">
        <v>1</v>
      </c>
      <c r="E249" s="358">
        <v>1.8</v>
      </c>
      <c r="F249" s="358">
        <v>1.8</v>
      </c>
      <c r="G249" s="358">
        <f>3.68-1.8</f>
        <v>1.88</v>
      </c>
      <c r="H249" s="356">
        <f t="shared" si="27"/>
        <v>6.09</v>
      </c>
      <c r="I249" s="357"/>
      <c r="J249" s="358" t="s">
        <v>14</v>
      </c>
      <c r="K249" s="368">
        <f t="shared" si="28"/>
        <v>6.09</v>
      </c>
      <c r="L249" s="354"/>
      <c r="M249" s="491">
        <f t="shared" si="29"/>
        <v>6.09</v>
      </c>
      <c r="N249" s="491"/>
    </row>
    <row r="250" spans="1:14" customFormat="1" ht="17.25">
      <c r="A250" s="348"/>
      <c r="B250" s="370" t="s">
        <v>1927</v>
      </c>
      <c r="C250" s="376">
        <v>1</v>
      </c>
      <c r="D250" s="371">
        <v>1</v>
      </c>
      <c r="E250" s="358">
        <v>2.6</v>
      </c>
      <c r="F250" s="358">
        <v>2.6</v>
      </c>
      <c r="G250" s="358">
        <f>3.56-1.8</f>
        <v>1.76</v>
      </c>
      <c r="H250" s="356">
        <f t="shared" si="27"/>
        <v>11.9</v>
      </c>
      <c r="I250" s="357"/>
      <c r="J250" s="358" t="s">
        <v>14</v>
      </c>
      <c r="K250" s="368">
        <f t="shared" si="28"/>
        <v>11.9</v>
      </c>
      <c r="L250" s="354"/>
      <c r="M250" s="491">
        <f t="shared" si="29"/>
        <v>11.9</v>
      </c>
      <c r="N250" s="491"/>
    </row>
    <row r="251" spans="1:14" customFormat="1" ht="17.25">
      <c r="A251" s="348"/>
      <c r="B251" s="370" t="s">
        <v>1928</v>
      </c>
      <c r="C251" s="376">
        <v>1</v>
      </c>
      <c r="D251" s="371">
        <v>1</v>
      </c>
      <c r="E251" s="358">
        <v>1.4</v>
      </c>
      <c r="F251" s="358">
        <v>1.4</v>
      </c>
      <c r="G251" s="358">
        <f>3.38-1.85</f>
        <v>1.53</v>
      </c>
      <c r="H251" s="356">
        <f t="shared" si="27"/>
        <v>3</v>
      </c>
      <c r="I251" s="357"/>
      <c r="J251" s="358" t="s">
        <v>14</v>
      </c>
      <c r="K251" s="368">
        <f t="shared" si="28"/>
        <v>3</v>
      </c>
      <c r="L251" s="354"/>
      <c r="M251" s="491">
        <f t="shared" si="29"/>
        <v>3</v>
      </c>
      <c r="N251" s="491"/>
    </row>
    <row r="252" spans="1:14" customFormat="1" ht="17.25">
      <c r="A252" s="348"/>
      <c r="B252" s="370" t="s">
        <v>1929</v>
      </c>
      <c r="C252" s="376">
        <v>1</v>
      </c>
      <c r="D252" s="371">
        <v>1</v>
      </c>
      <c r="E252" s="358">
        <v>1.8</v>
      </c>
      <c r="F252" s="358">
        <v>1.8</v>
      </c>
      <c r="G252" s="358">
        <f>3.63-1.9</f>
        <v>1.73</v>
      </c>
      <c r="H252" s="356">
        <f t="shared" si="27"/>
        <v>5.61</v>
      </c>
      <c r="I252" s="357"/>
      <c r="J252" s="358" t="s">
        <v>14</v>
      </c>
      <c r="K252" s="368">
        <f t="shared" si="28"/>
        <v>5.61</v>
      </c>
      <c r="L252" s="354"/>
      <c r="M252" s="491">
        <f t="shared" si="29"/>
        <v>5.61</v>
      </c>
      <c r="N252" s="491"/>
    </row>
    <row r="253" spans="1:14" customFormat="1" ht="17.25">
      <c r="A253" s="348"/>
      <c r="B253" s="370" t="s">
        <v>1930</v>
      </c>
      <c r="C253" s="376">
        <v>1</v>
      </c>
      <c r="D253" s="371">
        <v>1</v>
      </c>
      <c r="E253" s="358">
        <v>2.4</v>
      </c>
      <c r="F253" s="358">
        <v>2.4</v>
      </c>
      <c r="G253" s="358">
        <f>3.46-1.9</f>
        <v>1.56</v>
      </c>
      <c r="H253" s="356">
        <f t="shared" si="27"/>
        <v>8.99</v>
      </c>
      <c r="I253" s="357"/>
      <c r="J253" s="358" t="s">
        <v>14</v>
      </c>
      <c r="K253" s="368">
        <f t="shared" si="28"/>
        <v>8.99</v>
      </c>
      <c r="L253" s="354"/>
      <c r="M253" s="491">
        <f t="shared" si="29"/>
        <v>8.99</v>
      </c>
      <c r="N253" s="491"/>
    </row>
    <row r="254" spans="1:14" customFormat="1" ht="17.25">
      <c r="A254" s="348"/>
      <c r="B254" s="370" t="s">
        <v>1931</v>
      </c>
      <c r="C254" s="376">
        <v>1</v>
      </c>
      <c r="D254" s="371">
        <v>1</v>
      </c>
      <c r="E254" s="358">
        <v>1.6</v>
      </c>
      <c r="F254" s="358">
        <v>1.6</v>
      </c>
      <c r="G254" s="358">
        <f>3.38-1.8</f>
        <v>1.58</v>
      </c>
      <c r="H254" s="356">
        <f t="shared" si="27"/>
        <v>4.04</v>
      </c>
      <c r="I254" s="357"/>
      <c r="J254" s="358" t="s">
        <v>14</v>
      </c>
      <c r="K254" s="368">
        <f t="shared" si="28"/>
        <v>4.04</v>
      </c>
      <c r="L254" s="354"/>
      <c r="M254" s="491">
        <f t="shared" si="29"/>
        <v>4.04</v>
      </c>
      <c r="N254" s="491"/>
    </row>
    <row r="255" spans="1:14" customFormat="1" ht="17.25">
      <c r="A255" s="348"/>
      <c r="B255" s="370" t="s">
        <v>1932</v>
      </c>
      <c r="C255" s="376">
        <v>1</v>
      </c>
      <c r="D255" s="371">
        <v>1</v>
      </c>
      <c r="E255" s="358">
        <v>1.8</v>
      </c>
      <c r="F255" s="358">
        <v>1.8</v>
      </c>
      <c r="G255" s="358">
        <f>3.58-1.9</f>
        <v>1.68</v>
      </c>
      <c r="H255" s="356">
        <f t="shared" si="27"/>
        <v>5.44</v>
      </c>
      <c r="I255" s="357"/>
      <c r="J255" s="358" t="s">
        <v>14</v>
      </c>
      <c r="K255" s="368">
        <f t="shared" si="28"/>
        <v>5.44</v>
      </c>
      <c r="L255" s="354"/>
      <c r="M255" s="491">
        <f t="shared" si="29"/>
        <v>5.44</v>
      </c>
      <c r="N255" s="491"/>
    </row>
    <row r="256" spans="1:14" customFormat="1" ht="17.25">
      <c r="A256" s="348"/>
      <c r="B256" s="370" t="s">
        <v>1933</v>
      </c>
      <c r="C256" s="376">
        <v>1</v>
      </c>
      <c r="D256" s="371">
        <v>1</v>
      </c>
      <c r="E256" s="358">
        <v>2.4</v>
      </c>
      <c r="F256" s="358">
        <v>2.4</v>
      </c>
      <c r="G256" s="358">
        <f>3.48-1.9</f>
        <v>1.58</v>
      </c>
      <c r="H256" s="356">
        <f t="shared" si="27"/>
        <v>9.1</v>
      </c>
      <c r="I256" s="357"/>
      <c r="J256" s="358" t="s">
        <v>14</v>
      </c>
      <c r="K256" s="368">
        <f t="shared" si="28"/>
        <v>9.1</v>
      </c>
      <c r="L256" s="354"/>
      <c r="M256" s="491">
        <f t="shared" si="29"/>
        <v>9.1</v>
      </c>
      <c r="N256" s="491"/>
    </row>
    <row r="257" spans="1:14" customFormat="1" ht="17.25">
      <c r="A257" s="348"/>
      <c r="B257" s="370" t="s">
        <v>1934</v>
      </c>
      <c r="C257" s="376">
        <v>1</v>
      </c>
      <c r="D257" s="371">
        <v>1</v>
      </c>
      <c r="E257" s="358">
        <v>1.8</v>
      </c>
      <c r="F257" s="358">
        <v>1.8</v>
      </c>
      <c r="G257" s="358">
        <f>3.38-1.85</f>
        <v>1.53</v>
      </c>
      <c r="H257" s="356">
        <f t="shared" si="27"/>
        <v>4.96</v>
      </c>
      <c r="I257" s="357"/>
      <c r="J257" s="358" t="s">
        <v>14</v>
      </c>
      <c r="K257" s="368">
        <f t="shared" si="28"/>
        <v>4.96</v>
      </c>
      <c r="L257" s="354"/>
      <c r="M257" s="491">
        <f t="shared" si="29"/>
        <v>4.96</v>
      </c>
      <c r="N257" s="491"/>
    </row>
    <row r="258" spans="1:14" customFormat="1" ht="17.25">
      <c r="A258" s="348"/>
      <c r="B258" s="370" t="s">
        <v>1935</v>
      </c>
      <c r="C258" s="376">
        <v>1</v>
      </c>
      <c r="D258" s="371">
        <v>1</v>
      </c>
      <c r="E258" s="358">
        <v>2</v>
      </c>
      <c r="F258" s="358">
        <v>2</v>
      </c>
      <c r="G258" s="463">
        <f>3.48-1.9</f>
        <v>1.58</v>
      </c>
      <c r="H258" s="356">
        <f t="shared" si="27"/>
        <v>6.32</v>
      </c>
      <c r="I258" s="357"/>
      <c r="J258" s="358" t="s">
        <v>14</v>
      </c>
      <c r="K258" s="368">
        <f t="shared" si="28"/>
        <v>6.32</v>
      </c>
      <c r="L258" s="354"/>
      <c r="M258" s="491">
        <f t="shared" si="29"/>
        <v>6.32</v>
      </c>
      <c r="N258" s="491"/>
    </row>
    <row r="259" spans="1:14" customFormat="1" ht="17.25">
      <c r="A259" s="348"/>
      <c r="B259" s="370" t="s">
        <v>1936</v>
      </c>
      <c r="C259" s="376">
        <v>1</v>
      </c>
      <c r="D259" s="371">
        <v>1</v>
      </c>
      <c r="E259" s="358">
        <v>2.4</v>
      </c>
      <c r="F259" s="358">
        <v>2.4</v>
      </c>
      <c r="G259" s="358">
        <f>3.49-1.9</f>
        <v>1.59</v>
      </c>
      <c r="H259" s="356">
        <f t="shared" si="27"/>
        <v>9.16</v>
      </c>
      <c r="I259" s="357"/>
      <c r="J259" s="358" t="s">
        <v>14</v>
      </c>
      <c r="K259" s="368">
        <f t="shared" si="28"/>
        <v>9.16</v>
      </c>
      <c r="L259" s="354"/>
      <c r="M259" s="491">
        <f t="shared" si="29"/>
        <v>9.16</v>
      </c>
      <c r="N259" s="491"/>
    </row>
    <row r="260" spans="1:14" customFormat="1" ht="17.25">
      <c r="A260" s="348"/>
      <c r="B260" s="370" t="s">
        <v>1937</v>
      </c>
      <c r="C260" s="376">
        <v>1</v>
      </c>
      <c r="D260" s="371">
        <v>1</v>
      </c>
      <c r="E260" s="358">
        <v>1.8</v>
      </c>
      <c r="F260" s="358">
        <v>1.8</v>
      </c>
      <c r="G260" s="358">
        <f>3.36-1.88</f>
        <v>1.48</v>
      </c>
      <c r="H260" s="356">
        <f t="shared" si="27"/>
        <v>4.8</v>
      </c>
      <c r="I260" s="357"/>
      <c r="J260" s="358" t="s">
        <v>14</v>
      </c>
      <c r="K260" s="368">
        <f t="shared" si="28"/>
        <v>4.8</v>
      </c>
      <c r="L260" s="354"/>
      <c r="M260" s="491">
        <f t="shared" si="29"/>
        <v>4.8</v>
      </c>
      <c r="N260" s="491"/>
    </row>
    <row r="261" spans="1:14" customFormat="1" ht="17.25">
      <c r="A261" s="348"/>
      <c r="B261" s="370" t="s">
        <v>1938</v>
      </c>
      <c r="C261" s="376">
        <v>1</v>
      </c>
      <c r="D261" s="371">
        <v>1</v>
      </c>
      <c r="E261" s="358">
        <v>2</v>
      </c>
      <c r="F261" s="358">
        <v>2</v>
      </c>
      <c r="G261" s="358">
        <f>3.4-1.9</f>
        <v>1.5</v>
      </c>
      <c r="H261" s="356">
        <f t="shared" si="27"/>
        <v>6</v>
      </c>
      <c r="I261" s="357"/>
      <c r="J261" s="358" t="s">
        <v>14</v>
      </c>
      <c r="K261" s="368">
        <f t="shared" si="28"/>
        <v>6</v>
      </c>
      <c r="L261" s="354"/>
      <c r="M261" s="491">
        <f t="shared" si="29"/>
        <v>6</v>
      </c>
      <c r="N261" s="491"/>
    </row>
    <row r="262" spans="1:14" customFormat="1" ht="17.25">
      <c r="A262" s="348"/>
      <c r="B262" s="370" t="s">
        <v>1939</v>
      </c>
      <c r="C262" s="376">
        <v>1</v>
      </c>
      <c r="D262" s="371">
        <v>1</v>
      </c>
      <c r="E262" s="358">
        <v>2.4</v>
      </c>
      <c r="F262" s="358">
        <v>2.4</v>
      </c>
      <c r="G262" s="358">
        <f>3.48-1.9</f>
        <v>1.58</v>
      </c>
      <c r="H262" s="356">
        <f t="shared" si="27"/>
        <v>9.1</v>
      </c>
      <c r="I262" s="357"/>
      <c r="J262" s="358" t="s">
        <v>14</v>
      </c>
      <c r="K262" s="368">
        <f t="shared" si="28"/>
        <v>9.1</v>
      </c>
      <c r="L262" s="354"/>
      <c r="M262" s="491">
        <f t="shared" si="29"/>
        <v>9.1</v>
      </c>
      <c r="N262" s="491"/>
    </row>
    <row r="263" spans="1:14" customFormat="1" ht="17.25">
      <c r="A263" s="348"/>
      <c r="B263" s="370" t="s">
        <v>1940</v>
      </c>
      <c r="C263" s="376">
        <v>1</v>
      </c>
      <c r="D263" s="371">
        <v>1</v>
      </c>
      <c r="E263" s="358">
        <v>1.8</v>
      </c>
      <c r="F263" s="358">
        <v>1.8</v>
      </c>
      <c r="G263" s="358">
        <f>3.36-1.88</f>
        <v>1.48</v>
      </c>
      <c r="H263" s="356">
        <f t="shared" si="27"/>
        <v>4.8</v>
      </c>
      <c r="I263" s="357"/>
      <c r="J263" s="358" t="s">
        <v>14</v>
      </c>
      <c r="K263" s="368">
        <f t="shared" si="28"/>
        <v>4.8</v>
      </c>
      <c r="L263" s="354"/>
      <c r="M263" s="491">
        <f t="shared" si="29"/>
        <v>4.8</v>
      </c>
      <c r="N263" s="491"/>
    </row>
    <row r="264" spans="1:14" customFormat="1" ht="17.25">
      <c r="A264" s="348"/>
      <c r="B264" s="370" t="s">
        <v>1941</v>
      </c>
      <c r="C264" s="376">
        <v>1</v>
      </c>
      <c r="D264" s="371">
        <v>1</v>
      </c>
      <c r="E264" s="358">
        <v>1.8</v>
      </c>
      <c r="F264" s="358">
        <v>1.8</v>
      </c>
      <c r="G264" s="358">
        <f>3.35-2.2</f>
        <v>1.1499999999999999</v>
      </c>
      <c r="H264" s="356">
        <f t="shared" si="27"/>
        <v>3.73</v>
      </c>
      <c r="I264" s="357"/>
      <c r="J264" s="358" t="s">
        <v>14</v>
      </c>
      <c r="K264" s="368">
        <f t="shared" si="28"/>
        <v>3.73</v>
      </c>
      <c r="L264" s="354"/>
      <c r="M264" s="491">
        <f t="shared" si="29"/>
        <v>3.73</v>
      </c>
      <c r="N264" s="491"/>
    </row>
    <row r="265" spans="1:14" customFormat="1" ht="17.25">
      <c r="A265" s="348"/>
      <c r="B265" s="370" t="s">
        <v>1942</v>
      </c>
      <c r="C265" s="376">
        <v>1</v>
      </c>
      <c r="D265" s="371">
        <v>1</v>
      </c>
      <c r="E265" s="358">
        <v>2.4</v>
      </c>
      <c r="F265" s="358">
        <v>2.4</v>
      </c>
      <c r="G265" s="358">
        <f>3.38-2.1</f>
        <v>1.28</v>
      </c>
      <c r="H265" s="356">
        <f t="shared" si="27"/>
        <v>7.37</v>
      </c>
      <c r="I265" s="357"/>
      <c r="J265" s="358" t="s">
        <v>14</v>
      </c>
      <c r="K265" s="368">
        <f t="shared" si="28"/>
        <v>7.37</v>
      </c>
      <c r="L265" s="354"/>
      <c r="M265" s="491">
        <f t="shared" si="29"/>
        <v>7.37</v>
      </c>
      <c r="N265" s="491"/>
    </row>
    <row r="266" spans="1:14" customFormat="1" ht="17.25">
      <c r="A266" s="348"/>
      <c r="B266" s="370" t="s">
        <v>1943</v>
      </c>
      <c r="C266" s="376">
        <v>1</v>
      </c>
      <c r="D266" s="371">
        <v>1</v>
      </c>
      <c r="E266" s="358">
        <v>1.8</v>
      </c>
      <c r="F266" s="358">
        <v>1.8</v>
      </c>
      <c r="G266" s="358">
        <f>3.1-2.2</f>
        <v>0.9</v>
      </c>
      <c r="H266" s="356">
        <f t="shared" si="27"/>
        <v>2.92</v>
      </c>
      <c r="I266" s="357"/>
      <c r="J266" s="358" t="s">
        <v>14</v>
      </c>
      <c r="K266" s="368">
        <f t="shared" si="28"/>
        <v>2.92</v>
      </c>
      <c r="L266" s="354"/>
      <c r="M266" s="491">
        <f t="shared" si="29"/>
        <v>2.92</v>
      </c>
      <c r="N266" s="491"/>
    </row>
    <row r="267" spans="1:14" customFormat="1" ht="17.25">
      <c r="A267" s="348"/>
      <c r="B267" s="370" t="s">
        <v>1944</v>
      </c>
      <c r="C267" s="376">
        <v>1</v>
      </c>
      <c r="D267" s="371">
        <v>1</v>
      </c>
      <c r="E267" s="358">
        <v>6.85</v>
      </c>
      <c r="F267" s="358">
        <v>3.85</v>
      </c>
      <c r="G267" s="358">
        <f>3.38-2</f>
        <v>1.38</v>
      </c>
      <c r="H267" s="356">
        <f t="shared" si="27"/>
        <v>36.39</v>
      </c>
      <c r="I267" s="357"/>
      <c r="J267" s="358" t="s">
        <v>14</v>
      </c>
      <c r="K267" s="368">
        <f t="shared" si="28"/>
        <v>36.39</v>
      </c>
      <c r="L267" s="354"/>
      <c r="M267" s="491">
        <f t="shared" si="29"/>
        <v>36.39</v>
      </c>
      <c r="N267" s="491"/>
    </row>
    <row r="268" spans="1:14" customFormat="1" ht="17.25">
      <c r="A268" s="348"/>
      <c r="B268" s="370" t="s">
        <v>1945</v>
      </c>
      <c r="C268" s="376">
        <v>1</v>
      </c>
      <c r="D268" s="371">
        <v>1</v>
      </c>
      <c r="E268" s="358">
        <v>1.6</v>
      </c>
      <c r="F268" s="358">
        <v>1.6</v>
      </c>
      <c r="G268" s="358">
        <f>3.3-2</f>
        <v>1.3</v>
      </c>
      <c r="H268" s="356">
        <f t="shared" si="27"/>
        <v>3.33</v>
      </c>
      <c r="I268" s="357"/>
      <c r="J268" s="358" t="s">
        <v>14</v>
      </c>
      <c r="K268" s="368">
        <f t="shared" si="28"/>
        <v>3.33</v>
      </c>
      <c r="L268" s="354"/>
      <c r="M268" s="491">
        <f t="shared" si="29"/>
        <v>3.33</v>
      </c>
      <c r="N268" s="491"/>
    </row>
    <row r="269" spans="1:14" customFormat="1" ht="17.25">
      <c r="A269" s="348"/>
      <c r="B269" s="370" t="s">
        <v>1946</v>
      </c>
      <c r="C269" s="376">
        <v>1</v>
      </c>
      <c r="D269" s="371">
        <v>1</v>
      </c>
      <c r="E269" s="358">
        <v>1.4</v>
      </c>
      <c r="F269" s="358">
        <v>1.4</v>
      </c>
      <c r="G269" s="358">
        <f>3.25-2</f>
        <v>1.25</v>
      </c>
      <c r="H269" s="356">
        <f t="shared" si="27"/>
        <v>2.4500000000000002</v>
      </c>
      <c r="I269" s="357"/>
      <c r="J269" s="358" t="s">
        <v>14</v>
      </c>
      <c r="K269" s="368">
        <f t="shared" si="28"/>
        <v>2.4500000000000002</v>
      </c>
      <c r="L269" s="354"/>
      <c r="M269" s="491">
        <f t="shared" si="29"/>
        <v>2.4500000000000002</v>
      </c>
      <c r="N269" s="491"/>
    </row>
    <row r="270" spans="1:14" customFormat="1" ht="17.25">
      <c r="A270" s="348"/>
      <c r="B270" s="370" t="s">
        <v>1947</v>
      </c>
      <c r="C270" s="376">
        <v>1</v>
      </c>
      <c r="D270" s="371">
        <v>1</v>
      </c>
      <c r="E270" s="358">
        <f>3.6+0.65</f>
        <v>4.25</v>
      </c>
      <c r="F270" s="358">
        <v>1.3</v>
      </c>
      <c r="G270" s="358">
        <f>(3.3+3.25)/2-2</f>
        <v>1.28</v>
      </c>
      <c r="H270" s="356">
        <f t="shared" si="27"/>
        <v>7.07</v>
      </c>
      <c r="I270" s="357"/>
      <c r="J270" s="358" t="s">
        <v>14</v>
      </c>
      <c r="K270" s="368">
        <f t="shared" si="28"/>
        <v>7.07</v>
      </c>
      <c r="L270" s="438">
        <f>SUM(K210:K270)</f>
        <v>443.04</v>
      </c>
      <c r="M270" s="491">
        <f t="shared" si="29"/>
        <v>7.07</v>
      </c>
      <c r="N270" s="491"/>
    </row>
    <row r="271" spans="1:14" ht="17.25">
      <c r="A271" s="348"/>
      <c r="B271" s="370"/>
      <c r="C271" s="376"/>
      <c r="D271" s="371"/>
      <c r="E271" s="358"/>
      <c r="F271" s="358"/>
      <c r="G271" s="358"/>
      <c r="H271" s="356"/>
      <c r="I271" s="357"/>
      <c r="J271" s="358"/>
      <c r="K271" s="368"/>
      <c r="L271" s="354"/>
      <c r="M271" s="491"/>
      <c r="N271" s="491"/>
    </row>
    <row r="272" spans="1:14" ht="17.25">
      <c r="A272" s="348"/>
      <c r="B272" s="370"/>
      <c r="C272" s="376"/>
      <c r="D272" s="371"/>
      <c r="E272" s="358"/>
      <c r="F272" s="358"/>
      <c r="G272" s="358"/>
      <c r="H272" s="356"/>
      <c r="I272" s="357"/>
      <c r="J272" s="358"/>
      <c r="K272" s="368"/>
      <c r="L272" s="354"/>
      <c r="M272" s="491"/>
      <c r="N272" s="491"/>
    </row>
    <row r="273" spans="1:14" ht="17.25">
      <c r="A273" s="348"/>
      <c r="B273" s="370"/>
      <c r="C273" s="376"/>
      <c r="D273" s="371"/>
      <c r="E273" s="358"/>
      <c r="F273" s="358"/>
      <c r="G273" s="358"/>
      <c r="H273" s="356"/>
      <c r="I273" s="357"/>
      <c r="J273" s="358"/>
      <c r="K273" s="368"/>
      <c r="L273" s="354"/>
      <c r="M273" s="491"/>
      <c r="N273" s="491"/>
    </row>
    <row r="274" spans="1:14" ht="15.75" customHeight="1">
      <c r="A274" s="348"/>
      <c r="B274" s="370"/>
      <c r="C274" s="376"/>
      <c r="D274" s="371"/>
      <c r="E274" s="369"/>
      <c r="F274" s="356"/>
      <c r="G274" s="356"/>
      <c r="H274" s="356"/>
      <c r="I274" s="357"/>
      <c r="J274" s="357"/>
      <c r="K274" s="358"/>
      <c r="L274" s="368"/>
      <c r="M274" s="494"/>
      <c r="N274" s="494"/>
    </row>
    <row r="275" spans="1:14" ht="15.75" customHeight="1">
      <c r="A275" s="348"/>
      <c r="B275" s="370"/>
      <c r="C275" s="376"/>
      <c r="D275" s="371"/>
      <c r="E275" s="369"/>
      <c r="F275" s="356"/>
      <c r="G275" s="356"/>
      <c r="H275" s="356"/>
      <c r="I275" s="357"/>
      <c r="J275" s="358"/>
      <c r="K275" s="368"/>
      <c r="L275" s="354"/>
      <c r="M275" s="491"/>
      <c r="N275" s="491"/>
    </row>
    <row r="276" spans="1:14" ht="15.75" customHeight="1">
      <c r="A276" s="362"/>
      <c r="B276" s="360"/>
      <c r="C276" s="375"/>
      <c r="D276" s="362"/>
      <c r="E276" s="363"/>
      <c r="F276" s="362"/>
      <c r="G276" s="356"/>
      <c r="H276" s="437">
        <f>SUM(H56:H275)</f>
        <v>1931.14</v>
      </c>
      <c r="I276" s="351"/>
      <c r="J276" s="389" t="s">
        <v>14</v>
      </c>
      <c r="K276" s="460">
        <f>SUM(K56:K275)</f>
        <v>1931.14</v>
      </c>
      <c r="L276" s="354"/>
      <c r="M276" s="491">
        <f>SUM(M56:M275)</f>
        <v>1931.14</v>
      </c>
      <c r="N276" s="491">
        <f>SUM(H56:H270)</f>
        <v>1931.14</v>
      </c>
    </row>
    <row r="277" spans="1:14" ht="15.75" customHeight="1">
      <c r="A277" s="348"/>
      <c r="B277" s="327"/>
      <c r="C277" s="374"/>
      <c r="D277" s="327"/>
      <c r="E277" s="327"/>
      <c r="F277" s="349"/>
      <c r="G277" s="349"/>
      <c r="H277" s="350"/>
      <c r="I277" s="351"/>
      <c r="J277" s="352"/>
      <c r="K277" s="353"/>
      <c r="L277" s="354"/>
      <c r="M277" s="491"/>
      <c r="N277" s="491"/>
    </row>
    <row r="278" spans="1:14" s="364" customFormat="1" ht="20.25" customHeight="1">
      <c r="A278" s="442"/>
      <c r="B278" s="608" t="s">
        <v>1837</v>
      </c>
      <c r="C278" s="609"/>
      <c r="D278" s="609"/>
      <c r="E278" s="609"/>
      <c r="F278" s="609"/>
      <c r="G278" s="609"/>
      <c r="H278" s="609"/>
      <c r="I278" s="610"/>
      <c r="J278" s="453" t="s">
        <v>14</v>
      </c>
      <c r="K278" s="454"/>
      <c r="L278" s="455">
        <f>+H276</f>
        <v>1931.14</v>
      </c>
      <c r="M278" s="493"/>
      <c r="N278" s="493"/>
    </row>
    <row r="279" spans="1:14" ht="17.25">
      <c r="A279" s="348"/>
      <c r="B279" s="327"/>
      <c r="C279" s="374"/>
      <c r="D279" s="327"/>
      <c r="E279" s="406"/>
      <c r="F279" s="407"/>
      <c r="G279" s="407"/>
      <c r="H279" s="350"/>
      <c r="I279" s="351"/>
      <c r="J279" s="352"/>
      <c r="K279" s="353"/>
      <c r="L279" s="354"/>
      <c r="M279" s="491"/>
      <c r="N279" s="491"/>
    </row>
    <row r="280" spans="1:14" ht="17.25">
      <c r="A280" s="348"/>
      <c r="B280" s="370"/>
      <c r="C280" s="376"/>
      <c r="D280" s="371"/>
      <c r="E280" s="369"/>
      <c r="F280" s="356"/>
      <c r="G280" s="356"/>
      <c r="H280" s="356"/>
      <c r="I280" s="357"/>
      <c r="J280" s="358"/>
      <c r="K280" s="368"/>
      <c r="L280" s="354"/>
      <c r="M280" s="491"/>
      <c r="N280" s="491"/>
    </row>
    <row r="281" spans="1:14" ht="17.25">
      <c r="A281" s="348"/>
      <c r="B281" s="370"/>
      <c r="C281" s="376"/>
      <c r="D281" s="371"/>
      <c r="E281" s="369"/>
      <c r="F281" s="356"/>
      <c r="G281" s="356"/>
      <c r="H281" s="356"/>
      <c r="I281" s="357"/>
      <c r="J281" s="358"/>
      <c r="K281" s="368"/>
      <c r="L281" s="354"/>
      <c r="M281" s="491"/>
      <c r="N281" s="491"/>
    </row>
    <row r="282" spans="1:14" ht="17.25">
      <c r="A282" s="348"/>
      <c r="B282" s="370"/>
      <c r="C282" s="376"/>
      <c r="D282" s="371"/>
      <c r="E282" s="369"/>
      <c r="F282" s="356"/>
      <c r="G282" s="356"/>
      <c r="H282" s="356"/>
      <c r="I282" s="357"/>
      <c r="J282" s="358"/>
      <c r="K282" s="368"/>
      <c r="L282" s="354"/>
      <c r="M282" s="491"/>
      <c r="N282" s="491"/>
    </row>
    <row r="283" spans="1:14" ht="17.25">
      <c r="A283" s="348"/>
      <c r="B283" s="370"/>
      <c r="C283" s="376"/>
      <c r="D283" s="371"/>
      <c r="E283" s="369"/>
      <c r="F283" s="356"/>
      <c r="G283" s="356"/>
      <c r="H283" s="356"/>
      <c r="I283" s="357"/>
      <c r="J283" s="358"/>
      <c r="K283" s="368"/>
      <c r="L283" s="354"/>
      <c r="M283" s="491"/>
      <c r="N283" s="491"/>
    </row>
    <row r="284" spans="1:14" ht="17.25">
      <c r="A284" s="348"/>
      <c r="B284" s="370"/>
      <c r="C284" s="376"/>
      <c r="D284" s="371"/>
      <c r="E284" s="369"/>
      <c r="F284" s="356"/>
      <c r="G284" s="356"/>
      <c r="H284" s="356"/>
      <c r="I284" s="357"/>
      <c r="J284" s="358"/>
      <c r="K284" s="368"/>
      <c r="L284" s="354"/>
      <c r="M284" s="491"/>
      <c r="N284" s="491"/>
    </row>
    <row r="285" spans="1:14" ht="17.25">
      <c r="A285" s="348"/>
      <c r="B285" s="327"/>
      <c r="C285" s="374"/>
      <c r="D285" s="327"/>
      <c r="E285" s="327"/>
      <c r="F285" s="349"/>
      <c r="G285" s="349"/>
      <c r="H285" s="350"/>
      <c r="I285" s="351"/>
      <c r="J285" s="352"/>
      <c r="K285" s="353"/>
      <c r="L285" s="354"/>
      <c r="M285" s="491"/>
      <c r="N285" s="491"/>
    </row>
    <row r="286" spans="1:14" ht="17.25">
      <c r="A286" s="348"/>
      <c r="B286" s="327"/>
      <c r="C286" s="374"/>
      <c r="D286" s="327"/>
      <c r="E286" s="327"/>
      <c r="F286" s="349"/>
      <c r="G286" s="349"/>
      <c r="H286" s="350"/>
      <c r="I286" s="351"/>
      <c r="J286" s="352"/>
      <c r="K286" s="353"/>
      <c r="L286" s="354"/>
      <c r="M286" s="491"/>
      <c r="N286" s="491"/>
    </row>
    <row r="287" spans="1:14" ht="17.25">
      <c r="A287" s="348"/>
      <c r="B287" s="327"/>
      <c r="C287" s="374"/>
      <c r="D287" s="327"/>
      <c r="E287" s="327"/>
      <c r="F287" s="349"/>
      <c r="G287" s="349"/>
      <c r="H287" s="350"/>
      <c r="I287" s="351"/>
      <c r="J287" s="352"/>
      <c r="K287" s="353"/>
      <c r="L287" s="354"/>
      <c r="M287" s="491"/>
      <c r="N287" s="491"/>
    </row>
    <row r="288" spans="1:14" ht="17.25">
      <c r="A288" s="348"/>
      <c r="B288" s="327"/>
      <c r="C288" s="374"/>
      <c r="D288" s="327"/>
      <c r="E288" s="327"/>
      <c r="F288" s="349"/>
      <c r="G288" s="349"/>
      <c r="H288" s="350"/>
      <c r="I288" s="351"/>
      <c r="J288" s="352"/>
      <c r="K288" s="353"/>
      <c r="L288" s="354"/>
      <c r="M288" s="491"/>
      <c r="N288" s="491"/>
    </row>
    <row r="289" spans="1:14" ht="17.25">
      <c r="A289" s="348"/>
      <c r="B289" s="327"/>
      <c r="C289" s="374"/>
      <c r="D289" s="327"/>
      <c r="E289" s="327"/>
      <c r="F289" s="349"/>
      <c r="G289" s="349"/>
      <c r="H289" s="350"/>
      <c r="I289" s="351"/>
      <c r="J289" s="352"/>
      <c r="K289" s="353"/>
      <c r="L289" s="354"/>
      <c r="M289" s="491"/>
      <c r="N289" s="491"/>
    </row>
    <row r="290" spans="1:14" ht="17.25">
      <c r="A290" s="348"/>
      <c r="B290" s="327"/>
      <c r="C290" s="374"/>
      <c r="D290" s="327"/>
      <c r="E290" s="327"/>
      <c r="F290" s="349"/>
      <c r="G290" s="349"/>
      <c r="H290" s="350"/>
      <c r="I290" s="351"/>
      <c r="J290" s="352"/>
      <c r="K290" s="353"/>
      <c r="L290" s="354"/>
      <c r="M290" s="491"/>
      <c r="N290" s="491"/>
    </row>
    <row r="291" spans="1:14" ht="17.25">
      <c r="A291" s="348"/>
      <c r="B291" s="327"/>
      <c r="C291" s="374"/>
      <c r="D291" s="327"/>
      <c r="E291" s="327"/>
      <c r="F291" s="349"/>
      <c r="G291" s="349"/>
      <c r="H291" s="350"/>
      <c r="I291" s="351"/>
      <c r="J291" s="352"/>
      <c r="K291" s="353"/>
      <c r="L291" s="354"/>
      <c r="M291" s="491"/>
      <c r="N291" s="491"/>
    </row>
    <row r="292" spans="1:14" ht="17.25">
      <c r="A292" s="348"/>
      <c r="B292" s="327"/>
      <c r="C292" s="374"/>
      <c r="D292" s="327"/>
      <c r="E292" s="327"/>
      <c r="F292" s="349"/>
      <c r="G292" s="349"/>
      <c r="H292" s="350"/>
      <c r="I292" s="351"/>
      <c r="J292" s="352"/>
      <c r="K292" s="353"/>
      <c r="L292" s="354"/>
      <c r="M292" s="491"/>
      <c r="N292" s="491"/>
    </row>
    <row r="293" spans="1:14" ht="17.25">
      <c r="A293" s="348"/>
      <c r="B293" s="327"/>
      <c r="C293" s="374"/>
      <c r="D293" s="327"/>
      <c r="E293" s="327"/>
      <c r="F293" s="349"/>
      <c r="G293" s="349"/>
      <c r="H293" s="350"/>
      <c r="I293" s="351"/>
      <c r="J293" s="352"/>
      <c r="K293" s="353"/>
      <c r="L293" s="354"/>
      <c r="M293" s="491"/>
      <c r="N293" s="491"/>
    </row>
    <row r="294" spans="1:14" ht="17.25">
      <c r="A294" s="348"/>
      <c r="B294" s="327"/>
      <c r="C294" s="374"/>
      <c r="D294" s="327"/>
      <c r="E294" s="327"/>
      <c r="F294" s="349"/>
      <c r="G294" s="349"/>
      <c r="H294" s="350"/>
      <c r="I294" s="351"/>
      <c r="J294" s="352"/>
      <c r="K294" s="353"/>
      <c r="L294" s="354"/>
      <c r="M294" s="491"/>
      <c r="N294" s="491"/>
    </row>
    <row r="295" spans="1:14" ht="17.25">
      <c r="A295" s="348"/>
      <c r="B295" s="327"/>
      <c r="C295" s="374"/>
      <c r="D295" s="327"/>
      <c r="E295" s="327"/>
      <c r="F295" s="349"/>
      <c r="G295" s="349"/>
      <c r="H295" s="350"/>
      <c r="I295" s="351"/>
      <c r="J295" s="352"/>
      <c r="K295" s="353"/>
      <c r="L295" s="354"/>
      <c r="M295" s="491"/>
      <c r="N295" s="491"/>
    </row>
    <row r="296" spans="1:14" ht="17.25">
      <c r="A296" s="348"/>
      <c r="B296" s="327"/>
      <c r="C296" s="374"/>
      <c r="D296" s="327"/>
      <c r="E296" s="327"/>
      <c r="F296" s="349"/>
      <c r="G296" s="349"/>
      <c r="H296" s="350"/>
      <c r="I296" s="351"/>
      <c r="J296" s="352"/>
      <c r="K296" s="353"/>
      <c r="L296" s="354"/>
      <c r="M296" s="491"/>
      <c r="N296" s="491"/>
    </row>
  </sheetData>
  <mergeCells count="29">
    <mergeCell ref="B278:I278"/>
    <mergeCell ref="B31:I31"/>
    <mergeCell ref="B51:I51"/>
    <mergeCell ref="A17:L17"/>
    <mergeCell ref="A9:L9"/>
    <mergeCell ref="C14:C16"/>
    <mergeCell ref="H15:H16"/>
    <mergeCell ref="I15:I16"/>
    <mergeCell ref="A1:L1"/>
    <mergeCell ref="A2:L2"/>
    <mergeCell ref="A3:L3"/>
    <mergeCell ref="A4:L4"/>
    <mergeCell ref="A5:L5"/>
    <mergeCell ref="A6:L6"/>
    <mergeCell ref="A7:L7"/>
    <mergeCell ref="A8:L8"/>
    <mergeCell ref="K14:L14"/>
    <mergeCell ref="K15:K16"/>
    <mergeCell ref="L15:L16"/>
    <mergeCell ref="E16:G16"/>
    <mergeCell ref="A10:L10"/>
    <mergeCell ref="A11:L11"/>
    <mergeCell ref="A12:L12"/>
    <mergeCell ref="A13:L13"/>
    <mergeCell ref="A14:A16"/>
    <mergeCell ref="H14:I14"/>
    <mergeCell ref="J14:J16"/>
    <mergeCell ref="D14:D16"/>
    <mergeCell ref="E14:G14"/>
  </mergeCells>
  <phoneticPr fontId="104" type="noConversion"/>
  <pageMargins left="0.35433070866141736" right="0.27559055118110237" top="0.15748031496062992" bottom="0.47244094488188981" header="0.31496062992125984" footer="0.31496062992125984"/>
  <pageSetup paperSize="9" scale="64" fitToHeight="0" orientation="landscape" r:id="rId1"/>
  <headerFooter>
    <oddFooter>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view="pageBreakPreview" topLeftCell="A4" zoomScale="90" zoomScaleNormal="90" zoomScaleSheetLayoutView="90" workbookViewId="0">
      <selection activeCell="J12" sqref="J12"/>
    </sheetView>
  </sheetViews>
  <sheetFormatPr baseColWidth="10" defaultRowHeight="15"/>
  <cols>
    <col min="1" max="1" width="9.7109375" customWidth="1"/>
    <col min="2" max="2" width="7.140625" customWidth="1"/>
    <col min="3" max="3" width="34" customWidth="1"/>
    <col min="4" max="4" width="10.42578125" customWidth="1"/>
    <col min="8" max="8" width="6.28515625" customWidth="1"/>
    <col min="13" max="13" width="16.28515625" customWidth="1"/>
    <col min="14" max="14" width="17.28515625" customWidth="1"/>
  </cols>
  <sheetData>
    <row r="1" spans="1:16">
      <c r="I1" s="412" t="s">
        <v>1950</v>
      </c>
    </row>
    <row r="2" spans="1:16" ht="29.25" customHeight="1">
      <c r="A2" s="413"/>
      <c r="C2" s="414" t="s">
        <v>1702</v>
      </c>
      <c r="D2" s="623" t="s">
        <v>1728</v>
      </c>
      <c r="E2" s="623"/>
      <c r="F2" s="623"/>
      <c r="G2" s="623"/>
      <c r="H2" s="623"/>
      <c r="I2" s="623"/>
      <c r="J2" s="415"/>
      <c r="K2" s="415"/>
      <c r="L2" s="415"/>
    </row>
    <row r="3" spans="1:16">
      <c r="A3" s="413"/>
      <c r="C3" s="412" t="s">
        <v>1703</v>
      </c>
      <c r="D3" s="413" t="s">
        <v>1729</v>
      </c>
      <c r="E3" s="413"/>
      <c r="F3" s="413"/>
      <c r="G3" s="416"/>
      <c r="H3" s="413"/>
      <c r="I3" s="413"/>
      <c r="J3" s="413"/>
      <c r="K3" s="413"/>
      <c r="L3" s="413"/>
    </row>
    <row r="4" spans="1:16">
      <c r="A4" s="413"/>
      <c r="C4" s="412" t="s">
        <v>1704</v>
      </c>
      <c r="D4" s="413" t="s">
        <v>1705</v>
      </c>
      <c r="E4" s="413"/>
      <c r="F4" s="417"/>
      <c r="G4" s="416"/>
      <c r="H4" s="413"/>
      <c r="I4" s="413"/>
      <c r="J4" s="413"/>
      <c r="K4" s="413"/>
      <c r="L4" s="413"/>
    </row>
    <row r="5" spans="1:16" ht="15.75">
      <c r="A5" s="418"/>
      <c r="B5" s="418"/>
      <c r="C5" s="418"/>
      <c r="D5" s="419" t="s">
        <v>1843</v>
      </c>
      <c r="E5" s="418"/>
      <c r="F5" s="418"/>
      <c r="G5" s="418"/>
      <c r="H5" s="418"/>
      <c r="I5" s="418"/>
      <c r="J5" s="418"/>
      <c r="K5" s="418"/>
      <c r="L5" s="418"/>
    </row>
    <row r="6" spans="1:16" ht="15.75">
      <c r="A6" s="418"/>
      <c r="B6" s="418"/>
      <c r="C6" s="420"/>
      <c r="D6" s="421"/>
      <c r="E6" s="421"/>
      <c r="F6" s="421"/>
      <c r="G6" s="421"/>
      <c r="H6" s="421"/>
      <c r="I6" s="421"/>
      <c r="J6" s="418"/>
      <c r="K6" s="418"/>
      <c r="L6" s="418"/>
    </row>
    <row r="7" spans="1:16" ht="37.5" customHeight="1">
      <c r="A7" s="422" t="s">
        <v>1706</v>
      </c>
      <c r="B7" s="422" t="s">
        <v>1707</v>
      </c>
      <c r="C7" s="422" t="s">
        <v>1708</v>
      </c>
      <c r="D7" s="422" t="s">
        <v>1709</v>
      </c>
      <c r="E7" s="422" t="s">
        <v>1710</v>
      </c>
      <c r="F7" s="422" t="s">
        <v>1711</v>
      </c>
      <c r="G7" s="422" t="s">
        <v>1712</v>
      </c>
      <c r="H7" s="423" t="s">
        <v>1688</v>
      </c>
      <c r="I7" s="436" t="s">
        <v>1713</v>
      </c>
      <c r="J7" s="422" t="s">
        <v>1714</v>
      </c>
      <c r="K7" s="496" t="s">
        <v>1952</v>
      </c>
      <c r="L7" s="496" t="s">
        <v>1951</v>
      </c>
      <c r="M7" s="496" t="s">
        <v>1948</v>
      </c>
      <c r="N7" s="496" t="s">
        <v>1949</v>
      </c>
    </row>
    <row r="8" spans="1:16" ht="18" customHeight="1">
      <c r="A8" s="464"/>
      <c r="B8" s="465"/>
      <c r="C8" s="466" t="s">
        <v>1715</v>
      </c>
      <c r="D8" s="465"/>
      <c r="E8" s="467"/>
      <c r="F8" s="468"/>
      <c r="G8" s="469"/>
      <c r="H8" s="470"/>
      <c r="I8" s="470"/>
      <c r="J8" s="469"/>
      <c r="K8" s="497"/>
      <c r="L8" s="497"/>
    </row>
    <row r="9" spans="1:16" ht="18" customHeight="1">
      <c r="A9" s="464"/>
      <c r="B9" s="471">
        <v>1</v>
      </c>
      <c r="C9" s="472" t="s">
        <v>1730</v>
      </c>
      <c r="D9" s="465"/>
      <c r="E9" s="467"/>
      <c r="F9" s="468"/>
      <c r="G9" s="469"/>
      <c r="H9" s="470"/>
      <c r="I9" s="470"/>
      <c r="J9" s="469"/>
      <c r="K9" s="497"/>
      <c r="L9" s="497"/>
    </row>
    <row r="10" spans="1:16" ht="32.25" customHeight="1">
      <c r="A10" s="464"/>
      <c r="B10" s="471">
        <v>1.1000000000000001</v>
      </c>
      <c r="C10" s="473" t="s">
        <v>1731</v>
      </c>
      <c r="D10" s="474" t="s">
        <v>1716</v>
      </c>
      <c r="E10" s="469"/>
      <c r="F10" s="469"/>
      <c r="G10" s="469"/>
      <c r="H10" s="475"/>
      <c r="I10" s="476"/>
      <c r="J10" s="469"/>
      <c r="K10" s="497"/>
      <c r="L10" s="497"/>
    </row>
    <row r="11" spans="1:16" ht="32.25" customHeight="1">
      <c r="A11" s="464"/>
      <c r="B11" s="471"/>
      <c r="C11" s="473"/>
      <c r="D11" s="474" t="s">
        <v>403</v>
      </c>
      <c r="E11" s="469"/>
      <c r="F11" s="469"/>
      <c r="G11" s="469"/>
      <c r="H11" s="475"/>
      <c r="I11" s="469"/>
      <c r="J11" s="469"/>
      <c r="K11" s="497"/>
      <c r="L11" s="497"/>
    </row>
    <row r="12" spans="1:16" ht="30.75" customHeight="1">
      <c r="A12" s="464"/>
      <c r="B12" s="471">
        <v>1.2</v>
      </c>
      <c r="C12" s="473" t="s">
        <v>1717</v>
      </c>
      <c r="D12" s="474" t="s">
        <v>403</v>
      </c>
      <c r="E12" s="469">
        <f>'RECAP '!F12</f>
        <v>4700</v>
      </c>
      <c r="F12" s="469">
        <v>7533</v>
      </c>
      <c r="G12" s="469">
        <f>Métrié!L51</f>
        <v>7533</v>
      </c>
      <c r="H12" s="475">
        <v>1</v>
      </c>
      <c r="I12" s="469">
        <f t="shared" ref="I12:I13" si="0">+J12-F12</f>
        <v>0</v>
      </c>
      <c r="J12" s="469">
        <f t="shared" ref="J12:J13" si="1">+G12*H12</f>
        <v>7533</v>
      </c>
      <c r="K12" s="497">
        <v>36</v>
      </c>
      <c r="L12" s="497">
        <f>+K12*J12</f>
        <v>271188</v>
      </c>
      <c r="M12" s="487">
        <f>Métrié!M49</f>
        <v>7533</v>
      </c>
      <c r="N12" s="487">
        <v>7533</v>
      </c>
      <c r="O12" s="487">
        <f>N12+I12</f>
        <v>7533</v>
      </c>
      <c r="P12" s="487">
        <f>M12*H12</f>
        <v>7533</v>
      </c>
    </row>
    <row r="13" spans="1:16" ht="30.75" customHeight="1">
      <c r="A13" s="464"/>
      <c r="B13" s="471">
        <v>1.3</v>
      </c>
      <c r="C13" s="473" t="s">
        <v>1733</v>
      </c>
      <c r="D13" s="474" t="s">
        <v>403</v>
      </c>
      <c r="E13" s="469">
        <v>3140</v>
      </c>
      <c r="F13" s="469">
        <v>1283.57</v>
      </c>
      <c r="G13" s="469">
        <f>+Métrié!L278</f>
        <v>1931.14</v>
      </c>
      <c r="H13" s="475">
        <v>1</v>
      </c>
      <c r="I13" s="469">
        <f t="shared" si="0"/>
        <v>647.57000000000005</v>
      </c>
      <c r="J13" s="469">
        <f t="shared" si="1"/>
        <v>1931.14</v>
      </c>
      <c r="K13" s="497">
        <v>36</v>
      </c>
      <c r="L13" s="497">
        <f>+K13*J13</f>
        <v>69521.039999999994</v>
      </c>
      <c r="M13" s="487">
        <f>Métrié!M276</f>
        <v>1931.14</v>
      </c>
      <c r="N13" s="249">
        <v>1283.57</v>
      </c>
      <c r="O13" s="487">
        <f>N13+I13</f>
        <v>1931.14</v>
      </c>
      <c r="P13" s="487">
        <f>M13*H13</f>
        <v>1931.14</v>
      </c>
    </row>
    <row r="14" spans="1:16" ht="18.75" customHeight="1">
      <c r="A14" s="424"/>
      <c r="B14" s="425"/>
      <c r="C14" s="426"/>
      <c r="D14" s="425"/>
      <c r="E14" s="427"/>
      <c r="F14" s="427"/>
      <c r="G14" s="427"/>
      <c r="H14" s="427"/>
      <c r="I14" s="427"/>
      <c r="J14" s="427"/>
      <c r="K14" s="427"/>
      <c r="L14" s="427"/>
    </row>
    <row r="15" spans="1:16">
      <c r="B15" s="434" t="s">
        <v>1718</v>
      </c>
      <c r="D15" s="428" t="s">
        <v>1719</v>
      </c>
      <c r="E15" s="429"/>
      <c r="F15" s="430" t="s">
        <v>1720</v>
      </c>
      <c r="H15" s="429"/>
      <c r="I15" s="412" t="s">
        <v>1721</v>
      </c>
      <c r="J15" s="429"/>
      <c r="K15" s="624">
        <f>+L12+L13</f>
        <v>340709.04</v>
      </c>
      <c r="L15" s="625"/>
      <c r="N15" s="429"/>
    </row>
    <row r="16" spans="1:16">
      <c r="B16" s="428" t="s">
        <v>1722</v>
      </c>
      <c r="D16" s="412" t="s">
        <v>1723</v>
      </c>
      <c r="E16" s="429"/>
      <c r="F16" s="430" t="s">
        <v>1724</v>
      </c>
      <c r="H16" s="429"/>
      <c r="I16" s="412" t="s">
        <v>1725</v>
      </c>
      <c r="J16" s="429"/>
      <c r="K16" s="429"/>
      <c r="L16" s="429"/>
      <c r="N16" s="429"/>
    </row>
    <row r="17" spans="2:14">
      <c r="B17" s="431"/>
      <c r="C17" s="429"/>
      <c r="D17" s="432"/>
      <c r="E17" s="429"/>
      <c r="F17" s="429"/>
      <c r="G17" s="433"/>
      <c r="H17" s="429"/>
      <c r="I17" s="429"/>
      <c r="J17" s="429"/>
      <c r="K17" s="429"/>
      <c r="L17" s="429"/>
      <c r="M17" s="429"/>
      <c r="N17" s="429"/>
    </row>
    <row r="18" spans="2:14">
      <c r="B18" s="431"/>
      <c r="C18" s="429"/>
      <c r="D18" s="432"/>
      <c r="E18" s="429"/>
      <c r="F18" s="429"/>
      <c r="G18" s="433"/>
      <c r="H18" s="429"/>
      <c r="I18" s="429"/>
      <c r="J18" s="429"/>
      <c r="K18" s="429"/>
      <c r="L18" s="429"/>
      <c r="M18" s="429"/>
      <c r="N18" s="429"/>
    </row>
    <row r="19" spans="2:14">
      <c r="B19" s="431"/>
      <c r="C19" s="429"/>
      <c r="D19" s="432"/>
      <c r="E19" s="428" t="s">
        <v>1726</v>
      </c>
      <c r="F19" s="429"/>
      <c r="G19" s="435"/>
      <c r="H19" s="429"/>
      <c r="I19" s="429"/>
      <c r="J19" s="429"/>
      <c r="K19" s="429"/>
      <c r="L19" s="429"/>
      <c r="M19" s="429"/>
      <c r="N19" s="429"/>
    </row>
    <row r="20" spans="2:14">
      <c r="B20" s="431"/>
      <c r="C20" s="429"/>
      <c r="D20" s="432"/>
      <c r="E20" s="428" t="s">
        <v>1727</v>
      </c>
      <c r="F20" s="429"/>
      <c r="G20" s="435"/>
      <c r="H20" s="429"/>
      <c r="I20" s="429"/>
      <c r="J20" s="429"/>
      <c r="K20" s="429"/>
      <c r="L20" s="429"/>
      <c r="M20" s="429"/>
      <c r="N20" s="429"/>
    </row>
    <row r="21" spans="2:14">
      <c r="B21" s="429"/>
      <c r="C21" s="429"/>
      <c r="D21" s="429"/>
      <c r="E21" s="429"/>
      <c r="F21" s="429"/>
      <c r="G21" s="429"/>
      <c r="H21" s="429"/>
      <c r="I21" s="429"/>
      <c r="J21" s="429"/>
      <c r="K21" s="429"/>
      <c r="L21" s="429"/>
      <c r="M21" s="429"/>
      <c r="N21" s="429"/>
    </row>
  </sheetData>
  <mergeCells count="2">
    <mergeCell ref="D2:I2"/>
    <mergeCell ref="K15:L15"/>
  </mergeCells>
  <printOptions horizontalCentered="1"/>
  <pageMargins left="0.39370078740157483" right="0.39370078740157483" top="0.35433070866141736" bottom="0.15748031496062992" header="0.11811023622047245" footer="0.19685039370078741"/>
  <pageSetup paperSize="9" scale="84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843"/>
  <sheetViews>
    <sheetView view="pageBreakPreview" topLeftCell="A2694" zoomScale="85" zoomScaleSheetLayoutView="85" workbookViewId="0">
      <selection activeCell="N2714" sqref="N2714"/>
    </sheetView>
  </sheetViews>
  <sheetFormatPr baseColWidth="10" defaultColWidth="11.42578125" defaultRowHeight="15.75"/>
  <cols>
    <col min="1" max="1" width="40.28515625" style="252" customWidth="1"/>
    <col min="2" max="2" width="6.85546875" style="252" customWidth="1"/>
    <col min="3" max="3" width="6.7109375" style="252" customWidth="1"/>
    <col min="4" max="4" width="7.7109375" style="252" customWidth="1"/>
    <col min="5" max="6" width="7.7109375" style="260" customWidth="1"/>
    <col min="7" max="7" width="11.28515625" style="252" customWidth="1"/>
    <col min="8" max="8" width="9.42578125" style="324" customWidth="1"/>
    <col min="9" max="9" width="9.85546875" style="324" customWidth="1"/>
    <col min="10" max="10" width="8.42578125" style="324" customWidth="1"/>
    <col min="11" max="11" width="8.28515625" style="324" customWidth="1"/>
    <col min="12" max="12" width="9.85546875" style="324" customWidth="1"/>
    <col min="13" max="13" width="8.42578125" style="324" customWidth="1"/>
    <col min="14" max="14" width="7.7109375" style="324" customWidth="1"/>
  </cols>
  <sheetData>
    <row r="1" spans="1:14" ht="15">
      <c r="A1" s="631" t="s">
        <v>1489</v>
      </c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</row>
    <row r="2" spans="1:14" ht="15">
      <c r="A2" s="631"/>
      <c r="B2" s="631"/>
      <c r="C2" s="631"/>
      <c r="D2" s="631"/>
      <c r="E2" s="631"/>
      <c r="F2" s="631"/>
      <c r="G2" s="631"/>
      <c r="H2" s="631"/>
      <c r="I2" s="631"/>
      <c r="J2" s="631"/>
      <c r="K2" s="631"/>
      <c r="L2" s="631"/>
      <c r="M2" s="631"/>
      <c r="N2" s="631"/>
    </row>
    <row r="3" spans="1:14" ht="9" customHeight="1">
      <c r="A3" s="631"/>
      <c r="B3" s="631"/>
      <c r="C3" s="631"/>
      <c r="D3" s="631"/>
      <c r="E3" s="631"/>
      <c r="F3" s="631"/>
      <c r="G3" s="631"/>
      <c r="H3" s="631"/>
      <c r="I3" s="631"/>
      <c r="J3" s="631"/>
      <c r="K3" s="631"/>
      <c r="L3" s="631"/>
      <c r="M3" s="631"/>
      <c r="N3" s="631"/>
    </row>
    <row r="4" spans="1:14" ht="4.5" customHeight="1">
      <c r="A4" s="632"/>
      <c r="B4" s="632"/>
      <c r="C4" s="632"/>
      <c r="D4" s="632"/>
      <c r="E4" s="632"/>
      <c r="F4" s="632"/>
      <c r="G4" s="632"/>
      <c r="H4" s="632"/>
      <c r="I4" s="632"/>
      <c r="J4" s="632"/>
      <c r="K4" s="632"/>
      <c r="L4" s="632"/>
      <c r="M4" s="632"/>
      <c r="N4" s="632"/>
    </row>
    <row r="5" spans="1:14" ht="24" customHeight="1">
      <c r="A5" s="633" t="s">
        <v>73</v>
      </c>
      <c r="B5" s="633"/>
      <c r="C5" s="633"/>
      <c r="D5" s="633"/>
      <c r="E5" s="633"/>
      <c r="F5" s="633"/>
      <c r="G5" s="633"/>
      <c r="H5" s="633"/>
      <c r="I5" s="633"/>
      <c r="J5" s="633"/>
      <c r="K5" s="633"/>
      <c r="L5" s="633"/>
      <c r="M5" s="633"/>
      <c r="N5" s="633"/>
    </row>
    <row r="6" spans="1:14" ht="24.75" customHeight="1" thickBot="1">
      <c r="A6" s="634" t="s">
        <v>1490</v>
      </c>
      <c r="B6" s="635"/>
      <c r="C6" s="635"/>
      <c r="D6" s="635"/>
      <c r="E6" s="635"/>
      <c r="F6" s="635"/>
      <c r="G6" s="635"/>
      <c r="H6" s="635"/>
      <c r="I6" s="635"/>
      <c r="J6" s="635"/>
      <c r="K6" s="635"/>
      <c r="L6" s="635"/>
      <c r="M6" s="635"/>
      <c r="N6" s="635"/>
    </row>
    <row r="7" spans="1:14" ht="16.5" thickBot="1">
      <c r="A7" s="626" t="s">
        <v>1372</v>
      </c>
      <c r="B7" s="626" t="s">
        <v>1359</v>
      </c>
      <c r="C7" s="626" t="s">
        <v>1360</v>
      </c>
      <c r="D7" s="626" t="s">
        <v>1361</v>
      </c>
      <c r="E7" s="637" t="s">
        <v>1362</v>
      </c>
      <c r="F7" s="638"/>
      <c r="G7" s="626" t="s">
        <v>1363</v>
      </c>
      <c r="H7" s="628" t="s">
        <v>1360</v>
      </c>
      <c r="I7" s="629"/>
      <c r="J7" s="629"/>
      <c r="K7" s="629"/>
      <c r="L7" s="629"/>
      <c r="M7" s="629"/>
      <c r="N7" s="630"/>
    </row>
    <row r="8" spans="1:14" ht="16.5" thickBot="1">
      <c r="A8" s="636"/>
      <c r="B8" s="627"/>
      <c r="C8" s="627"/>
      <c r="D8" s="627"/>
      <c r="E8" s="257" t="s">
        <v>1364</v>
      </c>
      <c r="F8" s="258" t="s">
        <v>1365</v>
      </c>
      <c r="G8" s="627"/>
      <c r="H8" s="307">
        <v>6</v>
      </c>
      <c r="I8" s="307">
        <v>8</v>
      </c>
      <c r="J8" s="307">
        <v>10</v>
      </c>
      <c r="K8" s="307">
        <v>12</v>
      </c>
      <c r="L8" s="307">
        <v>14</v>
      </c>
      <c r="M8" s="307">
        <v>16</v>
      </c>
      <c r="N8" s="307">
        <v>20</v>
      </c>
    </row>
    <row r="9" spans="1:14" s="85" customFormat="1" ht="18" customHeight="1" thickBot="1">
      <c r="A9" s="639" t="s">
        <v>1373</v>
      </c>
      <c r="B9" s="640"/>
      <c r="C9" s="640"/>
      <c r="D9" s="640"/>
      <c r="E9" s="640"/>
      <c r="F9" s="640"/>
      <c r="G9" s="640"/>
      <c r="H9" s="640"/>
      <c r="I9" s="640"/>
      <c r="J9" s="640"/>
      <c r="K9" s="640"/>
      <c r="L9" s="640"/>
      <c r="M9" s="640"/>
      <c r="N9" s="641"/>
    </row>
    <row r="10" spans="1:14">
      <c r="A10" s="253"/>
      <c r="B10" s="254"/>
      <c r="C10" s="254"/>
      <c r="D10" s="254"/>
      <c r="E10" s="259"/>
      <c r="F10" s="259"/>
      <c r="G10" s="255"/>
      <c r="H10" s="308" t="str">
        <f t="shared" ref="H10" si="0">IF(C10="T6",G10*F10,"")</f>
        <v/>
      </c>
      <c r="I10" s="309" t="str">
        <f t="shared" ref="I10" si="1">IF(C10="T8",F10*G10,"")</f>
        <v/>
      </c>
      <c r="J10" s="309" t="str">
        <f t="shared" ref="J10" si="2">IF(C10="T10",F10*G10,"")</f>
        <v/>
      </c>
      <c r="K10" s="309" t="str">
        <f t="shared" ref="K10" si="3">IF(C10="T12",F10*G10,"")</f>
        <v/>
      </c>
      <c r="L10" s="308" t="str">
        <f t="shared" ref="L10" si="4">IF(C10="T14",F10*G10,"")</f>
        <v/>
      </c>
      <c r="M10" s="308" t="str">
        <f t="shared" ref="M10" si="5">IF(C10="T16",G10*F10,"")</f>
        <v/>
      </c>
      <c r="N10" s="309" t="str">
        <f t="shared" ref="N10" si="6">IF(C10="T20",G10*F10,"")</f>
        <v/>
      </c>
    </row>
    <row r="11" spans="1:14" ht="17.25" customHeight="1">
      <c r="A11" s="256" t="s">
        <v>1514</v>
      </c>
      <c r="B11" s="254"/>
      <c r="C11" s="254"/>
      <c r="D11" s="254"/>
      <c r="E11" s="259"/>
      <c r="F11" s="259"/>
      <c r="G11" s="255"/>
      <c r="H11" s="308" t="str">
        <f t="shared" ref="H11:H2487" si="7">IF(C11="T6",G11*F11,"")</f>
        <v/>
      </c>
      <c r="I11" s="309" t="str">
        <f t="shared" ref="I11:I2487" si="8">IF(C11="T8",F11*G11,"")</f>
        <v/>
      </c>
      <c r="J11" s="309" t="str">
        <f t="shared" ref="J11:J2487" si="9">IF(C11="T10",F11*G11,"")</f>
        <v/>
      </c>
      <c r="K11" s="309" t="str">
        <f t="shared" ref="K11:K2487" si="10">IF(C11="T12",F11*G11,"")</f>
        <v/>
      </c>
      <c r="L11" s="308" t="str">
        <f t="shared" ref="L11:L2487" si="11">IF(C11="T14",F11*G11,"")</f>
        <v/>
      </c>
      <c r="M11" s="308" t="str">
        <f t="shared" ref="M11:M2487" si="12">IF(C11="T16",G11*F11,"")</f>
        <v/>
      </c>
      <c r="N11" s="309" t="str">
        <f t="shared" ref="N11:N2487" si="13">IF(C11="T20",G11*F11,"")</f>
        <v/>
      </c>
    </row>
    <row r="12" spans="1:14">
      <c r="A12" s="253"/>
      <c r="B12" s="254"/>
      <c r="C12" s="254"/>
      <c r="D12" s="254"/>
      <c r="E12" s="259"/>
      <c r="F12" s="259"/>
      <c r="G12" s="255"/>
      <c r="H12" s="308" t="str">
        <f t="shared" si="7"/>
        <v/>
      </c>
      <c r="I12" s="309" t="str">
        <f t="shared" si="8"/>
        <v/>
      </c>
      <c r="J12" s="309" t="str">
        <f t="shared" si="9"/>
        <v/>
      </c>
      <c r="K12" s="309" t="str">
        <f t="shared" si="10"/>
        <v/>
      </c>
      <c r="L12" s="308" t="str">
        <f t="shared" si="11"/>
        <v/>
      </c>
      <c r="M12" s="308" t="str">
        <f t="shared" si="12"/>
        <v/>
      </c>
      <c r="N12" s="309" t="str">
        <f t="shared" si="13"/>
        <v/>
      </c>
    </row>
    <row r="13" spans="1:14" ht="16.5">
      <c r="A13" s="326" t="s">
        <v>1377</v>
      </c>
      <c r="B13" s="254"/>
      <c r="C13" s="254"/>
      <c r="D13" s="254"/>
      <c r="E13" s="259"/>
      <c r="F13" s="259"/>
      <c r="G13" s="255"/>
      <c r="H13" s="308" t="str">
        <f t="shared" si="7"/>
        <v/>
      </c>
      <c r="I13" s="309" t="str">
        <f t="shared" si="8"/>
        <v/>
      </c>
      <c r="J13" s="309" t="str">
        <f t="shared" si="9"/>
        <v/>
      </c>
      <c r="K13" s="309" t="str">
        <f t="shared" si="10"/>
        <v/>
      </c>
      <c r="L13" s="308" t="str">
        <f t="shared" si="11"/>
        <v/>
      </c>
      <c r="M13" s="308" t="str">
        <f t="shared" si="12"/>
        <v/>
      </c>
      <c r="N13" s="309" t="str">
        <f t="shared" si="13"/>
        <v/>
      </c>
    </row>
    <row r="14" spans="1:14" ht="16.5">
      <c r="A14" s="303" t="s">
        <v>1522</v>
      </c>
      <c r="B14" s="254"/>
      <c r="C14" s="254"/>
      <c r="D14" s="254"/>
      <c r="E14" s="259"/>
      <c r="F14" s="259"/>
      <c r="G14" s="255"/>
      <c r="H14" s="308" t="str">
        <f t="shared" si="7"/>
        <v/>
      </c>
      <c r="I14" s="309" t="str">
        <f t="shared" si="8"/>
        <v/>
      </c>
      <c r="J14" s="309" t="str">
        <f t="shared" si="9"/>
        <v/>
      </c>
      <c r="K14" s="309" t="str">
        <f t="shared" si="10"/>
        <v/>
      </c>
      <c r="L14" s="308" t="str">
        <f t="shared" si="11"/>
        <v/>
      </c>
      <c r="M14" s="308" t="str">
        <f t="shared" si="12"/>
        <v/>
      </c>
      <c r="N14" s="309" t="str">
        <f t="shared" si="13"/>
        <v/>
      </c>
    </row>
    <row r="15" spans="1:14" s="294" customFormat="1">
      <c r="A15" s="297" t="s">
        <v>1515</v>
      </c>
      <c r="B15" s="298"/>
      <c r="C15" s="299" t="s">
        <v>1516</v>
      </c>
      <c r="D15" s="299">
        <v>1</v>
      </c>
      <c r="E15" s="300">
        <v>3</v>
      </c>
      <c r="F15" s="300">
        <f>E15*D15</f>
        <v>3</v>
      </c>
      <c r="G15" s="299">
        <f>(7.15)+17*0.012*2</f>
        <v>7.5579999999999998</v>
      </c>
      <c r="H15" s="310" t="str">
        <f t="shared" si="7"/>
        <v/>
      </c>
      <c r="I15" s="311" t="str">
        <f t="shared" si="8"/>
        <v/>
      </c>
      <c r="J15" s="311" t="str">
        <f t="shared" si="9"/>
        <v/>
      </c>
      <c r="K15" s="311">
        <f t="shared" si="10"/>
        <v>22.67</v>
      </c>
      <c r="L15" s="310" t="str">
        <f t="shared" si="11"/>
        <v/>
      </c>
      <c r="M15" s="310" t="str">
        <f t="shared" si="12"/>
        <v/>
      </c>
      <c r="N15" s="311" t="str">
        <f t="shared" si="13"/>
        <v/>
      </c>
    </row>
    <row r="16" spans="1:14" s="294" customFormat="1">
      <c r="A16" s="297" t="s">
        <v>1515</v>
      </c>
      <c r="B16" s="298"/>
      <c r="C16" s="299" t="s">
        <v>1492</v>
      </c>
      <c r="D16" s="299">
        <v>1</v>
      </c>
      <c r="E16" s="300">
        <v>3</v>
      </c>
      <c r="F16" s="300">
        <f>E16*D16</f>
        <v>3</v>
      </c>
      <c r="G16" s="299">
        <f>(7.15)+17*0.014*2</f>
        <v>7.6260000000000003</v>
      </c>
      <c r="H16" s="310" t="str">
        <f t="shared" si="7"/>
        <v/>
      </c>
      <c r="I16" s="311" t="str">
        <f t="shared" si="8"/>
        <v/>
      </c>
      <c r="J16" s="311" t="str">
        <f t="shared" si="9"/>
        <v/>
      </c>
      <c r="K16" s="311" t="str">
        <f t="shared" si="10"/>
        <v/>
      </c>
      <c r="L16" s="310">
        <f t="shared" si="11"/>
        <v>22.88</v>
      </c>
      <c r="M16" s="310" t="str">
        <f t="shared" si="12"/>
        <v/>
      </c>
      <c r="N16" s="311" t="str">
        <f t="shared" si="13"/>
        <v/>
      </c>
    </row>
    <row r="17" spans="1:14" s="294" customFormat="1">
      <c r="A17" s="297"/>
      <c r="B17" s="298"/>
      <c r="C17" s="299" t="s">
        <v>1519</v>
      </c>
      <c r="D17" s="299">
        <v>1</v>
      </c>
      <c r="E17" s="300">
        <v>2</v>
      </c>
      <c r="F17" s="300">
        <f>E17*D17</f>
        <v>2</v>
      </c>
      <c r="G17" s="299">
        <f>(7.15)+17*0.01*2</f>
        <v>7.49</v>
      </c>
      <c r="H17" s="310" t="str">
        <f t="shared" ref="H17" si="14">IF(C17="T6",G17*F17,"")</f>
        <v/>
      </c>
      <c r="I17" s="311" t="str">
        <f t="shared" ref="I17" si="15">IF(C17="T8",F17*G17,"")</f>
        <v/>
      </c>
      <c r="J17" s="311">
        <f t="shared" ref="J17" si="16">IF(C17="T10",F17*G17,"")</f>
        <v>14.98</v>
      </c>
      <c r="K17" s="311" t="str">
        <f t="shared" ref="K17" si="17">IF(C17="T12",F17*G17,"")</f>
        <v/>
      </c>
      <c r="L17" s="310" t="str">
        <f t="shared" ref="L17" si="18">IF(C17="T14",F17*G17,"")</f>
        <v/>
      </c>
      <c r="M17" s="310" t="str">
        <f t="shared" ref="M17" si="19">IF(C17="T16",G17*F17,"")</f>
        <v/>
      </c>
      <c r="N17" s="311" t="str">
        <f t="shared" ref="N17" si="20">IF(C17="T20",G17*F17,"")</f>
        <v/>
      </c>
    </row>
    <row r="18" spans="1:14" s="294" customFormat="1">
      <c r="A18" s="297" t="s">
        <v>1494</v>
      </c>
      <c r="B18" s="301"/>
      <c r="C18" s="299" t="s">
        <v>1496</v>
      </c>
      <c r="D18" s="299">
        <v>1</v>
      </c>
      <c r="E18" s="300">
        <f>21+17+21</f>
        <v>59</v>
      </c>
      <c r="F18" s="300">
        <f t="shared" ref="F18:F19" si="21">E18*D18</f>
        <v>59</v>
      </c>
      <c r="G18" s="302">
        <f>(0.2+0.55)*2+17*0.008*2</f>
        <v>1.77</v>
      </c>
      <c r="H18" s="310" t="str">
        <f t="shared" si="7"/>
        <v/>
      </c>
      <c r="I18" s="311">
        <f t="shared" si="8"/>
        <v>104.43</v>
      </c>
      <c r="J18" s="311" t="str">
        <f t="shared" si="9"/>
        <v/>
      </c>
      <c r="K18" s="311" t="str">
        <f t="shared" si="10"/>
        <v/>
      </c>
      <c r="L18" s="310" t="str">
        <f t="shared" si="11"/>
        <v/>
      </c>
      <c r="M18" s="310" t="str">
        <f t="shared" si="12"/>
        <v/>
      </c>
      <c r="N18" s="311" t="str">
        <f t="shared" si="13"/>
        <v/>
      </c>
    </row>
    <row r="19" spans="1:14" s="294" customFormat="1">
      <c r="A19" s="297" t="s">
        <v>1517</v>
      </c>
      <c r="B19" s="301"/>
      <c r="C19" s="299" t="s">
        <v>1496</v>
      </c>
      <c r="D19" s="299">
        <v>1</v>
      </c>
      <c r="E19" s="300">
        <f>21+17+21</f>
        <v>59</v>
      </c>
      <c r="F19" s="300">
        <f t="shared" si="21"/>
        <v>59</v>
      </c>
      <c r="G19" s="302">
        <f>(0.55*2)+17*0.008*2</f>
        <v>1.37</v>
      </c>
      <c r="H19" s="310" t="str">
        <f t="shared" si="7"/>
        <v/>
      </c>
      <c r="I19" s="311">
        <f t="shared" si="8"/>
        <v>80.83</v>
      </c>
      <c r="J19" s="311" t="str">
        <f t="shared" si="9"/>
        <v/>
      </c>
      <c r="K19" s="311" t="str">
        <f t="shared" si="10"/>
        <v/>
      </c>
      <c r="L19" s="310" t="str">
        <f t="shared" si="11"/>
        <v/>
      </c>
      <c r="M19" s="310" t="str">
        <f t="shared" si="12"/>
        <v/>
      </c>
      <c r="N19" s="311" t="str">
        <f t="shared" si="13"/>
        <v/>
      </c>
    </row>
    <row r="20" spans="1:14" s="294" customFormat="1">
      <c r="A20" s="297" t="s">
        <v>1518</v>
      </c>
      <c r="B20" s="301"/>
      <c r="C20" s="299" t="s">
        <v>1492</v>
      </c>
      <c r="D20" s="299">
        <v>1</v>
      </c>
      <c r="E20" s="300">
        <v>3</v>
      </c>
      <c r="F20" s="300">
        <f>E20*D20</f>
        <v>3</v>
      </c>
      <c r="G20" s="299">
        <v>3.1</v>
      </c>
      <c r="H20" s="310" t="str">
        <f t="shared" si="7"/>
        <v/>
      </c>
      <c r="I20" s="311" t="str">
        <f t="shared" si="8"/>
        <v/>
      </c>
      <c r="J20" s="311" t="str">
        <f t="shared" si="9"/>
        <v/>
      </c>
      <c r="K20" s="311" t="str">
        <f t="shared" si="10"/>
        <v/>
      </c>
      <c r="L20" s="310">
        <f t="shared" si="11"/>
        <v>9.3000000000000007</v>
      </c>
      <c r="M20" s="310" t="str">
        <f t="shared" si="12"/>
        <v/>
      </c>
      <c r="N20" s="311" t="str">
        <f t="shared" si="13"/>
        <v/>
      </c>
    </row>
    <row r="21" spans="1:14">
      <c r="A21" s="297" t="s">
        <v>1520</v>
      </c>
      <c r="B21" s="254"/>
      <c r="C21" s="299" t="s">
        <v>1492</v>
      </c>
      <c r="D21" s="299">
        <v>1</v>
      </c>
      <c r="E21" s="300">
        <v>6</v>
      </c>
      <c r="F21" s="300">
        <f>E21*D21</f>
        <v>6</v>
      </c>
      <c r="G21" s="299">
        <v>3.1</v>
      </c>
      <c r="H21" s="310" t="str">
        <f t="shared" si="7"/>
        <v/>
      </c>
      <c r="I21" s="311" t="str">
        <f t="shared" si="8"/>
        <v/>
      </c>
      <c r="J21" s="311" t="str">
        <f t="shared" si="9"/>
        <v/>
      </c>
      <c r="K21" s="311" t="str">
        <f t="shared" si="10"/>
        <v/>
      </c>
      <c r="L21" s="310">
        <f t="shared" si="11"/>
        <v>18.600000000000001</v>
      </c>
      <c r="M21" s="310" t="str">
        <f t="shared" si="12"/>
        <v/>
      </c>
      <c r="N21" s="311" t="str">
        <f t="shared" si="13"/>
        <v/>
      </c>
    </row>
    <row r="22" spans="1:14">
      <c r="A22" s="304"/>
      <c r="B22" s="254"/>
      <c r="C22" s="299" t="s">
        <v>1516</v>
      </c>
      <c r="D22" s="299">
        <v>1</v>
      </c>
      <c r="E22" s="300">
        <v>3</v>
      </c>
      <c r="F22" s="300">
        <f>E22*D22</f>
        <v>3</v>
      </c>
      <c r="G22" s="299">
        <v>6.8</v>
      </c>
      <c r="H22" s="310" t="str">
        <f t="shared" ref="H22" si="22">IF(C22="T6",G22*F22,"")</f>
        <v/>
      </c>
      <c r="I22" s="311" t="str">
        <f t="shared" ref="I22" si="23">IF(C22="T8",F22*G22,"")</f>
        <v/>
      </c>
      <c r="J22" s="311" t="str">
        <f t="shared" ref="J22" si="24">IF(C22="T10",F22*G22,"")</f>
        <v/>
      </c>
      <c r="K22" s="311">
        <f t="shared" ref="K22" si="25">IF(C22="T12",F22*G22,"")</f>
        <v>20.399999999999999</v>
      </c>
      <c r="L22" s="310" t="str">
        <f t="shared" ref="L22" si="26">IF(C22="T14",F22*G22,"")</f>
        <v/>
      </c>
      <c r="M22" s="310"/>
      <c r="N22" s="311"/>
    </row>
    <row r="23" spans="1:14">
      <c r="A23" s="253"/>
      <c r="B23" s="254"/>
      <c r="C23" s="254"/>
      <c r="D23" s="254"/>
      <c r="E23" s="259"/>
      <c r="F23" s="259"/>
      <c r="G23" s="255"/>
      <c r="H23" s="308" t="str">
        <f t="shared" si="7"/>
        <v/>
      </c>
      <c r="I23" s="309" t="str">
        <f t="shared" si="8"/>
        <v/>
      </c>
      <c r="J23" s="309" t="str">
        <f t="shared" si="9"/>
        <v/>
      </c>
      <c r="K23" s="309" t="str">
        <f t="shared" si="10"/>
        <v/>
      </c>
      <c r="L23" s="308" t="str">
        <f t="shared" si="11"/>
        <v/>
      </c>
      <c r="M23" s="308" t="str">
        <f t="shared" si="12"/>
        <v/>
      </c>
      <c r="N23" s="309" t="str">
        <f t="shared" si="13"/>
        <v/>
      </c>
    </row>
    <row r="24" spans="1:14" ht="16.5">
      <c r="A24" s="303" t="s">
        <v>1547</v>
      </c>
      <c r="B24" s="254"/>
      <c r="C24" s="254"/>
      <c r="D24" s="254"/>
      <c r="E24" s="259"/>
      <c r="F24" s="259"/>
      <c r="G24" s="255"/>
      <c r="H24" s="308"/>
      <c r="I24" s="309"/>
      <c r="J24" s="309"/>
      <c r="K24" s="309"/>
      <c r="L24" s="308"/>
      <c r="M24" s="308"/>
      <c r="N24" s="309"/>
    </row>
    <row r="25" spans="1:14" s="294" customFormat="1">
      <c r="A25" s="297" t="s">
        <v>1515</v>
      </c>
      <c r="B25" s="298"/>
      <c r="C25" s="299" t="s">
        <v>1519</v>
      </c>
      <c r="D25" s="299">
        <v>1</v>
      </c>
      <c r="E25" s="300">
        <v>3</v>
      </c>
      <c r="F25" s="300">
        <f>E25*D25</f>
        <v>3</v>
      </c>
      <c r="G25" s="299">
        <f>(2.79)+17*0.012*2</f>
        <v>3.198</v>
      </c>
      <c r="H25" s="310" t="str">
        <f t="shared" ref="H25:H29" si="27">IF(C25="T6",G25*F25,"")</f>
        <v/>
      </c>
      <c r="I25" s="311" t="str">
        <f t="shared" ref="I25:I29" si="28">IF(C25="T8",F25*G25,"")</f>
        <v/>
      </c>
      <c r="J25" s="311">
        <f t="shared" ref="J25:J29" si="29">IF(C25="T10",F25*G25,"")</f>
        <v>9.59</v>
      </c>
      <c r="K25" s="311" t="str">
        <f t="shared" ref="K25:K29" si="30">IF(C25="T12",F25*G25,"")</f>
        <v/>
      </c>
      <c r="L25" s="310" t="str">
        <f t="shared" ref="L25:L29" si="31">IF(C25="T14",F25*G25,"")</f>
        <v/>
      </c>
      <c r="M25" s="310" t="str">
        <f t="shared" ref="M25:M29" si="32">IF(C25="T16",G25*F25,"")</f>
        <v/>
      </c>
      <c r="N25" s="311" t="str">
        <f t="shared" ref="N25:N29" si="33">IF(C25="T20",G25*F25,"")</f>
        <v/>
      </c>
    </row>
    <row r="26" spans="1:14" s="294" customFormat="1">
      <c r="A26" s="297" t="s">
        <v>1515</v>
      </c>
      <c r="B26" s="298"/>
      <c r="C26" s="299" t="s">
        <v>1516</v>
      </c>
      <c r="D26" s="299">
        <v>1</v>
      </c>
      <c r="E26" s="300">
        <v>3</v>
      </c>
      <c r="F26" s="300">
        <f>E26*D26</f>
        <v>3</v>
      </c>
      <c r="G26" s="299">
        <f>(2.79)+17*0.014*2</f>
        <v>3.266</v>
      </c>
      <c r="H26" s="310" t="str">
        <f t="shared" si="27"/>
        <v/>
      </c>
      <c r="I26" s="311" t="str">
        <f t="shared" si="28"/>
        <v/>
      </c>
      <c r="J26" s="311" t="str">
        <f t="shared" si="29"/>
        <v/>
      </c>
      <c r="K26" s="311">
        <f t="shared" si="30"/>
        <v>9.8000000000000007</v>
      </c>
      <c r="L26" s="310" t="str">
        <f t="shared" si="31"/>
        <v/>
      </c>
      <c r="M26" s="310" t="str">
        <f t="shared" si="32"/>
        <v/>
      </c>
      <c r="N26" s="311" t="str">
        <f t="shared" si="33"/>
        <v/>
      </c>
    </row>
    <row r="27" spans="1:14" s="294" customFormat="1">
      <c r="A27" s="297" t="s">
        <v>1494</v>
      </c>
      <c r="B27" s="301"/>
      <c r="C27" s="299" t="s">
        <v>1496</v>
      </c>
      <c r="D27" s="299">
        <v>1</v>
      </c>
      <c r="E27" s="300">
        <f>9+11+9</f>
        <v>29</v>
      </c>
      <c r="F27" s="300">
        <f t="shared" ref="F27:F28" si="34">E27*D27</f>
        <v>29</v>
      </c>
      <c r="G27" s="302">
        <f>(0.2+0.25)*2+17*0.008*2</f>
        <v>1.17</v>
      </c>
      <c r="H27" s="310" t="str">
        <f t="shared" si="27"/>
        <v/>
      </c>
      <c r="I27" s="311">
        <f t="shared" si="28"/>
        <v>33.93</v>
      </c>
      <c r="J27" s="311" t="str">
        <f t="shared" si="29"/>
        <v/>
      </c>
      <c r="K27" s="311" t="str">
        <f t="shared" si="30"/>
        <v/>
      </c>
      <c r="L27" s="310" t="str">
        <f t="shared" si="31"/>
        <v/>
      </c>
      <c r="M27" s="310" t="str">
        <f t="shared" si="32"/>
        <v/>
      </c>
      <c r="N27" s="311" t="str">
        <f t="shared" si="33"/>
        <v/>
      </c>
    </row>
    <row r="28" spans="1:14" s="294" customFormat="1">
      <c r="A28" s="297" t="s">
        <v>1517</v>
      </c>
      <c r="B28" s="301"/>
      <c r="C28" s="299" t="s">
        <v>1496</v>
      </c>
      <c r="D28" s="299">
        <v>1</v>
      </c>
      <c r="E28" s="300">
        <f>9+11+9</f>
        <v>29</v>
      </c>
      <c r="F28" s="300">
        <f t="shared" si="34"/>
        <v>29</v>
      </c>
      <c r="G28" s="302">
        <f>(0.25*2)+17*0.008*2</f>
        <v>0.77</v>
      </c>
      <c r="H28" s="310" t="str">
        <f t="shared" si="27"/>
        <v/>
      </c>
      <c r="I28" s="311">
        <f t="shared" si="28"/>
        <v>22.33</v>
      </c>
      <c r="J28" s="311" t="str">
        <f t="shared" si="29"/>
        <v/>
      </c>
      <c r="K28" s="311" t="str">
        <f t="shared" si="30"/>
        <v/>
      </c>
      <c r="L28" s="310" t="str">
        <f t="shared" si="31"/>
        <v/>
      </c>
      <c r="M28" s="310" t="str">
        <f t="shared" si="32"/>
        <v/>
      </c>
      <c r="N28" s="311" t="str">
        <f t="shared" si="33"/>
        <v/>
      </c>
    </row>
    <row r="29" spans="1:14" s="294" customFormat="1">
      <c r="A29" s="297" t="s">
        <v>1518</v>
      </c>
      <c r="B29" s="301"/>
      <c r="C29" s="299" t="s">
        <v>1516</v>
      </c>
      <c r="D29" s="299">
        <v>1</v>
      </c>
      <c r="E29" s="300">
        <v>3</v>
      </c>
      <c r="F29" s="300">
        <f>E29*D29</f>
        <v>3</v>
      </c>
      <c r="G29" s="299">
        <v>1.2</v>
      </c>
      <c r="H29" s="310" t="str">
        <f t="shared" si="27"/>
        <v/>
      </c>
      <c r="I29" s="311" t="str">
        <f t="shared" si="28"/>
        <v/>
      </c>
      <c r="J29" s="311" t="str">
        <f t="shared" si="29"/>
        <v/>
      </c>
      <c r="K29" s="311">
        <f t="shared" si="30"/>
        <v>3.6</v>
      </c>
      <c r="L29" s="310" t="str">
        <f t="shared" si="31"/>
        <v/>
      </c>
      <c r="M29" s="310" t="str">
        <f t="shared" si="32"/>
        <v/>
      </c>
      <c r="N29" s="311" t="str">
        <f t="shared" si="33"/>
        <v/>
      </c>
    </row>
    <row r="30" spans="1:14">
      <c r="A30" s="253"/>
      <c r="B30" s="254"/>
      <c r="C30" s="254"/>
      <c r="D30" s="254"/>
      <c r="E30" s="259"/>
      <c r="F30" s="259"/>
      <c r="G30" s="255"/>
      <c r="H30" s="308"/>
      <c r="I30" s="309"/>
      <c r="J30" s="309"/>
      <c r="K30" s="309"/>
      <c r="L30" s="308"/>
      <c r="M30" s="308"/>
      <c r="N30" s="309"/>
    </row>
    <row r="31" spans="1:14" ht="16.5">
      <c r="A31" s="303" t="s">
        <v>1523</v>
      </c>
      <c r="B31" s="254"/>
      <c r="C31" s="254"/>
      <c r="D31" s="254"/>
      <c r="E31" s="259"/>
      <c r="F31" s="259"/>
      <c r="G31" s="255"/>
      <c r="H31" s="308"/>
      <c r="I31" s="309"/>
      <c r="J31" s="309"/>
      <c r="K31" s="309"/>
      <c r="L31" s="308"/>
      <c r="M31" s="308"/>
      <c r="N31" s="309"/>
    </row>
    <row r="32" spans="1:14" s="294" customFormat="1">
      <c r="A32" s="297" t="s">
        <v>1515</v>
      </c>
      <c r="B32" s="298"/>
      <c r="C32" s="299" t="s">
        <v>1516</v>
      </c>
      <c r="D32" s="299">
        <v>1</v>
      </c>
      <c r="E32" s="300">
        <v>3</v>
      </c>
      <c r="F32" s="300">
        <f>E32*D32</f>
        <v>3</v>
      </c>
      <c r="G32" s="299">
        <f>(7.15)+17*0.012*2</f>
        <v>7.5579999999999998</v>
      </c>
      <c r="H32" s="310" t="str">
        <f t="shared" ref="H32:H39" si="35">IF(C32="T6",G32*F32,"")</f>
        <v/>
      </c>
      <c r="I32" s="311" t="str">
        <f t="shared" ref="I32:I39" si="36">IF(C32="T8",F32*G32,"")</f>
        <v/>
      </c>
      <c r="J32" s="311" t="str">
        <f t="shared" ref="J32:J39" si="37">IF(C32="T10",F32*G32,"")</f>
        <v/>
      </c>
      <c r="K32" s="311">
        <f t="shared" ref="K32:K39" si="38">IF(C32="T12",F32*G32,"")</f>
        <v>22.67</v>
      </c>
      <c r="L32" s="310" t="str">
        <f t="shared" ref="L32:L39" si="39">IF(C32="T14",F32*G32,"")</f>
        <v/>
      </c>
      <c r="M32" s="310" t="str">
        <f t="shared" ref="M32:M38" si="40">IF(C32="T16",G32*F32,"")</f>
        <v/>
      </c>
      <c r="N32" s="311" t="str">
        <f t="shared" ref="N32:N38" si="41">IF(C32="T20",G32*F32,"")</f>
        <v/>
      </c>
    </row>
    <row r="33" spans="1:14" s="294" customFormat="1">
      <c r="A33" s="297" t="s">
        <v>1515</v>
      </c>
      <c r="B33" s="298"/>
      <c r="C33" s="299" t="s">
        <v>1492</v>
      </c>
      <c r="D33" s="299">
        <v>1</v>
      </c>
      <c r="E33" s="300">
        <v>3</v>
      </c>
      <c r="F33" s="300">
        <f>E33*D33</f>
        <v>3</v>
      </c>
      <c r="G33" s="299">
        <f>(7.15)+17*0.014*2</f>
        <v>7.6260000000000003</v>
      </c>
      <c r="H33" s="310" t="str">
        <f t="shared" si="35"/>
        <v/>
      </c>
      <c r="I33" s="311" t="str">
        <f t="shared" si="36"/>
        <v/>
      </c>
      <c r="J33" s="311" t="str">
        <f t="shared" si="37"/>
        <v/>
      </c>
      <c r="K33" s="311" t="str">
        <f t="shared" si="38"/>
        <v/>
      </c>
      <c r="L33" s="310">
        <f t="shared" si="39"/>
        <v>22.88</v>
      </c>
      <c r="M33" s="310" t="str">
        <f t="shared" si="40"/>
        <v/>
      </c>
      <c r="N33" s="311" t="str">
        <f t="shared" si="41"/>
        <v/>
      </c>
    </row>
    <row r="34" spans="1:14" s="294" customFormat="1">
      <c r="A34" s="297"/>
      <c r="B34" s="298"/>
      <c r="C34" s="299" t="s">
        <v>1519</v>
      </c>
      <c r="D34" s="299">
        <v>1</v>
      </c>
      <c r="E34" s="300">
        <v>2</v>
      </c>
      <c r="F34" s="300">
        <f>E34*D34</f>
        <v>2</v>
      </c>
      <c r="G34" s="299">
        <f>(7.15)+17*0.01*2</f>
        <v>7.49</v>
      </c>
      <c r="H34" s="310" t="str">
        <f t="shared" si="35"/>
        <v/>
      </c>
      <c r="I34" s="311" t="str">
        <f t="shared" si="36"/>
        <v/>
      </c>
      <c r="J34" s="311">
        <f t="shared" si="37"/>
        <v>14.98</v>
      </c>
      <c r="K34" s="311" t="str">
        <f t="shared" si="38"/>
        <v/>
      </c>
      <c r="L34" s="310" t="str">
        <f t="shared" si="39"/>
        <v/>
      </c>
      <c r="M34" s="310" t="str">
        <f t="shared" si="40"/>
        <v/>
      </c>
      <c r="N34" s="311" t="str">
        <f t="shared" si="41"/>
        <v/>
      </c>
    </row>
    <row r="35" spans="1:14" s="294" customFormat="1">
      <c r="A35" s="297" t="s">
        <v>1494</v>
      </c>
      <c r="B35" s="301"/>
      <c r="C35" s="299" t="s">
        <v>1496</v>
      </c>
      <c r="D35" s="299">
        <v>1</v>
      </c>
      <c r="E35" s="300">
        <f>21+17+21</f>
        <v>59</v>
      </c>
      <c r="F35" s="300">
        <f t="shared" ref="F35:F36" si="42">E35*D35</f>
        <v>59</v>
      </c>
      <c r="G35" s="302">
        <f>(0.2+0.55)*2+17*0.008*2</f>
        <v>1.77</v>
      </c>
      <c r="H35" s="310" t="str">
        <f t="shared" si="35"/>
        <v/>
      </c>
      <c r="I35" s="311">
        <f t="shared" si="36"/>
        <v>104.43</v>
      </c>
      <c r="J35" s="311" t="str">
        <f t="shared" si="37"/>
        <v/>
      </c>
      <c r="K35" s="311" t="str">
        <f t="shared" si="38"/>
        <v/>
      </c>
      <c r="L35" s="310" t="str">
        <f t="shared" si="39"/>
        <v/>
      </c>
      <c r="M35" s="310" t="str">
        <f t="shared" si="40"/>
        <v/>
      </c>
      <c r="N35" s="311" t="str">
        <f t="shared" si="41"/>
        <v/>
      </c>
    </row>
    <row r="36" spans="1:14" s="294" customFormat="1">
      <c r="A36" s="297" t="s">
        <v>1517</v>
      </c>
      <c r="B36" s="301"/>
      <c r="C36" s="299" t="s">
        <v>1496</v>
      </c>
      <c r="D36" s="299">
        <v>1</v>
      </c>
      <c r="E36" s="300">
        <f>21+17+21</f>
        <v>59</v>
      </c>
      <c r="F36" s="300">
        <f t="shared" si="42"/>
        <v>59</v>
      </c>
      <c r="G36" s="302">
        <f>(0.55*2)+17*0.008*2</f>
        <v>1.37</v>
      </c>
      <c r="H36" s="310" t="str">
        <f t="shared" si="35"/>
        <v/>
      </c>
      <c r="I36" s="311">
        <f t="shared" si="36"/>
        <v>80.83</v>
      </c>
      <c r="J36" s="311" t="str">
        <f t="shared" si="37"/>
        <v/>
      </c>
      <c r="K36" s="311" t="str">
        <f t="shared" si="38"/>
        <v/>
      </c>
      <c r="L36" s="310" t="str">
        <f t="shared" si="39"/>
        <v/>
      </c>
      <c r="M36" s="310" t="str">
        <f t="shared" si="40"/>
        <v/>
      </c>
      <c r="N36" s="311" t="str">
        <f t="shared" si="41"/>
        <v/>
      </c>
    </row>
    <row r="37" spans="1:14" s="294" customFormat="1">
      <c r="A37" s="297" t="s">
        <v>1518</v>
      </c>
      <c r="B37" s="301"/>
      <c r="C37" s="299" t="s">
        <v>1492</v>
      </c>
      <c r="D37" s="299">
        <v>1</v>
      </c>
      <c r="E37" s="300">
        <v>3</v>
      </c>
      <c r="F37" s="300">
        <f>E37*D37</f>
        <v>3</v>
      </c>
      <c r="G37" s="299">
        <v>3.1</v>
      </c>
      <c r="H37" s="310" t="str">
        <f t="shared" si="35"/>
        <v/>
      </c>
      <c r="I37" s="311" t="str">
        <f t="shared" si="36"/>
        <v/>
      </c>
      <c r="J37" s="311" t="str">
        <f t="shared" si="37"/>
        <v/>
      </c>
      <c r="K37" s="311" t="str">
        <f t="shared" si="38"/>
        <v/>
      </c>
      <c r="L37" s="310">
        <f t="shared" si="39"/>
        <v>9.3000000000000007</v>
      </c>
      <c r="M37" s="310" t="str">
        <f t="shared" si="40"/>
        <v/>
      </c>
      <c r="N37" s="311" t="str">
        <f t="shared" si="41"/>
        <v/>
      </c>
    </row>
    <row r="38" spans="1:14">
      <c r="A38" s="297" t="s">
        <v>1520</v>
      </c>
      <c r="B38" s="254"/>
      <c r="C38" s="299" t="s">
        <v>1492</v>
      </c>
      <c r="D38" s="299">
        <v>1</v>
      </c>
      <c r="E38" s="300">
        <v>6</v>
      </c>
      <c r="F38" s="300">
        <f>E38*D38</f>
        <v>6</v>
      </c>
      <c r="G38" s="299">
        <v>3.1</v>
      </c>
      <c r="H38" s="310" t="str">
        <f t="shared" si="35"/>
        <v/>
      </c>
      <c r="I38" s="311" t="str">
        <f t="shared" si="36"/>
        <v/>
      </c>
      <c r="J38" s="311" t="str">
        <f t="shared" si="37"/>
        <v/>
      </c>
      <c r="K38" s="311" t="str">
        <f t="shared" si="38"/>
        <v/>
      </c>
      <c r="L38" s="310">
        <f t="shared" si="39"/>
        <v>18.600000000000001</v>
      </c>
      <c r="M38" s="310" t="str">
        <f t="shared" si="40"/>
        <v/>
      </c>
      <c r="N38" s="311" t="str">
        <f t="shared" si="41"/>
        <v/>
      </c>
    </row>
    <row r="39" spans="1:14">
      <c r="A39" s="304"/>
      <c r="B39" s="254"/>
      <c r="C39" s="299" t="s">
        <v>1516</v>
      </c>
      <c r="D39" s="299">
        <v>1</v>
      </c>
      <c r="E39" s="300">
        <v>3</v>
      </c>
      <c r="F39" s="300">
        <f>E39*D39</f>
        <v>3</v>
      </c>
      <c r="G39" s="299">
        <v>6.8</v>
      </c>
      <c r="H39" s="310" t="str">
        <f t="shared" si="35"/>
        <v/>
      </c>
      <c r="I39" s="311" t="str">
        <f t="shared" si="36"/>
        <v/>
      </c>
      <c r="J39" s="311" t="str">
        <f t="shared" si="37"/>
        <v/>
      </c>
      <c r="K39" s="311">
        <f t="shared" si="38"/>
        <v>20.399999999999999</v>
      </c>
      <c r="L39" s="310" t="str">
        <f t="shared" si="39"/>
        <v/>
      </c>
      <c r="M39" s="310"/>
      <c r="N39" s="311"/>
    </row>
    <row r="40" spans="1:14">
      <c r="A40" s="253"/>
      <c r="B40" s="254"/>
      <c r="C40" s="254"/>
      <c r="D40" s="254"/>
      <c r="E40" s="259"/>
      <c r="F40" s="259"/>
      <c r="G40" s="255"/>
      <c r="H40" s="308"/>
      <c r="I40" s="309"/>
      <c r="J40" s="309"/>
      <c r="K40" s="309"/>
      <c r="L40" s="308"/>
      <c r="M40" s="308"/>
      <c r="N40" s="309"/>
    </row>
    <row r="41" spans="1:14" ht="16.5">
      <c r="A41" s="303" t="s">
        <v>1524</v>
      </c>
      <c r="B41" s="254"/>
      <c r="C41" s="254"/>
      <c r="D41" s="254"/>
      <c r="E41" s="259"/>
      <c r="F41" s="259"/>
      <c r="G41" s="255"/>
      <c r="H41" s="308"/>
      <c r="I41" s="309"/>
      <c r="J41" s="309"/>
      <c r="K41" s="309"/>
      <c r="L41" s="308"/>
      <c r="M41" s="308"/>
      <c r="N41" s="309"/>
    </row>
    <row r="42" spans="1:14" s="294" customFormat="1">
      <c r="A42" s="297" t="s">
        <v>1515</v>
      </c>
      <c r="B42" s="298"/>
      <c r="C42" s="299" t="s">
        <v>1519</v>
      </c>
      <c r="D42" s="299">
        <v>1</v>
      </c>
      <c r="E42" s="300">
        <v>3</v>
      </c>
      <c r="F42" s="300">
        <f>E42*D42</f>
        <v>3</v>
      </c>
      <c r="G42" s="299">
        <f>(2.79)+17*0.01*2</f>
        <v>3.13</v>
      </c>
      <c r="H42" s="310" t="str">
        <f t="shared" ref="H42:H45" si="43">IF(C42="T6",G42*F42,"")</f>
        <v/>
      </c>
      <c r="I42" s="311" t="str">
        <f t="shared" ref="I42:I45" si="44">IF(C42="T8",F42*G42,"")</f>
        <v/>
      </c>
      <c r="J42" s="311">
        <f t="shared" ref="J42:J45" si="45">IF(C42="T10",F42*G42,"")</f>
        <v>9.39</v>
      </c>
      <c r="K42" s="311" t="str">
        <f t="shared" ref="K42:K45" si="46">IF(C42="T12",F42*G42,"")</f>
        <v/>
      </c>
      <c r="L42" s="310" t="str">
        <f t="shared" ref="L42:L45" si="47">IF(C42="T14",F42*G42,"")</f>
        <v/>
      </c>
      <c r="M42" s="310" t="str">
        <f t="shared" ref="M42:M45" si="48">IF(C42="T16",G42*F42,"")</f>
        <v/>
      </c>
      <c r="N42" s="311" t="str">
        <f t="shared" ref="N42:N45" si="49">IF(C42="T20",G42*F42,"")</f>
        <v/>
      </c>
    </row>
    <row r="43" spans="1:14" s="294" customFormat="1">
      <c r="A43" s="297" t="s">
        <v>1515</v>
      </c>
      <c r="B43" s="298"/>
      <c r="C43" s="299" t="s">
        <v>1492</v>
      </c>
      <c r="D43" s="299">
        <v>1</v>
      </c>
      <c r="E43" s="300">
        <v>3</v>
      </c>
      <c r="F43" s="300">
        <f>E43*D43</f>
        <v>3</v>
      </c>
      <c r="G43" s="299">
        <f>(2.79)+17*0.014*2</f>
        <v>3.266</v>
      </c>
      <c r="H43" s="310" t="str">
        <f t="shared" si="43"/>
        <v/>
      </c>
      <c r="I43" s="311" t="str">
        <f t="shared" si="44"/>
        <v/>
      </c>
      <c r="J43" s="311" t="str">
        <f t="shared" si="45"/>
        <v/>
      </c>
      <c r="K43" s="311" t="str">
        <f t="shared" si="46"/>
        <v/>
      </c>
      <c r="L43" s="310">
        <f t="shared" si="47"/>
        <v>9.8000000000000007</v>
      </c>
      <c r="M43" s="310" t="str">
        <f t="shared" si="48"/>
        <v/>
      </c>
      <c r="N43" s="311" t="str">
        <f t="shared" si="49"/>
        <v/>
      </c>
    </row>
    <row r="44" spans="1:14" s="294" customFormat="1">
      <c r="A44" s="297" t="s">
        <v>1494</v>
      </c>
      <c r="B44" s="301"/>
      <c r="C44" s="299" t="s">
        <v>1496</v>
      </c>
      <c r="D44" s="299">
        <v>1</v>
      </c>
      <c r="E44" s="300">
        <f>2.79/0.15</f>
        <v>19</v>
      </c>
      <c r="F44" s="300">
        <f t="shared" ref="F44:F45" si="50">E44*D44</f>
        <v>19</v>
      </c>
      <c r="G44" s="302">
        <f>(0.2+0.15)*2+17*0.008*2</f>
        <v>0.97</v>
      </c>
      <c r="H44" s="310" t="str">
        <f t="shared" si="43"/>
        <v/>
      </c>
      <c r="I44" s="311">
        <f t="shared" si="44"/>
        <v>18.43</v>
      </c>
      <c r="J44" s="311" t="str">
        <f t="shared" si="45"/>
        <v/>
      </c>
      <c r="K44" s="311" t="str">
        <f t="shared" si="46"/>
        <v/>
      </c>
      <c r="L44" s="310" t="str">
        <f t="shared" si="47"/>
        <v/>
      </c>
      <c r="M44" s="310" t="str">
        <f t="shared" si="48"/>
        <v/>
      </c>
      <c r="N44" s="311" t="str">
        <f t="shared" si="49"/>
        <v/>
      </c>
    </row>
    <row r="45" spans="1:14" s="294" customFormat="1">
      <c r="A45" s="297" t="s">
        <v>1517</v>
      </c>
      <c r="B45" s="301"/>
      <c r="C45" s="299" t="s">
        <v>1496</v>
      </c>
      <c r="D45" s="299">
        <v>1</v>
      </c>
      <c r="E45" s="300">
        <v>19</v>
      </c>
      <c r="F45" s="300">
        <f t="shared" si="50"/>
        <v>19</v>
      </c>
      <c r="G45" s="302">
        <f>(0.2*2)+17*0.008*2</f>
        <v>0.67</v>
      </c>
      <c r="H45" s="310" t="str">
        <f t="shared" si="43"/>
        <v/>
      </c>
      <c r="I45" s="311">
        <f t="shared" si="44"/>
        <v>12.73</v>
      </c>
      <c r="J45" s="311" t="str">
        <f t="shared" si="45"/>
        <v/>
      </c>
      <c r="K45" s="311" t="str">
        <f t="shared" si="46"/>
        <v/>
      </c>
      <c r="L45" s="310" t="str">
        <f t="shared" si="47"/>
        <v/>
      </c>
      <c r="M45" s="310" t="str">
        <f t="shared" si="48"/>
        <v/>
      </c>
      <c r="N45" s="311" t="str">
        <f t="shared" si="49"/>
        <v/>
      </c>
    </row>
    <row r="46" spans="1:14">
      <c r="A46" s="253"/>
      <c r="B46" s="254"/>
      <c r="C46" s="254"/>
      <c r="D46" s="254"/>
      <c r="E46" s="259"/>
      <c r="F46" s="259"/>
      <c r="G46" s="255"/>
      <c r="H46" s="308"/>
      <c r="I46" s="309"/>
      <c r="J46" s="309"/>
      <c r="K46" s="309"/>
      <c r="L46" s="308"/>
      <c r="M46" s="308"/>
      <c r="N46" s="309"/>
    </row>
    <row r="47" spans="1:14" ht="16.5">
      <c r="A47" s="303" t="s">
        <v>1548</v>
      </c>
      <c r="B47" s="254"/>
      <c r="C47" s="254"/>
      <c r="D47" s="254"/>
      <c r="E47" s="259"/>
      <c r="F47" s="259"/>
      <c r="G47" s="255"/>
      <c r="H47" s="308"/>
      <c r="I47" s="309"/>
      <c r="J47" s="309"/>
      <c r="K47" s="309"/>
      <c r="L47" s="308"/>
      <c r="M47" s="308"/>
      <c r="N47" s="309"/>
    </row>
    <row r="48" spans="1:14" s="294" customFormat="1">
      <c r="A48" s="297" t="s">
        <v>1515</v>
      </c>
      <c r="B48" s="298"/>
      <c r="C48" s="299" t="s">
        <v>1516</v>
      </c>
      <c r="D48" s="299">
        <v>1</v>
      </c>
      <c r="E48" s="300">
        <v>3</v>
      </c>
      <c r="F48" s="300">
        <f>E48*D48</f>
        <v>3</v>
      </c>
      <c r="G48" s="299">
        <f>(7.15)+17*0.012*2</f>
        <v>7.5579999999999998</v>
      </c>
      <c r="H48" s="310" t="str">
        <f t="shared" ref="H48:H55" si="51">IF(C48="T6",G48*F48,"")</f>
        <v/>
      </c>
      <c r="I48" s="311" t="str">
        <f t="shared" ref="I48:I55" si="52">IF(C48="T8",F48*G48,"")</f>
        <v/>
      </c>
      <c r="J48" s="311" t="str">
        <f t="shared" ref="J48:J55" si="53">IF(C48="T10",F48*G48,"")</f>
        <v/>
      </c>
      <c r="K48" s="311">
        <f t="shared" ref="K48:K55" si="54">IF(C48="T12",F48*G48,"")</f>
        <v>22.67</v>
      </c>
      <c r="L48" s="310" t="str">
        <f t="shared" ref="L48:L55" si="55">IF(C48="T14",F48*G48,"")</f>
        <v/>
      </c>
      <c r="M48" s="310" t="str">
        <f t="shared" ref="M48:M54" si="56">IF(C48="T16",G48*F48,"")</f>
        <v/>
      </c>
      <c r="N48" s="311" t="str">
        <f t="shared" ref="N48:N54" si="57">IF(C48="T20",G48*F48,"")</f>
        <v/>
      </c>
    </row>
    <row r="49" spans="1:14" s="294" customFormat="1">
      <c r="A49" s="297" t="s">
        <v>1515</v>
      </c>
      <c r="B49" s="298"/>
      <c r="C49" s="299" t="s">
        <v>1492</v>
      </c>
      <c r="D49" s="299">
        <v>1</v>
      </c>
      <c r="E49" s="300">
        <v>3</v>
      </c>
      <c r="F49" s="300">
        <f>E49*D49</f>
        <v>3</v>
      </c>
      <c r="G49" s="299">
        <f>(7.15)+17*0.014*2</f>
        <v>7.6260000000000003</v>
      </c>
      <c r="H49" s="310" t="str">
        <f t="shared" si="51"/>
        <v/>
      </c>
      <c r="I49" s="311" t="str">
        <f t="shared" si="52"/>
        <v/>
      </c>
      <c r="J49" s="311" t="str">
        <f t="shared" si="53"/>
        <v/>
      </c>
      <c r="K49" s="311" t="str">
        <f t="shared" si="54"/>
        <v/>
      </c>
      <c r="L49" s="310">
        <f t="shared" si="55"/>
        <v>22.88</v>
      </c>
      <c r="M49" s="310" t="str">
        <f t="shared" si="56"/>
        <v/>
      </c>
      <c r="N49" s="311" t="str">
        <f t="shared" si="57"/>
        <v/>
      </c>
    </row>
    <row r="50" spans="1:14" s="294" customFormat="1">
      <c r="A50" s="297"/>
      <c r="B50" s="298"/>
      <c r="C50" s="299" t="s">
        <v>1519</v>
      </c>
      <c r="D50" s="299">
        <v>1</v>
      </c>
      <c r="E50" s="300">
        <v>2</v>
      </c>
      <c r="F50" s="300">
        <f>E50*D50</f>
        <v>2</v>
      </c>
      <c r="G50" s="299">
        <f>(7.15)+17*0.01*2</f>
        <v>7.49</v>
      </c>
      <c r="H50" s="310" t="str">
        <f t="shared" si="51"/>
        <v/>
      </c>
      <c r="I50" s="311" t="str">
        <f t="shared" si="52"/>
        <v/>
      </c>
      <c r="J50" s="311">
        <f t="shared" si="53"/>
        <v>14.98</v>
      </c>
      <c r="K50" s="311" t="str">
        <f t="shared" si="54"/>
        <v/>
      </c>
      <c r="L50" s="310" t="str">
        <f t="shared" si="55"/>
        <v/>
      </c>
      <c r="M50" s="310" t="str">
        <f t="shared" si="56"/>
        <v/>
      </c>
      <c r="N50" s="311" t="str">
        <f t="shared" si="57"/>
        <v/>
      </c>
    </row>
    <row r="51" spans="1:14" s="294" customFormat="1">
      <c r="A51" s="297" t="s">
        <v>1494</v>
      </c>
      <c r="B51" s="301"/>
      <c r="C51" s="299" t="s">
        <v>1496</v>
      </c>
      <c r="D51" s="299">
        <v>1</v>
      </c>
      <c r="E51" s="300">
        <f>21+17+21</f>
        <v>59</v>
      </c>
      <c r="F51" s="300">
        <f t="shared" ref="F51:F52" si="58">E51*D51</f>
        <v>59</v>
      </c>
      <c r="G51" s="302">
        <f>(0.2+0.55)*2+17*0.008*2</f>
        <v>1.77</v>
      </c>
      <c r="H51" s="310" t="str">
        <f t="shared" si="51"/>
        <v/>
      </c>
      <c r="I51" s="311">
        <f t="shared" si="52"/>
        <v>104.43</v>
      </c>
      <c r="J51" s="311" t="str">
        <f t="shared" si="53"/>
        <v/>
      </c>
      <c r="K51" s="311" t="str">
        <f t="shared" si="54"/>
        <v/>
      </c>
      <c r="L51" s="310" t="str">
        <f t="shared" si="55"/>
        <v/>
      </c>
      <c r="M51" s="310" t="str">
        <f t="shared" si="56"/>
        <v/>
      </c>
      <c r="N51" s="311" t="str">
        <f t="shared" si="57"/>
        <v/>
      </c>
    </row>
    <row r="52" spans="1:14" s="294" customFormat="1">
      <c r="A52" s="297" t="s">
        <v>1517</v>
      </c>
      <c r="B52" s="301"/>
      <c r="C52" s="299" t="s">
        <v>1496</v>
      </c>
      <c r="D52" s="299">
        <v>1</v>
      </c>
      <c r="E52" s="300">
        <f>21+17+21</f>
        <v>59</v>
      </c>
      <c r="F52" s="300">
        <f t="shared" si="58"/>
        <v>59</v>
      </c>
      <c r="G52" s="302">
        <f>(0.55*2)+17*0.008*2</f>
        <v>1.37</v>
      </c>
      <c r="H52" s="310" t="str">
        <f t="shared" si="51"/>
        <v/>
      </c>
      <c r="I52" s="311">
        <f t="shared" si="52"/>
        <v>80.83</v>
      </c>
      <c r="J52" s="311" t="str">
        <f t="shared" si="53"/>
        <v/>
      </c>
      <c r="K52" s="311" t="str">
        <f t="shared" si="54"/>
        <v/>
      </c>
      <c r="L52" s="310" t="str">
        <f t="shared" si="55"/>
        <v/>
      </c>
      <c r="M52" s="310" t="str">
        <f t="shared" si="56"/>
        <v/>
      </c>
      <c r="N52" s="311" t="str">
        <f t="shared" si="57"/>
        <v/>
      </c>
    </row>
    <row r="53" spans="1:14" s="294" customFormat="1">
      <c r="A53" s="297" t="s">
        <v>1518</v>
      </c>
      <c r="B53" s="301"/>
      <c r="C53" s="299" t="s">
        <v>1492</v>
      </c>
      <c r="D53" s="299">
        <v>1</v>
      </c>
      <c r="E53" s="300">
        <v>3</v>
      </c>
      <c r="F53" s="300">
        <f>E53*D53</f>
        <v>3</v>
      </c>
      <c r="G53" s="299">
        <v>3.1</v>
      </c>
      <c r="H53" s="310" t="str">
        <f t="shared" si="51"/>
        <v/>
      </c>
      <c r="I53" s="311" t="str">
        <f t="shared" si="52"/>
        <v/>
      </c>
      <c r="J53" s="311" t="str">
        <f t="shared" si="53"/>
        <v/>
      </c>
      <c r="K53" s="311" t="str">
        <f t="shared" si="54"/>
        <v/>
      </c>
      <c r="L53" s="310">
        <f t="shared" si="55"/>
        <v>9.3000000000000007</v>
      </c>
      <c r="M53" s="310" t="str">
        <f t="shared" si="56"/>
        <v/>
      </c>
      <c r="N53" s="311" t="str">
        <f t="shared" si="57"/>
        <v/>
      </c>
    </row>
    <row r="54" spans="1:14">
      <c r="A54" s="297" t="s">
        <v>1520</v>
      </c>
      <c r="B54" s="254"/>
      <c r="C54" s="299" t="s">
        <v>1492</v>
      </c>
      <c r="D54" s="299">
        <v>1</v>
      </c>
      <c r="E54" s="300">
        <v>6</v>
      </c>
      <c r="F54" s="300">
        <f>E54*D54</f>
        <v>6</v>
      </c>
      <c r="G54" s="299">
        <v>3.1</v>
      </c>
      <c r="H54" s="310" t="str">
        <f t="shared" si="51"/>
        <v/>
      </c>
      <c r="I54" s="311" t="str">
        <f t="shared" si="52"/>
        <v/>
      </c>
      <c r="J54" s="311" t="str">
        <f t="shared" si="53"/>
        <v/>
      </c>
      <c r="K54" s="311" t="str">
        <f t="shared" si="54"/>
        <v/>
      </c>
      <c r="L54" s="310">
        <f t="shared" si="55"/>
        <v>18.600000000000001</v>
      </c>
      <c r="M54" s="310" t="str">
        <f t="shared" si="56"/>
        <v/>
      </c>
      <c r="N54" s="311" t="str">
        <f t="shared" si="57"/>
        <v/>
      </c>
    </row>
    <row r="55" spans="1:14">
      <c r="A55" s="304"/>
      <c r="B55" s="254"/>
      <c r="C55" s="299" t="s">
        <v>1516</v>
      </c>
      <c r="D55" s="299">
        <v>1</v>
      </c>
      <c r="E55" s="300">
        <v>3</v>
      </c>
      <c r="F55" s="300">
        <f>E55*D55</f>
        <v>3</v>
      </c>
      <c r="G55" s="299">
        <v>6.8</v>
      </c>
      <c r="H55" s="310" t="str">
        <f t="shared" si="51"/>
        <v/>
      </c>
      <c r="I55" s="311" t="str">
        <f t="shared" si="52"/>
        <v/>
      </c>
      <c r="J55" s="311" t="str">
        <f t="shared" si="53"/>
        <v/>
      </c>
      <c r="K55" s="311">
        <f t="shared" si="54"/>
        <v>20.399999999999999</v>
      </c>
      <c r="L55" s="310" t="str">
        <f t="shared" si="55"/>
        <v/>
      </c>
      <c r="M55" s="310"/>
      <c r="N55" s="311"/>
    </row>
    <row r="56" spans="1:14">
      <c r="A56" s="253"/>
      <c r="B56" s="254"/>
      <c r="C56" s="254"/>
      <c r="D56" s="254"/>
      <c r="E56" s="259"/>
      <c r="F56" s="259"/>
      <c r="G56" s="255"/>
      <c r="H56" s="308"/>
      <c r="I56" s="309"/>
      <c r="J56" s="309"/>
      <c r="K56" s="309"/>
      <c r="L56" s="308"/>
      <c r="M56" s="308"/>
      <c r="N56" s="309"/>
    </row>
    <row r="57" spans="1:14" ht="16.5">
      <c r="A57" s="303" t="s">
        <v>1549</v>
      </c>
      <c r="B57" s="254"/>
      <c r="C57" s="254"/>
      <c r="D57" s="254"/>
      <c r="E57" s="259"/>
      <c r="F57" s="259"/>
      <c r="G57" s="255"/>
      <c r="H57" s="308"/>
      <c r="I57" s="309"/>
      <c r="J57" s="309"/>
      <c r="K57" s="309"/>
      <c r="L57" s="308"/>
      <c r="M57" s="308"/>
      <c r="N57" s="309"/>
    </row>
    <row r="58" spans="1:14" s="294" customFormat="1">
      <c r="A58" s="297" t="s">
        <v>1515</v>
      </c>
      <c r="B58" s="298"/>
      <c r="C58" s="299" t="s">
        <v>1519</v>
      </c>
      <c r="D58" s="299">
        <v>1</v>
      </c>
      <c r="E58" s="300">
        <v>3</v>
      </c>
      <c r="F58" s="300">
        <f>E58*D58</f>
        <v>3</v>
      </c>
      <c r="G58" s="299">
        <f>(2.79)+17*0.01*2</f>
        <v>3.13</v>
      </c>
      <c r="H58" s="310" t="str">
        <f t="shared" ref="H58:H61" si="59">IF(C58="T6",G58*F58,"")</f>
        <v/>
      </c>
      <c r="I58" s="311" t="str">
        <f t="shared" ref="I58:I61" si="60">IF(C58="T8",F58*G58,"")</f>
        <v/>
      </c>
      <c r="J58" s="311">
        <f t="shared" ref="J58:J61" si="61">IF(C58="T10",F58*G58,"")</f>
        <v>9.39</v>
      </c>
      <c r="K58" s="311" t="str">
        <f t="shared" ref="K58:K61" si="62">IF(C58="T12",F58*G58,"")</f>
        <v/>
      </c>
      <c r="L58" s="310" t="str">
        <f t="shared" ref="L58:L61" si="63">IF(C58="T14",F58*G58,"")</f>
        <v/>
      </c>
      <c r="M58" s="310" t="str">
        <f t="shared" ref="M58:M61" si="64">IF(C58="T16",G58*F58,"")</f>
        <v/>
      </c>
      <c r="N58" s="311" t="str">
        <f t="shared" ref="N58:N61" si="65">IF(C58="T20",G58*F58,"")</f>
        <v/>
      </c>
    </row>
    <row r="59" spans="1:14" s="294" customFormat="1">
      <c r="A59" s="297" t="s">
        <v>1515</v>
      </c>
      <c r="B59" s="298"/>
      <c r="C59" s="299" t="s">
        <v>1492</v>
      </c>
      <c r="D59" s="299">
        <v>1</v>
      </c>
      <c r="E59" s="300">
        <v>3</v>
      </c>
      <c r="F59" s="300">
        <f>E59*D59</f>
        <v>3</v>
      </c>
      <c r="G59" s="299">
        <f>(2.79)+17*0.014*2</f>
        <v>3.266</v>
      </c>
      <c r="H59" s="310" t="str">
        <f t="shared" si="59"/>
        <v/>
      </c>
      <c r="I59" s="311" t="str">
        <f t="shared" si="60"/>
        <v/>
      </c>
      <c r="J59" s="311" t="str">
        <f t="shared" si="61"/>
        <v/>
      </c>
      <c r="K59" s="311" t="str">
        <f t="shared" si="62"/>
        <v/>
      </c>
      <c r="L59" s="310">
        <f t="shared" si="63"/>
        <v>9.8000000000000007</v>
      </c>
      <c r="M59" s="310" t="str">
        <f t="shared" si="64"/>
        <v/>
      </c>
      <c r="N59" s="311" t="str">
        <f t="shared" si="65"/>
        <v/>
      </c>
    </row>
    <row r="60" spans="1:14" s="294" customFormat="1">
      <c r="A60" s="297" t="s">
        <v>1494</v>
      </c>
      <c r="B60" s="301"/>
      <c r="C60" s="299" t="s">
        <v>1496</v>
      </c>
      <c r="D60" s="299">
        <v>1</v>
      </c>
      <c r="E60" s="300">
        <f>2.79/0.15</f>
        <v>19</v>
      </c>
      <c r="F60" s="300">
        <f t="shared" ref="F60:F61" si="66">E60*D60</f>
        <v>19</v>
      </c>
      <c r="G60" s="302">
        <f>(0.2+0.15)*2+17*0.008*2</f>
        <v>0.97</v>
      </c>
      <c r="H60" s="310" t="str">
        <f t="shared" si="59"/>
        <v/>
      </c>
      <c r="I60" s="311">
        <f t="shared" si="60"/>
        <v>18.43</v>
      </c>
      <c r="J60" s="311" t="str">
        <f t="shared" si="61"/>
        <v/>
      </c>
      <c r="K60" s="311" t="str">
        <f t="shared" si="62"/>
        <v/>
      </c>
      <c r="L60" s="310" t="str">
        <f t="shared" si="63"/>
        <v/>
      </c>
      <c r="M60" s="310" t="str">
        <f t="shared" si="64"/>
        <v/>
      </c>
      <c r="N60" s="311" t="str">
        <f t="shared" si="65"/>
        <v/>
      </c>
    </row>
    <row r="61" spans="1:14" s="294" customFormat="1">
      <c r="A61" s="297" t="s">
        <v>1517</v>
      </c>
      <c r="B61" s="301"/>
      <c r="C61" s="299" t="s">
        <v>1496</v>
      </c>
      <c r="D61" s="299">
        <v>1</v>
      </c>
      <c r="E61" s="300">
        <v>19</v>
      </c>
      <c r="F61" s="300">
        <f t="shared" si="66"/>
        <v>19</v>
      </c>
      <c r="G61" s="302">
        <f>(0.2*2)+17*0.008*2</f>
        <v>0.67</v>
      </c>
      <c r="H61" s="310" t="str">
        <f t="shared" si="59"/>
        <v/>
      </c>
      <c r="I61" s="311">
        <f t="shared" si="60"/>
        <v>12.73</v>
      </c>
      <c r="J61" s="311" t="str">
        <f t="shared" si="61"/>
        <v/>
      </c>
      <c r="K61" s="311" t="str">
        <f t="shared" si="62"/>
        <v/>
      </c>
      <c r="L61" s="310" t="str">
        <f t="shared" si="63"/>
        <v/>
      </c>
      <c r="M61" s="310" t="str">
        <f t="shared" si="64"/>
        <v/>
      </c>
      <c r="N61" s="311" t="str">
        <f t="shared" si="65"/>
        <v/>
      </c>
    </row>
    <row r="62" spans="1:14">
      <c r="A62" s="253"/>
      <c r="B62" s="254"/>
      <c r="C62" s="254"/>
      <c r="D62" s="254"/>
      <c r="E62" s="259"/>
      <c r="F62" s="259"/>
      <c r="G62" s="255"/>
      <c r="H62" s="308"/>
      <c r="I62" s="309"/>
      <c r="J62" s="309"/>
      <c r="K62" s="309"/>
      <c r="L62" s="308"/>
      <c r="M62" s="308"/>
      <c r="N62" s="309"/>
    </row>
    <row r="63" spans="1:14" ht="16.5">
      <c r="A63" s="303" t="s">
        <v>1522</v>
      </c>
      <c r="B63" s="254"/>
      <c r="C63" s="254"/>
      <c r="D63" s="254"/>
      <c r="E63" s="259"/>
      <c r="F63" s="259"/>
      <c r="G63" s="255"/>
      <c r="H63" s="308"/>
      <c r="I63" s="309"/>
      <c r="J63" s="309"/>
      <c r="K63" s="309"/>
      <c r="L63" s="308"/>
      <c r="M63" s="308"/>
      <c r="N63" s="309"/>
    </row>
    <row r="64" spans="1:14" s="294" customFormat="1">
      <c r="A64" s="297" t="s">
        <v>1515</v>
      </c>
      <c r="B64" s="298"/>
      <c r="C64" s="299" t="s">
        <v>1516</v>
      </c>
      <c r="D64" s="299">
        <v>1</v>
      </c>
      <c r="E64" s="300">
        <v>3</v>
      </c>
      <c r="F64" s="300">
        <f>E64*D64</f>
        <v>3</v>
      </c>
      <c r="G64" s="299">
        <f>(7.15)+17*0.012*2</f>
        <v>7.5579999999999998</v>
      </c>
      <c r="H64" s="310" t="str">
        <f t="shared" ref="H64:H71" si="67">IF(C64="T6",G64*F64,"")</f>
        <v/>
      </c>
      <c r="I64" s="311" t="str">
        <f t="shared" ref="I64:I71" si="68">IF(C64="T8",F64*G64,"")</f>
        <v/>
      </c>
      <c r="J64" s="311" t="str">
        <f t="shared" ref="J64:J71" si="69">IF(C64="T10",F64*G64,"")</f>
        <v/>
      </c>
      <c r="K64" s="311">
        <f t="shared" ref="K64:K71" si="70">IF(C64="T12",F64*G64,"")</f>
        <v>22.67</v>
      </c>
      <c r="L64" s="310" t="str">
        <f t="shared" ref="L64:L71" si="71">IF(C64="T14",F64*G64,"")</f>
        <v/>
      </c>
      <c r="M64" s="310" t="str">
        <f t="shared" ref="M64:M70" si="72">IF(C64="T16",G64*F64,"")</f>
        <v/>
      </c>
      <c r="N64" s="311" t="str">
        <f t="shared" ref="N64:N70" si="73">IF(C64="T20",G64*F64,"")</f>
        <v/>
      </c>
    </row>
    <row r="65" spans="1:14" s="294" customFormat="1">
      <c r="A65" s="297" t="s">
        <v>1515</v>
      </c>
      <c r="B65" s="298"/>
      <c r="C65" s="299" t="s">
        <v>1492</v>
      </c>
      <c r="D65" s="299">
        <v>1</v>
      </c>
      <c r="E65" s="300">
        <v>3</v>
      </c>
      <c r="F65" s="300">
        <f>E65*D65</f>
        <v>3</v>
      </c>
      <c r="G65" s="299">
        <f>(7.15)+17*0.014*2</f>
        <v>7.6260000000000003</v>
      </c>
      <c r="H65" s="310" t="str">
        <f t="shared" si="67"/>
        <v/>
      </c>
      <c r="I65" s="311" t="str">
        <f t="shared" si="68"/>
        <v/>
      </c>
      <c r="J65" s="311" t="str">
        <f t="shared" si="69"/>
        <v/>
      </c>
      <c r="K65" s="311" t="str">
        <f t="shared" si="70"/>
        <v/>
      </c>
      <c r="L65" s="310">
        <f t="shared" si="71"/>
        <v>22.88</v>
      </c>
      <c r="M65" s="310" t="str">
        <f t="shared" si="72"/>
        <v/>
      </c>
      <c r="N65" s="311" t="str">
        <f t="shared" si="73"/>
        <v/>
      </c>
    </row>
    <row r="66" spans="1:14" s="294" customFormat="1">
      <c r="A66" s="297"/>
      <c r="B66" s="298"/>
      <c r="C66" s="299" t="s">
        <v>1519</v>
      </c>
      <c r="D66" s="299">
        <v>1</v>
      </c>
      <c r="E66" s="300">
        <v>2</v>
      </c>
      <c r="F66" s="300">
        <f>E66*D66</f>
        <v>2</v>
      </c>
      <c r="G66" s="299">
        <f>(7.15)+17*0.01*2</f>
        <v>7.49</v>
      </c>
      <c r="H66" s="310" t="str">
        <f t="shared" si="67"/>
        <v/>
      </c>
      <c r="I66" s="311" t="str">
        <f t="shared" si="68"/>
        <v/>
      </c>
      <c r="J66" s="311">
        <f t="shared" si="69"/>
        <v>14.98</v>
      </c>
      <c r="K66" s="311" t="str">
        <f t="shared" si="70"/>
        <v/>
      </c>
      <c r="L66" s="310" t="str">
        <f t="shared" si="71"/>
        <v/>
      </c>
      <c r="M66" s="310" t="str">
        <f t="shared" si="72"/>
        <v/>
      </c>
      <c r="N66" s="311" t="str">
        <f t="shared" si="73"/>
        <v/>
      </c>
    </row>
    <row r="67" spans="1:14" s="294" customFormat="1">
      <c r="A67" s="297" t="s">
        <v>1494</v>
      </c>
      <c r="B67" s="301"/>
      <c r="C67" s="299" t="s">
        <v>1496</v>
      </c>
      <c r="D67" s="299">
        <v>1</v>
      </c>
      <c r="E67" s="300">
        <f>21+17+21</f>
        <v>59</v>
      </c>
      <c r="F67" s="300">
        <f t="shared" ref="F67:F68" si="74">E67*D67</f>
        <v>59</v>
      </c>
      <c r="G67" s="302">
        <f>(0.2+0.55)*2+17*0.008*2</f>
        <v>1.77</v>
      </c>
      <c r="H67" s="310" t="str">
        <f t="shared" si="67"/>
        <v/>
      </c>
      <c r="I67" s="311">
        <f t="shared" si="68"/>
        <v>104.43</v>
      </c>
      <c r="J67" s="311" t="str">
        <f t="shared" si="69"/>
        <v/>
      </c>
      <c r="K67" s="311" t="str">
        <f t="shared" si="70"/>
        <v/>
      </c>
      <c r="L67" s="310" t="str">
        <f t="shared" si="71"/>
        <v/>
      </c>
      <c r="M67" s="310" t="str">
        <f t="shared" si="72"/>
        <v/>
      </c>
      <c r="N67" s="311" t="str">
        <f t="shared" si="73"/>
        <v/>
      </c>
    </row>
    <row r="68" spans="1:14" s="294" customFormat="1">
      <c r="A68" s="297" t="s">
        <v>1517</v>
      </c>
      <c r="B68" s="301"/>
      <c r="C68" s="299" t="s">
        <v>1496</v>
      </c>
      <c r="D68" s="299">
        <v>1</v>
      </c>
      <c r="E68" s="300">
        <f>21+17+21</f>
        <v>59</v>
      </c>
      <c r="F68" s="300">
        <f t="shared" si="74"/>
        <v>59</v>
      </c>
      <c r="G68" s="302">
        <f>(0.55*2)+17*0.008*2</f>
        <v>1.37</v>
      </c>
      <c r="H68" s="310" t="str">
        <f t="shared" si="67"/>
        <v/>
      </c>
      <c r="I68" s="311">
        <f t="shared" si="68"/>
        <v>80.83</v>
      </c>
      <c r="J68" s="311" t="str">
        <f t="shared" si="69"/>
        <v/>
      </c>
      <c r="K68" s="311" t="str">
        <f t="shared" si="70"/>
        <v/>
      </c>
      <c r="L68" s="310" t="str">
        <f t="shared" si="71"/>
        <v/>
      </c>
      <c r="M68" s="310" t="str">
        <f t="shared" si="72"/>
        <v/>
      </c>
      <c r="N68" s="311" t="str">
        <f t="shared" si="73"/>
        <v/>
      </c>
    </row>
    <row r="69" spans="1:14" s="294" customFormat="1">
      <c r="A69" s="297" t="s">
        <v>1518</v>
      </c>
      <c r="B69" s="301"/>
      <c r="C69" s="299" t="s">
        <v>1492</v>
      </c>
      <c r="D69" s="299">
        <v>1</v>
      </c>
      <c r="E69" s="300">
        <v>3</v>
      </c>
      <c r="F69" s="300">
        <f>E69*D69</f>
        <v>3</v>
      </c>
      <c r="G69" s="299">
        <v>3.1</v>
      </c>
      <c r="H69" s="310" t="str">
        <f t="shared" si="67"/>
        <v/>
      </c>
      <c r="I69" s="311" t="str">
        <f t="shared" si="68"/>
        <v/>
      </c>
      <c r="J69" s="311" t="str">
        <f t="shared" si="69"/>
        <v/>
      </c>
      <c r="K69" s="311" t="str">
        <f t="shared" si="70"/>
        <v/>
      </c>
      <c r="L69" s="310">
        <f t="shared" si="71"/>
        <v>9.3000000000000007</v>
      </c>
      <c r="M69" s="310" t="str">
        <f t="shared" si="72"/>
        <v/>
      </c>
      <c r="N69" s="311" t="str">
        <f t="shared" si="73"/>
        <v/>
      </c>
    </row>
    <row r="70" spans="1:14">
      <c r="A70" s="297" t="s">
        <v>1520</v>
      </c>
      <c r="B70" s="254"/>
      <c r="C70" s="299" t="s">
        <v>1492</v>
      </c>
      <c r="D70" s="299">
        <v>1</v>
      </c>
      <c r="E70" s="300">
        <v>6</v>
      </c>
      <c r="F70" s="300">
        <f>E70*D70</f>
        <v>6</v>
      </c>
      <c r="G70" s="299">
        <v>3.1</v>
      </c>
      <c r="H70" s="310" t="str">
        <f t="shared" si="67"/>
        <v/>
      </c>
      <c r="I70" s="311" t="str">
        <f t="shared" si="68"/>
        <v/>
      </c>
      <c r="J70" s="311" t="str">
        <f t="shared" si="69"/>
        <v/>
      </c>
      <c r="K70" s="311" t="str">
        <f t="shared" si="70"/>
        <v/>
      </c>
      <c r="L70" s="310">
        <f t="shared" si="71"/>
        <v>18.600000000000001</v>
      </c>
      <c r="M70" s="310" t="str">
        <f t="shared" si="72"/>
        <v/>
      </c>
      <c r="N70" s="311" t="str">
        <f t="shared" si="73"/>
        <v/>
      </c>
    </row>
    <row r="71" spans="1:14">
      <c r="A71" s="304"/>
      <c r="B71" s="254"/>
      <c r="C71" s="299" t="s">
        <v>1516</v>
      </c>
      <c r="D71" s="299">
        <v>1</v>
      </c>
      <c r="E71" s="300">
        <v>3</v>
      </c>
      <c r="F71" s="300">
        <f>E71*D71</f>
        <v>3</v>
      </c>
      <c r="G71" s="299">
        <v>6.8</v>
      </c>
      <c r="H71" s="310" t="str">
        <f t="shared" si="67"/>
        <v/>
      </c>
      <c r="I71" s="311" t="str">
        <f t="shared" si="68"/>
        <v/>
      </c>
      <c r="J71" s="311" t="str">
        <f t="shared" si="69"/>
        <v/>
      </c>
      <c r="K71" s="311">
        <f t="shared" si="70"/>
        <v>20.399999999999999</v>
      </c>
      <c r="L71" s="310" t="str">
        <f t="shared" si="71"/>
        <v/>
      </c>
      <c r="M71" s="310"/>
      <c r="N71" s="311"/>
    </row>
    <row r="72" spans="1:14" ht="16.5">
      <c r="A72" s="265"/>
      <c r="B72" s="254"/>
      <c r="C72" s="254"/>
      <c r="D72" s="254"/>
      <c r="E72" s="259"/>
      <c r="F72" s="259"/>
      <c r="G72" s="255"/>
      <c r="H72" s="308"/>
      <c r="I72" s="309"/>
      <c r="J72" s="309"/>
      <c r="K72" s="309"/>
      <c r="L72" s="308"/>
      <c r="M72" s="308"/>
      <c r="N72" s="309"/>
    </row>
    <row r="73" spans="1:14" ht="16.5">
      <c r="A73" s="303" t="s">
        <v>1547</v>
      </c>
      <c r="B73" s="254"/>
      <c r="C73" s="254"/>
      <c r="D73" s="254"/>
      <c r="E73" s="259"/>
      <c r="F73" s="259"/>
      <c r="G73" s="255"/>
      <c r="H73" s="308"/>
      <c r="I73" s="309"/>
      <c r="J73" s="309"/>
      <c r="K73" s="309"/>
      <c r="L73" s="308"/>
      <c r="M73" s="308"/>
      <c r="N73" s="309"/>
    </row>
    <row r="74" spans="1:14" s="294" customFormat="1">
      <c r="A74" s="297" t="s">
        <v>1515</v>
      </c>
      <c r="B74" s="298"/>
      <c r="C74" s="299" t="s">
        <v>1519</v>
      </c>
      <c r="D74" s="299">
        <v>1</v>
      </c>
      <c r="E74" s="300">
        <v>3</v>
      </c>
      <c r="F74" s="300">
        <f>E74*D74</f>
        <v>3</v>
      </c>
      <c r="G74" s="299">
        <f>(2.79)+17*0.012*2</f>
        <v>3.198</v>
      </c>
      <c r="H74" s="310" t="str">
        <f t="shared" ref="H74:H78" si="75">IF(C74="T6",G74*F74,"")</f>
        <v/>
      </c>
      <c r="I74" s="311" t="str">
        <f t="shared" ref="I74:I78" si="76">IF(C74="T8",F74*G74,"")</f>
        <v/>
      </c>
      <c r="J74" s="311">
        <f t="shared" ref="J74:J78" si="77">IF(C74="T10",F74*G74,"")</f>
        <v>9.59</v>
      </c>
      <c r="K74" s="311" t="str">
        <f t="shared" ref="K74:K78" si="78">IF(C74="T12",F74*G74,"")</f>
        <v/>
      </c>
      <c r="L74" s="310" t="str">
        <f t="shared" ref="L74:L78" si="79">IF(C74="T14",F74*G74,"")</f>
        <v/>
      </c>
      <c r="M74" s="310" t="str">
        <f t="shared" ref="M74:M78" si="80">IF(C74="T16",G74*F74,"")</f>
        <v/>
      </c>
      <c r="N74" s="311" t="str">
        <f t="shared" ref="N74:N78" si="81">IF(C74="T20",G74*F74,"")</f>
        <v/>
      </c>
    </row>
    <row r="75" spans="1:14" s="294" customFormat="1">
      <c r="A75" s="297" t="s">
        <v>1515</v>
      </c>
      <c r="B75" s="298"/>
      <c r="C75" s="299" t="s">
        <v>1516</v>
      </c>
      <c r="D75" s="299">
        <v>1</v>
      </c>
      <c r="E75" s="300">
        <v>3</v>
      </c>
      <c r="F75" s="300">
        <f>E75*D75</f>
        <v>3</v>
      </c>
      <c r="G75" s="299">
        <f>(2.79)+17*0.014*2</f>
        <v>3.266</v>
      </c>
      <c r="H75" s="310" t="str">
        <f t="shared" si="75"/>
        <v/>
      </c>
      <c r="I75" s="311" t="str">
        <f t="shared" si="76"/>
        <v/>
      </c>
      <c r="J75" s="311" t="str">
        <f t="shared" si="77"/>
        <v/>
      </c>
      <c r="K75" s="311">
        <f t="shared" si="78"/>
        <v>9.8000000000000007</v>
      </c>
      <c r="L75" s="310" t="str">
        <f t="shared" si="79"/>
        <v/>
      </c>
      <c r="M75" s="310" t="str">
        <f t="shared" si="80"/>
        <v/>
      </c>
      <c r="N75" s="311" t="str">
        <f t="shared" si="81"/>
        <v/>
      </c>
    </row>
    <row r="76" spans="1:14" s="294" customFormat="1">
      <c r="A76" s="297" t="s">
        <v>1494</v>
      </c>
      <c r="B76" s="301"/>
      <c r="C76" s="299" t="s">
        <v>1496</v>
      </c>
      <c r="D76" s="299">
        <v>1</v>
      </c>
      <c r="E76" s="300">
        <f>9+11+9</f>
        <v>29</v>
      </c>
      <c r="F76" s="300">
        <f t="shared" ref="F76:F77" si="82">E76*D76</f>
        <v>29</v>
      </c>
      <c r="G76" s="302">
        <f>(0.2+0.25)*2+17*0.008*2</f>
        <v>1.17</v>
      </c>
      <c r="H76" s="310" t="str">
        <f t="shared" si="75"/>
        <v/>
      </c>
      <c r="I76" s="311">
        <f t="shared" si="76"/>
        <v>33.93</v>
      </c>
      <c r="J76" s="311" t="str">
        <f t="shared" si="77"/>
        <v/>
      </c>
      <c r="K76" s="311" t="str">
        <f t="shared" si="78"/>
        <v/>
      </c>
      <c r="L76" s="310" t="str">
        <f t="shared" si="79"/>
        <v/>
      </c>
      <c r="M76" s="310" t="str">
        <f t="shared" si="80"/>
        <v/>
      </c>
      <c r="N76" s="311" t="str">
        <f t="shared" si="81"/>
        <v/>
      </c>
    </row>
    <row r="77" spans="1:14" s="294" customFormat="1">
      <c r="A77" s="297" t="s">
        <v>1517</v>
      </c>
      <c r="B77" s="301"/>
      <c r="C77" s="299" t="s">
        <v>1496</v>
      </c>
      <c r="D77" s="299">
        <v>1</v>
      </c>
      <c r="E77" s="300">
        <f>9+11+9</f>
        <v>29</v>
      </c>
      <c r="F77" s="300">
        <f t="shared" si="82"/>
        <v>29</v>
      </c>
      <c r="G77" s="302">
        <f>(0.25*2)+17*0.008*2</f>
        <v>0.77</v>
      </c>
      <c r="H77" s="310" t="str">
        <f t="shared" si="75"/>
        <v/>
      </c>
      <c r="I77" s="311">
        <f t="shared" si="76"/>
        <v>22.33</v>
      </c>
      <c r="J77" s="311" t="str">
        <f t="shared" si="77"/>
        <v/>
      </c>
      <c r="K77" s="311" t="str">
        <f t="shared" si="78"/>
        <v/>
      </c>
      <c r="L77" s="310" t="str">
        <f t="shared" si="79"/>
        <v/>
      </c>
      <c r="M77" s="310" t="str">
        <f t="shared" si="80"/>
        <v/>
      </c>
      <c r="N77" s="311" t="str">
        <f t="shared" si="81"/>
        <v/>
      </c>
    </row>
    <row r="78" spans="1:14" s="294" customFormat="1">
      <c r="A78" s="297" t="s">
        <v>1518</v>
      </c>
      <c r="B78" s="301"/>
      <c r="C78" s="299" t="s">
        <v>1516</v>
      </c>
      <c r="D78" s="299">
        <v>1</v>
      </c>
      <c r="E78" s="300">
        <v>3</v>
      </c>
      <c r="F78" s="300">
        <f>E78*D78</f>
        <v>3</v>
      </c>
      <c r="G78" s="299">
        <v>1.2</v>
      </c>
      <c r="H78" s="310" t="str">
        <f t="shared" si="75"/>
        <v/>
      </c>
      <c r="I78" s="311" t="str">
        <f t="shared" si="76"/>
        <v/>
      </c>
      <c r="J78" s="311" t="str">
        <f t="shared" si="77"/>
        <v/>
      </c>
      <c r="K78" s="311">
        <f t="shared" si="78"/>
        <v>3.6</v>
      </c>
      <c r="L78" s="310" t="str">
        <f t="shared" si="79"/>
        <v/>
      </c>
      <c r="M78" s="310" t="str">
        <f t="shared" si="80"/>
        <v/>
      </c>
      <c r="N78" s="311" t="str">
        <f t="shared" si="81"/>
        <v/>
      </c>
    </row>
    <row r="79" spans="1:14">
      <c r="A79" s="253"/>
      <c r="B79" s="254"/>
      <c r="C79" s="254"/>
      <c r="D79" s="254"/>
      <c r="E79" s="259"/>
      <c r="F79" s="259"/>
      <c r="G79" s="255"/>
      <c r="H79" s="308"/>
      <c r="I79" s="309"/>
      <c r="J79" s="309"/>
      <c r="K79" s="309"/>
      <c r="L79" s="308"/>
      <c r="M79" s="308"/>
      <c r="N79" s="309"/>
    </row>
    <row r="80" spans="1:14" ht="16.5">
      <c r="A80" s="303" t="s">
        <v>1550</v>
      </c>
      <c r="B80" s="254"/>
      <c r="C80" s="254"/>
      <c r="D80" s="254"/>
      <c r="E80" s="259"/>
      <c r="F80" s="259"/>
      <c r="G80" s="255"/>
      <c r="H80" s="308"/>
      <c r="I80" s="309"/>
      <c r="J80" s="309"/>
      <c r="K80" s="309"/>
      <c r="L80" s="308"/>
      <c r="M80" s="308"/>
      <c r="N80" s="309"/>
    </row>
    <row r="81" spans="1:14" s="294" customFormat="1">
      <c r="A81" s="297" t="s">
        <v>1515</v>
      </c>
      <c r="B81" s="298"/>
      <c r="C81" s="299" t="s">
        <v>1519</v>
      </c>
      <c r="D81" s="299">
        <v>1</v>
      </c>
      <c r="E81" s="300">
        <v>3</v>
      </c>
      <c r="F81" s="300">
        <f>E81*D81</f>
        <v>3</v>
      </c>
      <c r="G81" s="299">
        <f>(4.06)+17*0.01*2</f>
        <v>4.4000000000000004</v>
      </c>
      <c r="H81" s="310" t="str">
        <f t="shared" ref="H81:H87" si="83">IF(C81="T6",G81*F81,"")</f>
        <v/>
      </c>
      <c r="I81" s="311" t="str">
        <f t="shared" ref="I81:I87" si="84">IF(C81="T8",F81*G81,"")</f>
        <v/>
      </c>
      <c r="J81" s="311">
        <f t="shared" ref="J81:J87" si="85">IF(C81="T10",F81*G81,"")</f>
        <v>13.2</v>
      </c>
      <c r="K81" s="311" t="str">
        <f t="shared" ref="K81:K87" si="86">IF(C81="T12",F81*G81,"")</f>
        <v/>
      </c>
      <c r="L81" s="310" t="str">
        <f t="shared" ref="L81:L87" si="87">IF(C81="T14",F81*G81,"")</f>
        <v/>
      </c>
      <c r="M81" s="310" t="str">
        <f t="shared" ref="M81:M86" si="88">IF(C81="T16",G81*F81,"")</f>
        <v/>
      </c>
      <c r="N81" s="311" t="str">
        <f t="shared" ref="N81:N86" si="89">IF(C81="T20",G81*F81,"")</f>
        <v/>
      </c>
    </row>
    <row r="82" spans="1:14" s="294" customFormat="1">
      <c r="A82" s="297" t="s">
        <v>1515</v>
      </c>
      <c r="B82" s="298"/>
      <c r="C82" s="299" t="s">
        <v>1492</v>
      </c>
      <c r="D82" s="299">
        <v>1</v>
      </c>
      <c r="E82" s="300">
        <v>3</v>
      </c>
      <c r="F82" s="300">
        <f>E82*D82</f>
        <v>3</v>
      </c>
      <c r="G82" s="299">
        <f>(4.06)+17*0.014*2</f>
        <v>4.5359999999999996</v>
      </c>
      <c r="H82" s="310" t="str">
        <f t="shared" si="83"/>
        <v/>
      </c>
      <c r="I82" s="311" t="str">
        <f t="shared" si="84"/>
        <v/>
      </c>
      <c r="J82" s="311" t="str">
        <f t="shared" si="85"/>
        <v/>
      </c>
      <c r="K82" s="311" t="str">
        <f t="shared" si="86"/>
        <v/>
      </c>
      <c r="L82" s="310">
        <f t="shared" si="87"/>
        <v>13.61</v>
      </c>
      <c r="M82" s="310" t="str">
        <f t="shared" si="88"/>
        <v/>
      </c>
      <c r="N82" s="311" t="str">
        <f t="shared" si="89"/>
        <v/>
      </c>
    </row>
    <row r="83" spans="1:14" s="294" customFormat="1">
      <c r="A83" s="297" t="s">
        <v>1494</v>
      </c>
      <c r="B83" s="301"/>
      <c r="C83" s="299" t="s">
        <v>1496</v>
      </c>
      <c r="D83" s="299">
        <v>1</v>
      </c>
      <c r="E83" s="300">
        <f>7+8+7</f>
        <v>22</v>
      </c>
      <c r="F83" s="300">
        <f t="shared" ref="F83:F84" si="90">E83*D83</f>
        <v>22</v>
      </c>
      <c r="G83" s="302">
        <f>(0.2+0.45)*2+17*0.008*2</f>
        <v>1.57</v>
      </c>
      <c r="H83" s="310" t="str">
        <f t="shared" si="83"/>
        <v/>
      </c>
      <c r="I83" s="311">
        <f t="shared" si="84"/>
        <v>34.54</v>
      </c>
      <c r="J83" s="311" t="str">
        <f t="shared" si="85"/>
        <v/>
      </c>
      <c r="K83" s="311" t="str">
        <f t="shared" si="86"/>
        <v/>
      </c>
      <c r="L83" s="310" t="str">
        <f t="shared" si="87"/>
        <v/>
      </c>
      <c r="M83" s="310" t="str">
        <f t="shared" si="88"/>
        <v/>
      </c>
      <c r="N83" s="311" t="str">
        <f t="shared" si="89"/>
        <v/>
      </c>
    </row>
    <row r="84" spans="1:14" s="294" customFormat="1">
      <c r="A84" s="297" t="s">
        <v>1517</v>
      </c>
      <c r="B84" s="301"/>
      <c r="C84" s="299" t="s">
        <v>1496</v>
      </c>
      <c r="D84" s="299">
        <v>1</v>
      </c>
      <c r="E84" s="300">
        <f>7+8+7</f>
        <v>22</v>
      </c>
      <c r="F84" s="300">
        <f t="shared" si="90"/>
        <v>22</v>
      </c>
      <c r="G84" s="302">
        <f>(0.45*2)+17*0.008*2</f>
        <v>1.17</v>
      </c>
      <c r="H84" s="310" t="str">
        <f t="shared" si="83"/>
        <v/>
      </c>
      <c r="I84" s="311">
        <f t="shared" si="84"/>
        <v>25.74</v>
      </c>
      <c r="J84" s="311" t="str">
        <f t="shared" si="85"/>
        <v/>
      </c>
      <c r="K84" s="311" t="str">
        <f t="shared" si="86"/>
        <v/>
      </c>
      <c r="L84" s="310" t="str">
        <f t="shared" si="87"/>
        <v/>
      </c>
      <c r="M84" s="310" t="str">
        <f t="shared" si="88"/>
        <v/>
      </c>
      <c r="N84" s="311" t="str">
        <f t="shared" si="89"/>
        <v/>
      </c>
    </row>
    <row r="85" spans="1:14" s="294" customFormat="1">
      <c r="A85" s="297" t="s">
        <v>1518</v>
      </c>
      <c r="B85" s="301"/>
      <c r="C85" s="299" t="s">
        <v>1516</v>
      </c>
      <c r="D85" s="299">
        <v>1</v>
      </c>
      <c r="E85" s="300">
        <v>3</v>
      </c>
      <c r="F85" s="300">
        <f>E85*D85</f>
        <v>3</v>
      </c>
      <c r="G85" s="299">
        <v>1</v>
      </c>
      <c r="H85" s="310" t="str">
        <f t="shared" si="83"/>
        <v/>
      </c>
      <c r="I85" s="311" t="str">
        <f t="shared" si="84"/>
        <v/>
      </c>
      <c r="J85" s="311" t="str">
        <f t="shared" si="85"/>
        <v/>
      </c>
      <c r="K85" s="311">
        <f t="shared" si="86"/>
        <v>3</v>
      </c>
      <c r="L85" s="310" t="str">
        <f t="shared" si="87"/>
        <v/>
      </c>
      <c r="M85" s="310" t="str">
        <f t="shared" si="88"/>
        <v/>
      </c>
      <c r="N85" s="311" t="str">
        <f t="shared" si="89"/>
        <v/>
      </c>
    </row>
    <row r="86" spans="1:14">
      <c r="A86" s="297" t="s">
        <v>1520</v>
      </c>
      <c r="B86" s="254"/>
      <c r="C86" s="299" t="s">
        <v>1492</v>
      </c>
      <c r="D86" s="299">
        <v>1</v>
      </c>
      <c r="E86" s="300">
        <v>3</v>
      </c>
      <c r="F86" s="300">
        <f>E86*D86</f>
        <v>3</v>
      </c>
      <c r="G86" s="299">
        <v>2.2000000000000002</v>
      </c>
      <c r="H86" s="310" t="str">
        <f t="shared" si="83"/>
        <v/>
      </c>
      <c r="I86" s="311" t="str">
        <f t="shared" si="84"/>
        <v/>
      </c>
      <c r="J86" s="311" t="str">
        <f t="shared" si="85"/>
        <v/>
      </c>
      <c r="K86" s="311" t="str">
        <f t="shared" si="86"/>
        <v/>
      </c>
      <c r="L86" s="310">
        <f t="shared" si="87"/>
        <v>6.6</v>
      </c>
      <c r="M86" s="310" t="str">
        <f t="shared" si="88"/>
        <v/>
      </c>
      <c r="N86" s="311" t="str">
        <f t="shared" si="89"/>
        <v/>
      </c>
    </row>
    <row r="87" spans="1:14">
      <c r="A87" s="304"/>
      <c r="B87" s="254"/>
      <c r="C87" s="299" t="s">
        <v>1492</v>
      </c>
      <c r="D87" s="299">
        <v>1</v>
      </c>
      <c r="E87" s="300">
        <v>3</v>
      </c>
      <c r="F87" s="300">
        <f>E87*D87</f>
        <v>3</v>
      </c>
      <c r="G87" s="299">
        <v>4.5</v>
      </c>
      <c r="H87" s="310" t="str">
        <f t="shared" si="83"/>
        <v/>
      </c>
      <c r="I87" s="311" t="str">
        <f t="shared" si="84"/>
        <v/>
      </c>
      <c r="J87" s="311" t="str">
        <f t="shared" si="85"/>
        <v/>
      </c>
      <c r="K87" s="311" t="str">
        <f t="shared" si="86"/>
        <v/>
      </c>
      <c r="L87" s="310">
        <f t="shared" si="87"/>
        <v>13.5</v>
      </c>
      <c r="M87" s="310"/>
      <c r="N87" s="311"/>
    </row>
    <row r="88" spans="1:14">
      <c r="A88" s="253"/>
      <c r="B88" s="254"/>
      <c r="C88" s="254"/>
      <c r="D88" s="254"/>
      <c r="E88" s="259"/>
      <c r="F88" s="259"/>
      <c r="G88" s="255"/>
      <c r="H88" s="308"/>
      <c r="I88" s="309"/>
      <c r="J88" s="309"/>
      <c r="K88" s="309"/>
      <c r="L88" s="308"/>
      <c r="M88" s="308"/>
      <c r="N88" s="309"/>
    </row>
    <row r="89" spans="1:14" ht="16.5">
      <c r="A89" s="303" t="s">
        <v>1551</v>
      </c>
      <c r="B89" s="254"/>
      <c r="C89" s="254"/>
      <c r="D89" s="254"/>
      <c r="E89" s="259"/>
      <c r="F89" s="259"/>
      <c r="G89" s="255"/>
      <c r="H89" s="308"/>
      <c r="I89" s="309"/>
      <c r="J89" s="309"/>
      <c r="K89" s="309"/>
      <c r="L89" s="308"/>
      <c r="M89" s="308"/>
      <c r="N89" s="309"/>
    </row>
    <row r="90" spans="1:14" s="294" customFormat="1">
      <c r="A90" s="297" t="s">
        <v>1515</v>
      </c>
      <c r="B90" s="298"/>
      <c r="C90" s="299" t="s">
        <v>1519</v>
      </c>
      <c r="D90" s="299">
        <v>1</v>
      </c>
      <c r="E90" s="300">
        <v>3</v>
      </c>
      <c r="F90" s="300">
        <f>E90*D90</f>
        <v>3</v>
      </c>
      <c r="G90" s="299">
        <f>(3.9)+17*0.01*2</f>
        <v>4.24</v>
      </c>
      <c r="H90" s="310" t="str">
        <f t="shared" ref="H90:H96" si="91">IF(C90="T6",G90*F90,"")</f>
        <v/>
      </c>
      <c r="I90" s="311" t="str">
        <f t="shared" ref="I90:I96" si="92">IF(C90="T8",F90*G90,"")</f>
        <v/>
      </c>
      <c r="J90" s="311">
        <f t="shared" ref="J90:J96" si="93">IF(C90="T10",F90*G90,"")</f>
        <v>12.72</v>
      </c>
      <c r="K90" s="311" t="str">
        <f t="shared" ref="K90:K96" si="94">IF(C90="T12",F90*G90,"")</f>
        <v/>
      </c>
      <c r="L90" s="310" t="str">
        <f t="shared" ref="L90:L96" si="95">IF(C90="T14",F90*G90,"")</f>
        <v/>
      </c>
      <c r="M90" s="310" t="str">
        <f t="shared" ref="M90:M95" si="96">IF(C90="T16",G90*F90,"")</f>
        <v/>
      </c>
      <c r="N90" s="311" t="str">
        <f t="shared" ref="N90:N95" si="97">IF(C90="T20",G90*F90,"")</f>
        <v/>
      </c>
    </row>
    <row r="91" spans="1:14" s="294" customFormat="1">
      <c r="A91" s="297" t="s">
        <v>1515</v>
      </c>
      <c r="B91" s="298"/>
      <c r="C91" s="299" t="s">
        <v>1492</v>
      </c>
      <c r="D91" s="299">
        <v>1</v>
      </c>
      <c r="E91" s="300">
        <v>3</v>
      </c>
      <c r="F91" s="300">
        <f>E91*D91</f>
        <v>3</v>
      </c>
      <c r="G91" s="299">
        <f>(3.9)+17*0.014*2</f>
        <v>4.3760000000000003</v>
      </c>
      <c r="H91" s="310" t="str">
        <f t="shared" si="91"/>
        <v/>
      </c>
      <c r="I91" s="311" t="str">
        <f t="shared" si="92"/>
        <v/>
      </c>
      <c r="J91" s="311" t="str">
        <f t="shared" si="93"/>
        <v/>
      </c>
      <c r="K91" s="311" t="str">
        <f t="shared" si="94"/>
        <v/>
      </c>
      <c r="L91" s="310">
        <f t="shared" si="95"/>
        <v>13.13</v>
      </c>
      <c r="M91" s="310" t="str">
        <f t="shared" si="96"/>
        <v/>
      </c>
      <c r="N91" s="311" t="str">
        <f t="shared" si="97"/>
        <v/>
      </c>
    </row>
    <row r="92" spans="1:14" s="294" customFormat="1">
      <c r="A92" s="297"/>
      <c r="B92" s="298"/>
      <c r="C92" s="299" t="s">
        <v>1519</v>
      </c>
      <c r="D92" s="299">
        <v>1</v>
      </c>
      <c r="E92" s="300">
        <v>2</v>
      </c>
      <c r="F92" s="300">
        <f>E92*D92</f>
        <v>2</v>
      </c>
      <c r="G92" s="299">
        <f>(3.9)+17*0.01*2</f>
        <v>4.24</v>
      </c>
      <c r="H92" s="310" t="str">
        <f t="shared" si="91"/>
        <v/>
      </c>
      <c r="I92" s="311" t="str">
        <f t="shared" si="92"/>
        <v/>
      </c>
      <c r="J92" s="311">
        <f t="shared" si="93"/>
        <v>8.48</v>
      </c>
      <c r="K92" s="311" t="str">
        <f t="shared" si="94"/>
        <v/>
      </c>
      <c r="L92" s="310" t="str">
        <f t="shared" si="95"/>
        <v/>
      </c>
      <c r="M92" s="310" t="str">
        <f t="shared" si="96"/>
        <v/>
      </c>
      <c r="N92" s="311" t="str">
        <f t="shared" si="97"/>
        <v/>
      </c>
    </row>
    <row r="93" spans="1:14" s="294" customFormat="1">
      <c r="A93" s="297" t="s">
        <v>1494</v>
      </c>
      <c r="B93" s="301"/>
      <c r="C93" s="299" t="s">
        <v>1496</v>
      </c>
      <c r="D93" s="299">
        <v>1</v>
      </c>
      <c r="E93" s="300">
        <f>12+11+12</f>
        <v>35</v>
      </c>
      <c r="F93" s="300">
        <f t="shared" ref="F93:F94" si="98">E93*D93</f>
        <v>35</v>
      </c>
      <c r="G93" s="302">
        <f>(0.2+0.45)*2+17*0.008*2</f>
        <v>1.57</v>
      </c>
      <c r="H93" s="310" t="str">
        <f t="shared" si="91"/>
        <v/>
      </c>
      <c r="I93" s="311">
        <f t="shared" si="92"/>
        <v>54.95</v>
      </c>
      <c r="J93" s="311" t="str">
        <f t="shared" si="93"/>
        <v/>
      </c>
      <c r="K93" s="311" t="str">
        <f t="shared" si="94"/>
        <v/>
      </c>
      <c r="L93" s="310" t="str">
        <f t="shared" si="95"/>
        <v/>
      </c>
      <c r="M93" s="310" t="str">
        <f t="shared" si="96"/>
        <v/>
      </c>
      <c r="N93" s="311" t="str">
        <f t="shared" si="97"/>
        <v/>
      </c>
    </row>
    <row r="94" spans="1:14" s="294" customFormat="1">
      <c r="A94" s="297" t="s">
        <v>1517</v>
      </c>
      <c r="B94" s="301"/>
      <c r="C94" s="299" t="s">
        <v>1496</v>
      </c>
      <c r="D94" s="299">
        <v>1</v>
      </c>
      <c r="E94" s="300">
        <f>12+11+12</f>
        <v>35</v>
      </c>
      <c r="F94" s="300">
        <f t="shared" si="98"/>
        <v>35</v>
      </c>
      <c r="G94" s="302">
        <f>(0.45*2)+17*0.008*2</f>
        <v>1.17</v>
      </c>
      <c r="H94" s="310" t="str">
        <f t="shared" si="91"/>
        <v/>
      </c>
      <c r="I94" s="311">
        <f t="shared" si="92"/>
        <v>40.950000000000003</v>
      </c>
      <c r="J94" s="311" t="str">
        <f t="shared" si="93"/>
        <v/>
      </c>
      <c r="K94" s="311" t="str">
        <f t="shared" si="94"/>
        <v/>
      </c>
      <c r="L94" s="310" t="str">
        <f t="shared" si="95"/>
        <v/>
      </c>
      <c r="M94" s="310" t="str">
        <f t="shared" si="96"/>
        <v/>
      </c>
      <c r="N94" s="311" t="str">
        <f t="shared" si="97"/>
        <v/>
      </c>
    </row>
    <row r="95" spans="1:14">
      <c r="A95" s="297" t="s">
        <v>1520</v>
      </c>
      <c r="B95" s="254"/>
      <c r="C95" s="299" t="s">
        <v>1492</v>
      </c>
      <c r="D95" s="299">
        <v>1</v>
      </c>
      <c r="E95" s="300">
        <v>3</v>
      </c>
      <c r="F95" s="300">
        <f>E95*D95</f>
        <v>3</v>
      </c>
      <c r="G95" s="299">
        <v>3.2</v>
      </c>
      <c r="H95" s="310" t="str">
        <f t="shared" si="91"/>
        <v/>
      </c>
      <c r="I95" s="311" t="str">
        <f t="shared" si="92"/>
        <v/>
      </c>
      <c r="J95" s="311" t="str">
        <f t="shared" si="93"/>
        <v/>
      </c>
      <c r="K95" s="311" t="str">
        <f t="shared" si="94"/>
        <v/>
      </c>
      <c r="L95" s="310">
        <f t="shared" si="95"/>
        <v>9.6</v>
      </c>
      <c r="M95" s="310" t="str">
        <f t="shared" si="96"/>
        <v/>
      </c>
      <c r="N95" s="311" t="str">
        <f t="shared" si="97"/>
        <v/>
      </c>
    </row>
    <row r="96" spans="1:14">
      <c r="A96" s="304"/>
      <c r="B96" s="254"/>
      <c r="C96" s="299" t="s">
        <v>1492</v>
      </c>
      <c r="D96" s="299">
        <v>1</v>
      </c>
      <c r="E96" s="300">
        <v>3</v>
      </c>
      <c r="F96" s="300">
        <f>E96*D96</f>
        <v>3</v>
      </c>
      <c r="G96" s="299">
        <v>4.8</v>
      </c>
      <c r="H96" s="310" t="str">
        <f t="shared" si="91"/>
        <v/>
      </c>
      <c r="I96" s="311" t="str">
        <f t="shared" si="92"/>
        <v/>
      </c>
      <c r="J96" s="311" t="str">
        <f t="shared" si="93"/>
        <v/>
      </c>
      <c r="K96" s="311" t="str">
        <f t="shared" si="94"/>
        <v/>
      </c>
      <c r="L96" s="310">
        <f t="shared" si="95"/>
        <v>14.4</v>
      </c>
      <c r="M96" s="310"/>
      <c r="N96" s="311"/>
    </row>
    <row r="97" spans="1:14">
      <c r="A97" s="253"/>
      <c r="B97" s="254"/>
      <c r="C97" s="254"/>
      <c r="D97" s="254"/>
      <c r="E97" s="259"/>
      <c r="F97" s="259"/>
      <c r="G97" s="255"/>
      <c r="H97" s="308"/>
      <c r="I97" s="309"/>
      <c r="J97" s="309"/>
      <c r="K97" s="309"/>
      <c r="L97" s="308"/>
      <c r="M97" s="308"/>
      <c r="N97" s="309"/>
    </row>
    <row r="98" spans="1:14" ht="16.5">
      <c r="A98" s="303" t="s">
        <v>1526</v>
      </c>
      <c r="B98" s="254"/>
      <c r="C98" s="254"/>
      <c r="D98" s="254"/>
      <c r="E98" s="259"/>
      <c r="F98" s="259"/>
      <c r="G98" s="255"/>
      <c r="H98" s="308"/>
      <c r="I98" s="309"/>
      <c r="J98" s="309"/>
      <c r="K98" s="309"/>
      <c r="L98" s="308"/>
      <c r="M98" s="308"/>
      <c r="N98" s="309"/>
    </row>
    <row r="99" spans="1:14" s="294" customFormat="1" ht="16.5" customHeight="1">
      <c r="A99" s="297" t="s">
        <v>1515</v>
      </c>
      <c r="B99" s="298"/>
      <c r="C99" s="299" t="s">
        <v>1519</v>
      </c>
      <c r="D99" s="299">
        <v>1</v>
      </c>
      <c r="E99" s="300">
        <v>3</v>
      </c>
      <c r="F99" s="300">
        <f>E99*D99</f>
        <v>3</v>
      </c>
      <c r="G99" s="299">
        <f>(3.4)+17*0.01*2</f>
        <v>3.74</v>
      </c>
      <c r="H99" s="310" t="str">
        <f t="shared" ref="H99:H105" si="99">IF(C99="T6",G99*F99,"")</f>
        <v/>
      </c>
      <c r="I99" s="311" t="str">
        <f t="shared" ref="I99:I105" si="100">IF(C99="T8",F99*G99,"")</f>
        <v/>
      </c>
      <c r="J99" s="311">
        <f t="shared" ref="J99:J106" si="101">IF(C99="T10",F99*G99,"")</f>
        <v>11.22</v>
      </c>
      <c r="K99" s="311" t="str">
        <f t="shared" ref="K99:K105" si="102">IF(C99="T12",F99*G99,"")</f>
        <v/>
      </c>
      <c r="L99" s="310" t="str">
        <f t="shared" ref="L99:L105" si="103">IF(C99="T14",F99*G99,"")</f>
        <v/>
      </c>
      <c r="M99" s="310" t="str">
        <f t="shared" ref="M99:M104" si="104">IF(C99="T16",G99*F99,"")</f>
        <v/>
      </c>
      <c r="N99" s="311" t="str">
        <f t="shared" ref="N99:N104" si="105">IF(C99="T20",G99*F99,"")</f>
        <v/>
      </c>
    </row>
    <row r="100" spans="1:14" s="294" customFormat="1">
      <c r="A100" s="297" t="s">
        <v>1515</v>
      </c>
      <c r="B100" s="298"/>
      <c r="C100" s="299" t="s">
        <v>1516</v>
      </c>
      <c r="D100" s="299">
        <v>1</v>
      </c>
      <c r="E100" s="300">
        <v>3</v>
      </c>
      <c r="F100" s="300">
        <f>E100*D100</f>
        <v>3</v>
      </c>
      <c r="G100" s="299">
        <f>(3.4)+17*0.012*2</f>
        <v>3.8079999999999998</v>
      </c>
      <c r="H100" s="310" t="str">
        <f t="shared" si="99"/>
        <v/>
      </c>
      <c r="I100" s="311" t="str">
        <f t="shared" si="100"/>
        <v/>
      </c>
      <c r="J100" s="311" t="str">
        <f t="shared" si="101"/>
        <v/>
      </c>
      <c r="K100" s="311">
        <f t="shared" si="102"/>
        <v>11.42</v>
      </c>
      <c r="L100" s="310" t="str">
        <f t="shared" si="103"/>
        <v/>
      </c>
      <c r="M100" s="310" t="str">
        <f t="shared" si="104"/>
        <v/>
      </c>
      <c r="N100" s="311" t="str">
        <f t="shared" si="105"/>
        <v/>
      </c>
    </row>
    <row r="101" spans="1:14" s="294" customFormat="1">
      <c r="A101" s="297"/>
      <c r="B101" s="298"/>
      <c r="C101" s="299" t="s">
        <v>1519</v>
      </c>
      <c r="D101" s="299">
        <v>1</v>
      </c>
      <c r="E101" s="300">
        <v>2</v>
      </c>
      <c r="F101" s="300">
        <f>E101*D101</f>
        <v>2</v>
      </c>
      <c r="G101" s="299">
        <f>(3.4)+17*0.01*2</f>
        <v>3.74</v>
      </c>
      <c r="H101" s="310" t="str">
        <f t="shared" si="99"/>
        <v/>
      </c>
      <c r="I101" s="311" t="str">
        <f t="shared" si="100"/>
        <v/>
      </c>
      <c r="J101" s="311">
        <f t="shared" si="101"/>
        <v>7.48</v>
      </c>
      <c r="K101" s="311" t="str">
        <f t="shared" si="102"/>
        <v/>
      </c>
      <c r="L101" s="310" t="str">
        <f t="shared" si="103"/>
        <v/>
      </c>
      <c r="M101" s="310" t="str">
        <f t="shared" si="104"/>
        <v/>
      </c>
      <c r="N101" s="311" t="str">
        <f t="shared" si="105"/>
        <v/>
      </c>
    </row>
    <row r="102" spans="1:14" s="294" customFormat="1">
      <c r="A102" s="297" t="s">
        <v>1494</v>
      </c>
      <c r="B102" s="301"/>
      <c r="C102" s="299" t="s">
        <v>1496</v>
      </c>
      <c r="D102" s="299">
        <v>1</v>
      </c>
      <c r="E102" s="300">
        <f>13+20+13</f>
        <v>46</v>
      </c>
      <c r="F102" s="300">
        <f t="shared" ref="F102:F103" si="106">E102*D102</f>
        <v>46</v>
      </c>
      <c r="G102" s="302">
        <f>(0.2+0.45)*2+17*0.008*2</f>
        <v>1.57</v>
      </c>
      <c r="H102" s="310" t="str">
        <f t="shared" si="99"/>
        <v/>
      </c>
      <c r="I102" s="311">
        <f t="shared" si="100"/>
        <v>72.22</v>
      </c>
      <c r="J102" s="311" t="str">
        <f t="shared" si="101"/>
        <v/>
      </c>
      <c r="K102" s="311" t="str">
        <f t="shared" si="102"/>
        <v/>
      </c>
      <c r="L102" s="310" t="str">
        <f t="shared" si="103"/>
        <v/>
      </c>
      <c r="M102" s="310" t="str">
        <f t="shared" si="104"/>
        <v/>
      </c>
      <c r="N102" s="311" t="str">
        <f t="shared" si="105"/>
        <v/>
      </c>
    </row>
    <row r="103" spans="1:14" s="294" customFormat="1">
      <c r="A103" s="297" t="s">
        <v>1517</v>
      </c>
      <c r="B103" s="301"/>
      <c r="C103" s="299" t="s">
        <v>1496</v>
      </c>
      <c r="D103" s="299">
        <v>1</v>
      </c>
      <c r="E103" s="300">
        <f>13+20+13</f>
        <v>46</v>
      </c>
      <c r="F103" s="300">
        <f t="shared" si="106"/>
        <v>46</v>
      </c>
      <c r="G103" s="302">
        <f>(0.45*2)+17*0.008*2</f>
        <v>1.17</v>
      </c>
      <c r="H103" s="310" t="str">
        <f t="shared" si="99"/>
        <v/>
      </c>
      <c r="I103" s="311">
        <f t="shared" si="100"/>
        <v>53.82</v>
      </c>
      <c r="J103" s="311" t="str">
        <f t="shared" si="101"/>
        <v/>
      </c>
      <c r="K103" s="311" t="str">
        <f t="shared" si="102"/>
        <v/>
      </c>
      <c r="L103" s="310" t="str">
        <f t="shared" si="103"/>
        <v/>
      </c>
      <c r="M103" s="310" t="str">
        <f t="shared" si="104"/>
        <v/>
      </c>
      <c r="N103" s="311" t="str">
        <f t="shared" si="105"/>
        <v/>
      </c>
    </row>
    <row r="104" spans="1:14">
      <c r="A104" s="297" t="s">
        <v>1520</v>
      </c>
      <c r="B104" s="254"/>
      <c r="C104" s="299" t="s">
        <v>1492</v>
      </c>
      <c r="D104" s="299">
        <v>1</v>
      </c>
      <c r="E104" s="300">
        <v>3</v>
      </c>
      <c r="F104" s="300">
        <f>E104*D104</f>
        <v>3</v>
      </c>
      <c r="G104" s="299">
        <v>3</v>
      </c>
      <c r="H104" s="310" t="str">
        <f t="shared" si="99"/>
        <v/>
      </c>
      <c r="I104" s="311" t="str">
        <f t="shared" si="100"/>
        <v/>
      </c>
      <c r="J104" s="311" t="str">
        <f t="shared" si="101"/>
        <v/>
      </c>
      <c r="K104" s="311" t="str">
        <f t="shared" si="102"/>
        <v/>
      </c>
      <c r="L104" s="310">
        <f t="shared" si="103"/>
        <v>9</v>
      </c>
      <c r="M104" s="310" t="str">
        <f t="shared" si="104"/>
        <v/>
      </c>
      <c r="N104" s="311" t="str">
        <f t="shared" si="105"/>
        <v/>
      </c>
    </row>
    <row r="105" spans="1:14">
      <c r="A105" s="304"/>
      <c r="B105" s="254"/>
      <c r="C105" s="299" t="s">
        <v>1519</v>
      </c>
      <c r="D105" s="299">
        <v>1</v>
      </c>
      <c r="E105" s="300">
        <v>3</v>
      </c>
      <c r="F105" s="300">
        <f>E105*D105</f>
        <v>3</v>
      </c>
      <c r="G105" s="299">
        <v>3.5</v>
      </c>
      <c r="H105" s="310" t="str">
        <f t="shared" si="99"/>
        <v/>
      </c>
      <c r="I105" s="311" t="str">
        <f t="shared" si="100"/>
        <v/>
      </c>
      <c r="J105" s="311">
        <f t="shared" si="101"/>
        <v>10.5</v>
      </c>
      <c r="K105" s="311" t="str">
        <f t="shared" si="102"/>
        <v/>
      </c>
      <c r="L105" s="310" t="str">
        <f t="shared" si="103"/>
        <v/>
      </c>
      <c r="M105" s="310"/>
      <c r="N105" s="311"/>
    </row>
    <row r="106" spans="1:14">
      <c r="A106" s="253"/>
      <c r="B106" s="254"/>
      <c r="C106" s="299" t="s">
        <v>1519</v>
      </c>
      <c r="D106" s="299">
        <v>1</v>
      </c>
      <c r="E106" s="300">
        <v>3</v>
      </c>
      <c r="F106" s="300">
        <f>E106*D106</f>
        <v>3</v>
      </c>
      <c r="G106" s="299">
        <v>3.4</v>
      </c>
      <c r="H106" s="308"/>
      <c r="I106" s="309"/>
      <c r="J106" s="311">
        <f t="shared" si="101"/>
        <v>10.199999999999999</v>
      </c>
      <c r="K106" s="309"/>
      <c r="L106" s="308"/>
      <c r="M106" s="308"/>
      <c r="N106" s="309"/>
    </row>
    <row r="107" spans="1:14">
      <c r="A107" s="253"/>
      <c r="B107" s="254"/>
      <c r="C107" s="254"/>
      <c r="D107" s="254"/>
      <c r="E107" s="259"/>
      <c r="F107" s="259"/>
      <c r="G107" s="255"/>
      <c r="H107" s="308"/>
      <c r="I107" s="309"/>
      <c r="J107" s="309"/>
      <c r="K107" s="309"/>
      <c r="L107" s="308"/>
      <c r="M107" s="308"/>
      <c r="N107" s="309"/>
    </row>
    <row r="108" spans="1:14" ht="16.5">
      <c r="A108" s="303" t="s">
        <v>1527</v>
      </c>
      <c r="B108" s="254"/>
      <c r="C108" s="254"/>
      <c r="D108" s="254"/>
      <c r="E108" s="259"/>
      <c r="F108" s="259"/>
      <c r="G108" s="255"/>
      <c r="H108" s="308"/>
      <c r="I108" s="309"/>
      <c r="J108" s="309"/>
      <c r="K108" s="309"/>
      <c r="L108" s="308"/>
      <c r="M108" s="308"/>
      <c r="N108" s="309"/>
    </row>
    <row r="109" spans="1:14" s="294" customFormat="1" ht="16.5" customHeight="1">
      <c r="A109" s="297" t="s">
        <v>1515</v>
      </c>
      <c r="B109" s="298"/>
      <c r="C109" s="299" t="s">
        <v>1519</v>
      </c>
      <c r="D109" s="299">
        <v>1</v>
      </c>
      <c r="E109" s="300">
        <v>3</v>
      </c>
      <c r="F109" s="300">
        <f>E109*D109</f>
        <v>3</v>
      </c>
      <c r="G109" s="299">
        <f>(4.25)+17*0.01*2</f>
        <v>4.59</v>
      </c>
      <c r="H109" s="310" t="str">
        <f t="shared" ref="H109:H116" si="107">IF(C109="T6",G109*F109,"")</f>
        <v/>
      </c>
      <c r="I109" s="311" t="str">
        <f t="shared" ref="I109:I116" si="108">IF(C109="T8",F109*G109,"")</f>
        <v/>
      </c>
      <c r="J109" s="311">
        <f t="shared" ref="J109:J117" si="109">IF(C109="T10",F109*G109,"")</f>
        <v>13.77</v>
      </c>
      <c r="K109" s="311" t="str">
        <f t="shared" ref="K109:K117" si="110">IF(C109="T12",F109*G109,"")</f>
        <v/>
      </c>
      <c r="L109" s="310" t="str">
        <f t="shared" ref="L109:L116" si="111">IF(C109="T14",F109*G109,"")</f>
        <v/>
      </c>
      <c r="M109" s="310" t="str">
        <f t="shared" ref="M109:M115" si="112">IF(C109="T16",G109*F109,"")</f>
        <v/>
      </c>
      <c r="N109" s="311" t="str">
        <f t="shared" ref="N109:N115" si="113">IF(C109="T20",G109*F109,"")</f>
        <v/>
      </c>
    </row>
    <row r="110" spans="1:14" s="294" customFormat="1">
      <c r="A110" s="297" t="s">
        <v>1515</v>
      </c>
      <c r="B110" s="298"/>
      <c r="C110" s="299" t="s">
        <v>1516</v>
      </c>
      <c r="D110" s="299">
        <v>1</v>
      </c>
      <c r="E110" s="300">
        <v>3</v>
      </c>
      <c r="F110" s="300">
        <f>E110*D110</f>
        <v>3</v>
      </c>
      <c r="G110" s="299">
        <f>(4.25)+17*0.012*2</f>
        <v>4.6580000000000004</v>
      </c>
      <c r="H110" s="310" t="str">
        <f t="shared" si="107"/>
        <v/>
      </c>
      <c r="I110" s="311" t="str">
        <f t="shared" si="108"/>
        <v/>
      </c>
      <c r="J110" s="311" t="str">
        <f t="shared" si="109"/>
        <v/>
      </c>
      <c r="K110" s="311">
        <f t="shared" si="110"/>
        <v>13.97</v>
      </c>
      <c r="L110" s="310" t="str">
        <f t="shared" si="111"/>
        <v/>
      </c>
      <c r="M110" s="310" t="str">
        <f t="shared" si="112"/>
        <v/>
      </c>
      <c r="N110" s="311" t="str">
        <f t="shared" si="113"/>
        <v/>
      </c>
    </row>
    <row r="111" spans="1:14" s="294" customFormat="1">
      <c r="A111" s="297"/>
      <c r="B111" s="298"/>
      <c r="C111" s="299" t="s">
        <v>1519</v>
      </c>
      <c r="D111" s="299">
        <v>1</v>
      </c>
      <c r="E111" s="300">
        <v>2</v>
      </c>
      <c r="F111" s="300">
        <f>E111*D111</f>
        <v>2</v>
      </c>
      <c r="G111" s="299">
        <f>(4.25)+17*0.01*2</f>
        <v>4.59</v>
      </c>
      <c r="H111" s="310" t="str">
        <f t="shared" si="107"/>
        <v/>
      </c>
      <c r="I111" s="311" t="str">
        <f t="shared" si="108"/>
        <v/>
      </c>
      <c r="J111" s="311">
        <f t="shared" si="109"/>
        <v>9.18</v>
      </c>
      <c r="K111" s="311" t="str">
        <f t="shared" si="110"/>
        <v/>
      </c>
      <c r="L111" s="310" t="str">
        <f t="shared" si="111"/>
        <v/>
      </c>
      <c r="M111" s="310" t="str">
        <f t="shared" si="112"/>
        <v/>
      </c>
      <c r="N111" s="311" t="str">
        <f t="shared" si="113"/>
        <v/>
      </c>
    </row>
    <row r="112" spans="1:14" s="294" customFormat="1">
      <c r="A112" s="297" t="s">
        <v>1494</v>
      </c>
      <c r="B112" s="301"/>
      <c r="C112" s="299" t="s">
        <v>1496</v>
      </c>
      <c r="D112" s="299">
        <v>1</v>
      </c>
      <c r="E112" s="300">
        <f>15+16+15</f>
        <v>46</v>
      </c>
      <c r="F112" s="300">
        <f t="shared" ref="F112:F113" si="114">E112*D112</f>
        <v>46</v>
      </c>
      <c r="G112" s="302">
        <f>(0.2+0.45)*2+17*0.008*2</f>
        <v>1.57</v>
      </c>
      <c r="H112" s="310" t="str">
        <f t="shared" si="107"/>
        <v/>
      </c>
      <c r="I112" s="311">
        <f t="shared" si="108"/>
        <v>72.22</v>
      </c>
      <c r="J112" s="311" t="str">
        <f t="shared" si="109"/>
        <v/>
      </c>
      <c r="K112" s="311" t="str">
        <f t="shared" si="110"/>
        <v/>
      </c>
      <c r="L112" s="310" t="str">
        <f t="shared" si="111"/>
        <v/>
      </c>
      <c r="M112" s="310" t="str">
        <f t="shared" si="112"/>
        <v/>
      </c>
      <c r="N112" s="311" t="str">
        <f t="shared" si="113"/>
        <v/>
      </c>
    </row>
    <row r="113" spans="1:14" s="294" customFormat="1">
      <c r="A113" s="297" t="s">
        <v>1517</v>
      </c>
      <c r="B113" s="301"/>
      <c r="C113" s="299" t="s">
        <v>1496</v>
      </c>
      <c r="D113" s="299">
        <v>1</v>
      </c>
      <c r="E113" s="300">
        <f>15+16+15</f>
        <v>46</v>
      </c>
      <c r="F113" s="300">
        <f t="shared" si="114"/>
        <v>46</v>
      </c>
      <c r="G113" s="302">
        <f>(0.45*2)+17*0.008*2</f>
        <v>1.17</v>
      </c>
      <c r="H113" s="310" t="str">
        <f t="shared" si="107"/>
        <v/>
      </c>
      <c r="I113" s="311">
        <f t="shared" si="108"/>
        <v>53.82</v>
      </c>
      <c r="J113" s="311" t="str">
        <f t="shared" si="109"/>
        <v/>
      </c>
      <c r="K113" s="311" t="str">
        <f t="shared" si="110"/>
        <v/>
      </c>
      <c r="L113" s="310" t="str">
        <f t="shared" si="111"/>
        <v/>
      </c>
      <c r="M113" s="310" t="str">
        <f t="shared" si="112"/>
        <v/>
      </c>
      <c r="N113" s="311" t="str">
        <f t="shared" si="113"/>
        <v/>
      </c>
    </row>
    <row r="114" spans="1:14" s="294" customFormat="1">
      <c r="A114" s="297" t="s">
        <v>1518</v>
      </c>
      <c r="B114" s="306"/>
      <c r="C114" s="299" t="s">
        <v>1516</v>
      </c>
      <c r="D114" s="299">
        <v>1</v>
      </c>
      <c r="E114" s="300">
        <v>3</v>
      </c>
      <c r="F114" s="300">
        <f>E114*D114</f>
        <v>3</v>
      </c>
      <c r="G114" s="299">
        <v>1.5</v>
      </c>
      <c r="H114" s="310" t="str">
        <f t="shared" ref="H114" si="115">IF(C114="T6",G114*F114,"")</f>
        <v/>
      </c>
      <c r="I114" s="311" t="str">
        <f t="shared" ref="I114" si="116">IF(C114="T8",F114*G114,"")</f>
        <v/>
      </c>
      <c r="J114" s="311" t="str">
        <f t="shared" ref="J114" si="117">IF(C114="T10",F114*G114,"")</f>
        <v/>
      </c>
      <c r="K114" s="311">
        <f t="shared" ref="K114" si="118">IF(C114="T12",F114*G114,"")</f>
        <v>4.5</v>
      </c>
      <c r="L114" s="310" t="str">
        <f t="shared" ref="L114" si="119">IF(C114="T14",F114*G114,"")</f>
        <v/>
      </c>
      <c r="M114" s="310" t="str">
        <f t="shared" ref="M114" si="120">IF(C114="T16",G114*F114,"")</f>
        <v/>
      </c>
      <c r="N114" s="311" t="str">
        <f t="shared" ref="N114" si="121">IF(C114="T20",G114*F114,"")</f>
        <v/>
      </c>
    </row>
    <row r="115" spans="1:14">
      <c r="A115" s="297" t="s">
        <v>1520</v>
      </c>
      <c r="B115" s="254"/>
      <c r="C115" s="299" t="s">
        <v>1492</v>
      </c>
      <c r="D115" s="299">
        <v>1</v>
      </c>
      <c r="E115" s="300">
        <v>3</v>
      </c>
      <c r="F115" s="300">
        <f>E115*D115</f>
        <v>3</v>
      </c>
      <c r="G115" s="299">
        <v>3.5</v>
      </c>
      <c r="H115" s="310" t="str">
        <f t="shared" si="107"/>
        <v/>
      </c>
      <c r="I115" s="311" t="str">
        <f t="shared" si="108"/>
        <v/>
      </c>
      <c r="J115" s="311" t="str">
        <f t="shared" si="109"/>
        <v/>
      </c>
      <c r="K115" s="311" t="str">
        <f t="shared" si="110"/>
        <v/>
      </c>
      <c r="L115" s="310">
        <f t="shared" si="111"/>
        <v>10.5</v>
      </c>
      <c r="M115" s="310" t="str">
        <f t="shared" si="112"/>
        <v/>
      </c>
      <c r="N115" s="311" t="str">
        <f t="shared" si="113"/>
        <v/>
      </c>
    </row>
    <row r="116" spans="1:14">
      <c r="A116" s="304"/>
      <c r="B116" s="254"/>
      <c r="C116" s="299" t="s">
        <v>1516</v>
      </c>
      <c r="D116" s="299">
        <v>1</v>
      </c>
      <c r="E116" s="300">
        <v>3</v>
      </c>
      <c r="F116" s="300">
        <f>E116*D116</f>
        <v>3</v>
      </c>
      <c r="G116" s="299">
        <v>4.25</v>
      </c>
      <c r="H116" s="310" t="str">
        <f t="shared" si="107"/>
        <v/>
      </c>
      <c r="I116" s="311" t="str">
        <f t="shared" si="108"/>
        <v/>
      </c>
      <c r="J116" s="311" t="str">
        <f t="shared" si="109"/>
        <v/>
      </c>
      <c r="K116" s="311">
        <f t="shared" si="110"/>
        <v>12.75</v>
      </c>
      <c r="L116" s="310" t="str">
        <f t="shared" si="111"/>
        <v/>
      </c>
      <c r="M116" s="310"/>
      <c r="N116" s="311"/>
    </row>
    <row r="117" spans="1:14">
      <c r="A117" s="253"/>
      <c r="B117" s="254"/>
      <c r="C117" s="299" t="s">
        <v>1516</v>
      </c>
      <c r="D117" s="299">
        <v>1</v>
      </c>
      <c r="E117" s="300">
        <v>3</v>
      </c>
      <c r="F117" s="300">
        <f>E117*D117</f>
        <v>3</v>
      </c>
      <c r="G117" s="299">
        <v>5.4</v>
      </c>
      <c r="H117" s="308"/>
      <c r="I117" s="309"/>
      <c r="J117" s="311" t="str">
        <f t="shared" si="109"/>
        <v/>
      </c>
      <c r="K117" s="311">
        <f t="shared" si="110"/>
        <v>16.2</v>
      </c>
      <c r="L117" s="308"/>
      <c r="M117" s="308"/>
      <c r="N117" s="309"/>
    </row>
    <row r="118" spans="1:14">
      <c r="A118" s="253"/>
      <c r="B118" s="254"/>
      <c r="C118" s="254"/>
      <c r="D118" s="254"/>
      <c r="E118" s="259"/>
      <c r="F118" s="259"/>
      <c r="G118" s="255"/>
      <c r="H118" s="308"/>
      <c r="I118" s="309"/>
      <c r="J118" s="309"/>
      <c r="K118" s="309"/>
      <c r="L118" s="308"/>
      <c r="M118" s="308"/>
      <c r="N118" s="309"/>
    </row>
    <row r="119" spans="1:14" ht="16.5">
      <c r="A119" s="303" t="s">
        <v>1552</v>
      </c>
      <c r="B119" s="254"/>
      <c r="C119" s="254"/>
      <c r="D119" s="254"/>
      <c r="E119" s="259"/>
      <c r="F119" s="259"/>
      <c r="G119" s="255"/>
      <c r="H119" s="308"/>
      <c r="I119" s="309"/>
      <c r="J119" s="309"/>
      <c r="K119" s="309"/>
      <c r="L119" s="308"/>
      <c r="M119" s="308"/>
      <c r="N119" s="309"/>
    </row>
    <row r="120" spans="1:14" s="294" customFormat="1" ht="16.5" customHeight="1">
      <c r="A120" s="297" t="s">
        <v>1515</v>
      </c>
      <c r="B120" s="298"/>
      <c r="C120" s="299" t="s">
        <v>1519</v>
      </c>
      <c r="D120" s="299">
        <v>1</v>
      </c>
      <c r="E120" s="300">
        <v>3</v>
      </c>
      <c r="F120" s="300">
        <f>E120*D120</f>
        <v>3</v>
      </c>
      <c r="G120" s="299">
        <f>(2.75)+17*0.014*2</f>
        <v>3.226</v>
      </c>
      <c r="H120" s="310" t="str">
        <f t="shared" ref="H120:H125" si="122">IF(C120="T6",G120*F120,"")</f>
        <v/>
      </c>
      <c r="I120" s="311" t="str">
        <f t="shared" ref="I120:I125" si="123">IF(C120="T8",F120*G120,"")</f>
        <v/>
      </c>
      <c r="J120" s="311">
        <f t="shared" ref="J120:J125" si="124">IF(C120="T10",F120*G120,"")</f>
        <v>9.68</v>
      </c>
      <c r="K120" s="311" t="str">
        <f t="shared" ref="K120:K125" si="125">IF(C120="T12",F120*G120,"")</f>
        <v/>
      </c>
      <c r="L120" s="310" t="str">
        <f t="shared" ref="L120:L125" si="126">IF(C120="T14",F120*G120,"")</f>
        <v/>
      </c>
      <c r="M120" s="310" t="str">
        <f t="shared" ref="M120:M125" si="127">IF(C120="T16",G120*F120,"")</f>
        <v/>
      </c>
      <c r="N120" s="311" t="str">
        <f t="shared" ref="N120:N125" si="128">IF(C120="T20",G120*F120,"")</f>
        <v/>
      </c>
    </row>
    <row r="121" spans="1:14" s="294" customFormat="1">
      <c r="A121" s="297" t="s">
        <v>1515</v>
      </c>
      <c r="B121" s="298"/>
      <c r="C121" s="299" t="s">
        <v>1492</v>
      </c>
      <c r="D121" s="299">
        <v>1</v>
      </c>
      <c r="E121" s="300">
        <v>3</v>
      </c>
      <c r="F121" s="300">
        <f>E121*D121</f>
        <v>3</v>
      </c>
      <c r="G121" s="299">
        <f>(2.75)+17*0.014*2</f>
        <v>3.226</v>
      </c>
      <c r="H121" s="310" t="str">
        <f t="shared" si="122"/>
        <v/>
      </c>
      <c r="I121" s="311" t="str">
        <f t="shared" si="123"/>
        <v/>
      </c>
      <c r="J121" s="311" t="str">
        <f t="shared" si="124"/>
        <v/>
      </c>
      <c r="K121" s="311" t="str">
        <f t="shared" si="125"/>
        <v/>
      </c>
      <c r="L121" s="310">
        <f t="shared" si="126"/>
        <v>9.68</v>
      </c>
      <c r="M121" s="310" t="str">
        <f t="shared" si="127"/>
        <v/>
      </c>
      <c r="N121" s="311" t="str">
        <f t="shared" si="128"/>
        <v/>
      </c>
    </row>
    <row r="122" spans="1:14" s="294" customFormat="1">
      <c r="A122" s="297" t="s">
        <v>1494</v>
      </c>
      <c r="B122" s="301"/>
      <c r="C122" s="299" t="s">
        <v>1496</v>
      </c>
      <c r="D122" s="299">
        <v>1</v>
      </c>
      <c r="E122" s="300">
        <f>9+10+9</f>
        <v>28</v>
      </c>
      <c r="F122" s="300">
        <f t="shared" ref="F122:F123" si="129">E122*D122</f>
        <v>28</v>
      </c>
      <c r="G122" s="302">
        <f>(0.2+0.35)*2+17*0.008*2</f>
        <v>1.37</v>
      </c>
      <c r="H122" s="310" t="str">
        <f t="shared" si="122"/>
        <v/>
      </c>
      <c r="I122" s="311">
        <f t="shared" si="123"/>
        <v>38.36</v>
      </c>
      <c r="J122" s="311" t="str">
        <f t="shared" si="124"/>
        <v/>
      </c>
      <c r="K122" s="311" t="str">
        <f t="shared" si="125"/>
        <v/>
      </c>
      <c r="L122" s="310" t="str">
        <f t="shared" si="126"/>
        <v/>
      </c>
      <c r="M122" s="310" t="str">
        <f t="shared" si="127"/>
        <v/>
      </c>
      <c r="N122" s="311" t="str">
        <f t="shared" si="128"/>
        <v/>
      </c>
    </row>
    <row r="123" spans="1:14" s="294" customFormat="1">
      <c r="A123" s="297" t="s">
        <v>1517</v>
      </c>
      <c r="B123" s="301"/>
      <c r="C123" s="299" t="s">
        <v>1496</v>
      </c>
      <c r="D123" s="299">
        <v>1</v>
      </c>
      <c r="E123" s="300">
        <f>9+10+9</f>
        <v>28</v>
      </c>
      <c r="F123" s="300">
        <f t="shared" si="129"/>
        <v>28</v>
      </c>
      <c r="G123" s="302">
        <f>(0.35*2)+17*0.008*2</f>
        <v>0.97</v>
      </c>
      <c r="H123" s="310" t="str">
        <f t="shared" si="122"/>
        <v/>
      </c>
      <c r="I123" s="311">
        <f t="shared" si="123"/>
        <v>27.16</v>
      </c>
      <c r="J123" s="311" t="str">
        <f t="shared" si="124"/>
        <v/>
      </c>
      <c r="K123" s="311" t="str">
        <f t="shared" si="125"/>
        <v/>
      </c>
      <c r="L123" s="310" t="str">
        <f t="shared" si="126"/>
        <v/>
      </c>
      <c r="M123" s="310" t="str">
        <f t="shared" si="127"/>
        <v/>
      </c>
      <c r="N123" s="311" t="str">
        <f t="shared" si="128"/>
        <v/>
      </c>
    </row>
    <row r="124" spans="1:14" s="294" customFormat="1">
      <c r="A124" s="297" t="s">
        <v>1518</v>
      </c>
      <c r="B124" s="306"/>
      <c r="C124" s="299" t="s">
        <v>1516</v>
      </c>
      <c r="D124" s="299">
        <v>1</v>
      </c>
      <c r="E124" s="300">
        <v>3</v>
      </c>
      <c r="F124" s="300">
        <f>E124*D124</f>
        <v>3</v>
      </c>
      <c r="G124" s="302">
        <v>1</v>
      </c>
      <c r="H124" s="310" t="str">
        <f t="shared" si="122"/>
        <v/>
      </c>
      <c r="I124" s="311" t="str">
        <f t="shared" si="123"/>
        <v/>
      </c>
      <c r="J124" s="311" t="str">
        <f t="shared" si="124"/>
        <v/>
      </c>
      <c r="K124" s="311">
        <f t="shared" si="125"/>
        <v>3</v>
      </c>
      <c r="L124" s="310" t="str">
        <f t="shared" si="126"/>
        <v/>
      </c>
      <c r="M124" s="310" t="str">
        <f t="shared" si="127"/>
        <v/>
      </c>
      <c r="N124" s="311" t="str">
        <f t="shared" si="128"/>
        <v/>
      </c>
    </row>
    <row r="125" spans="1:14">
      <c r="A125" s="297" t="s">
        <v>1520</v>
      </c>
      <c r="B125" s="254"/>
      <c r="C125" s="299" t="s">
        <v>1492</v>
      </c>
      <c r="D125" s="299">
        <v>1</v>
      </c>
      <c r="E125" s="300">
        <v>3</v>
      </c>
      <c r="F125" s="300">
        <f>E125*D125</f>
        <v>3</v>
      </c>
      <c r="G125" s="302">
        <v>3.5</v>
      </c>
      <c r="H125" s="310" t="str">
        <f t="shared" si="122"/>
        <v/>
      </c>
      <c r="I125" s="311" t="str">
        <f t="shared" si="123"/>
        <v/>
      </c>
      <c r="J125" s="311" t="str">
        <f t="shared" si="124"/>
        <v/>
      </c>
      <c r="K125" s="311" t="str">
        <f t="shared" si="125"/>
        <v/>
      </c>
      <c r="L125" s="310">
        <f t="shared" si="126"/>
        <v>10.5</v>
      </c>
      <c r="M125" s="310" t="str">
        <f t="shared" si="127"/>
        <v/>
      </c>
      <c r="N125" s="311" t="str">
        <f t="shared" si="128"/>
        <v/>
      </c>
    </row>
    <row r="126" spans="1:14">
      <c r="A126" s="253"/>
      <c r="B126" s="254"/>
      <c r="C126" s="254"/>
      <c r="D126" s="254"/>
      <c r="E126" s="259"/>
      <c r="F126" s="259"/>
      <c r="G126" s="255"/>
      <c r="H126" s="308"/>
      <c r="I126" s="309"/>
      <c r="J126" s="309"/>
      <c r="K126" s="309"/>
      <c r="L126" s="308"/>
      <c r="M126" s="308"/>
      <c r="N126" s="309"/>
    </row>
    <row r="127" spans="1:14" ht="16.5">
      <c r="A127" s="303" t="s">
        <v>1528</v>
      </c>
      <c r="B127" s="254"/>
      <c r="C127" s="254"/>
      <c r="D127" s="254"/>
      <c r="E127" s="259"/>
      <c r="F127" s="259"/>
      <c r="G127" s="255"/>
      <c r="H127" s="308"/>
      <c r="I127" s="309"/>
      <c r="J127" s="309"/>
      <c r="K127" s="309"/>
      <c r="L127" s="308"/>
      <c r="M127" s="308"/>
      <c r="N127" s="309"/>
    </row>
    <row r="128" spans="1:14" s="294" customFormat="1" ht="16.5" customHeight="1">
      <c r="A128" s="297" t="s">
        <v>1515</v>
      </c>
      <c r="B128" s="298"/>
      <c r="C128" s="299" t="s">
        <v>1519</v>
      </c>
      <c r="D128" s="299">
        <v>1</v>
      </c>
      <c r="E128" s="300">
        <v>3</v>
      </c>
      <c r="F128" s="300">
        <f>E128*D128</f>
        <v>3</v>
      </c>
      <c r="G128" s="299">
        <f>(2.75)+17*0.014*2</f>
        <v>3.226</v>
      </c>
      <c r="H128" s="310" t="str">
        <f t="shared" ref="H128:H133" si="130">IF(C128="T6",G128*F128,"")</f>
        <v/>
      </c>
      <c r="I128" s="311" t="str">
        <f t="shared" ref="I128:I133" si="131">IF(C128="T8",F128*G128,"")</f>
        <v/>
      </c>
      <c r="J128" s="311">
        <f t="shared" ref="J128:J133" si="132">IF(C128="T10",F128*G128,"")</f>
        <v>9.68</v>
      </c>
      <c r="K128" s="311" t="str">
        <f t="shared" ref="K128:K133" si="133">IF(C128="T12",F128*G128,"")</f>
        <v/>
      </c>
      <c r="L128" s="310" t="str">
        <f t="shared" ref="L128:L133" si="134">IF(C128="T14",F128*G128,"")</f>
        <v/>
      </c>
      <c r="M128" s="310" t="str">
        <f t="shared" ref="M128:M133" si="135">IF(C128="T16",G128*F128,"")</f>
        <v/>
      </c>
      <c r="N128" s="311" t="str">
        <f t="shared" ref="N128:N133" si="136">IF(C128="T20",G128*F128,"")</f>
        <v/>
      </c>
    </row>
    <row r="129" spans="1:14" s="294" customFormat="1">
      <c r="A129" s="297" t="s">
        <v>1515</v>
      </c>
      <c r="B129" s="298"/>
      <c r="C129" s="299" t="s">
        <v>1492</v>
      </c>
      <c r="D129" s="299">
        <v>1</v>
      </c>
      <c r="E129" s="300">
        <v>3</v>
      </c>
      <c r="F129" s="300">
        <f>E129*D129</f>
        <v>3</v>
      </c>
      <c r="G129" s="299">
        <f>(2.75)+17*0.014*2</f>
        <v>3.226</v>
      </c>
      <c r="H129" s="310" t="str">
        <f t="shared" si="130"/>
        <v/>
      </c>
      <c r="I129" s="311" t="str">
        <f t="shared" si="131"/>
        <v/>
      </c>
      <c r="J129" s="311" t="str">
        <f t="shared" si="132"/>
        <v/>
      </c>
      <c r="K129" s="311" t="str">
        <f t="shared" si="133"/>
        <v/>
      </c>
      <c r="L129" s="310">
        <f t="shared" si="134"/>
        <v>9.68</v>
      </c>
      <c r="M129" s="310" t="str">
        <f t="shared" si="135"/>
        <v/>
      </c>
      <c r="N129" s="311" t="str">
        <f t="shared" si="136"/>
        <v/>
      </c>
    </row>
    <row r="130" spans="1:14" s="294" customFormat="1">
      <c r="A130" s="297" t="s">
        <v>1494</v>
      </c>
      <c r="B130" s="301"/>
      <c r="C130" s="299" t="s">
        <v>1496</v>
      </c>
      <c r="D130" s="299">
        <v>1</v>
      </c>
      <c r="E130" s="300">
        <f>9+10+9</f>
        <v>28</v>
      </c>
      <c r="F130" s="300">
        <f t="shared" ref="F130:F131" si="137">E130*D130</f>
        <v>28</v>
      </c>
      <c r="G130" s="302">
        <f>(0.2+0.35)*2+17*0.008*2</f>
        <v>1.37</v>
      </c>
      <c r="H130" s="310" t="str">
        <f t="shared" si="130"/>
        <v/>
      </c>
      <c r="I130" s="311">
        <f t="shared" si="131"/>
        <v>38.36</v>
      </c>
      <c r="J130" s="311" t="str">
        <f t="shared" si="132"/>
        <v/>
      </c>
      <c r="K130" s="311" t="str">
        <f t="shared" si="133"/>
        <v/>
      </c>
      <c r="L130" s="310" t="str">
        <f t="shared" si="134"/>
        <v/>
      </c>
      <c r="M130" s="310" t="str">
        <f t="shared" si="135"/>
        <v/>
      </c>
      <c r="N130" s="311" t="str">
        <f t="shared" si="136"/>
        <v/>
      </c>
    </row>
    <row r="131" spans="1:14" s="294" customFormat="1">
      <c r="A131" s="297" t="s">
        <v>1517</v>
      </c>
      <c r="B131" s="301"/>
      <c r="C131" s="299" t="s">
        <v>1496</v>
      </c>
      <c r="D131" s="299">
        <v>1</v>
      </c>
      <c r="E131" s="300">
        <f>9+10+9</f>
        <v>28</v>
      </c>
      <c r="F131" s="300">
        <f t="shared" si="137"/>
        <v>28</v>
      </c>
      <c r="G131" s="302">
        <f>(0.35*2)+17*0.008*2</f>
        <v>0.97</v>
      </c>
      <c r="H131" s="310" t="str">
        <f t="shared" si="130"/>
        <v/>
      </c>
      <c r="I131" s="311">
        <f t="shared" si="131"/>
        <v>27.16</v>
      </c>
      <c r="J131" s="311" t="str">
        <f t="shared" si="132"/>
        <v/>
      </c>
      <c r="K131" s="311" t="str">
        <f t="shared" si="133"/>
        <v/>
      </c>
      <c r="L131" s="310" t="str">
        <f t="shared" si="134"/>
        <v/>
      </c>
      <c r="M131" s="310" t="str">
        <f t="shared" si="135"/>
        <v/>
      </c>
      <c r="N131" s="311" t="str">
        <f t="shared" si="136"/>
        <v/>
      </c>
    </row>
    <row r="132" spans="1:14" s="294" customFormat="1">
      <c r="A132" s="297" t="s">
        <v>1518</v>
      </c>
      <c r="B132" s="306"/>
      <c r="C132" s="299" t="s">
        <v>1516</v>
      </c>
      <c r="D132" s="299">
        <v>1</v>
      </c>
      <c r="E132" s="300">
        <v>3</v>
      </c>
      <c r="F132" s="300">
        <f>E132*D132</f>
        <v>3</v>
      </c>
      <c r="G132" s="302">
        <v>1</v>
      </c>
      <c r="H132" s="310" t="str">
        <f t="shared" si="130"/>
        <v/>
      </c>
      <c r="I132" s="311" t="str">
        <f t="shared" si="131"/>
        <v/>
      </c>
      <c r="J132" s="311" t="str">
        <f t="shared" si="132"/>
        <v/>
      </c>
      <c r="K132" s="311">
        <f t="shared" si="133"/>
        <v>3</v>
      </c>
      <c r="L132" s="310" t="str">
        <f t="shared" si="134"/>
        <v/>
      </c>
      <c r="M132" s="310" t="str">
        <f t="shared" si="135"/>
        <v/>
      </c>
      <c r="N132" s="311" t="str">
        <f t="shared" si="136"/>
        <v/>
      </c>
    </row>
    <row r="133" spans="1:14">
      <c r="A133" s="297" t="s">
        <v>1520</v>
      </c>
      <c r="B133" s="254"/>
      <c r="C133" s="299" t="s">
        <v>1492</v>
      </c>
      <c r="D133" s="299">
        <v>1</v>
      </c>
      <c r="E133" s="300">
        <v>3</v>
      </c>
      <c r="F133" s="300">
        <f>E133*D133</f>
        <v>3</v>
      </c>
      <c r="G133" s="302">
        <v>3.5</v>
      </c>
      <c r="H133" s="310" t="str">
        <f t="shared" si="130"/>
        <v/>
      </c>
      <c r="I133" s="311" t="str">
        <f t="shared" si="131"/>
        <v/>
      </c>
      <c r="J133" s="311" t="str">
        <f t="shared" si="132"/>
        <v/>
      </c>
      <c r="K133" s="311" t="str">
        <f t="shared" si="133"/>
        <v/>
      </c>
      <c r="L133" s="310">
        <f t="shared" si="134"/>
        <v>10.5</v>
      </c>
      <c r="M133" s="310" t="str">
        <f t="shared" si="135"/>
        <v/>
      </c>
      <c r="N133" s="311" t="str">
        <f t="shared" si="136"/>
        <v/>
      </c>
    </row>
    <row r="134" spans="1:14">
      <c r="A134" s="253"/>
      <c r="B134" s="254"/>
      <c r="C134" s="254"/>
      <c r="D134" s="254"/>
      <c r="E134" s="259"/>
      <c r="F134" s="259"/>
      <c r="G134" s="255"/>
      <c r="H134" s="308"/>
      <c r="I134" s="309"/>
      <c r="J134" s="309"/>
      <c r="K134" s="309"/>
      <c r="L134" s="308"/>
      <c r="M134" s="308"/>
      <c r="N134" s="309"/>
    </row>
    <row r="135" spans="1:14" ht="16.5">
      <c r="A135" s="303" t="s">
        <v>1529</v>
      </c>
      <c r="B135" s="254"/>
      <c r="C135" s="254"/>
      <c r="D135" s="254"/>
      <c r="E135" s="259"/>
      <c r="F135" s="259"/>
      <c r="G135" s="255"/>
      <c r="H135" s="308"/>
      <c r="I135" s="309"/>
      <c r="J135" s="309"/>
      <c r="K135" s="309"/>
      <c r="L135" s="308"/>
      <c r="M135" s="308"/>
      <c r="N135" s="309"/>
    </row>
    <row r="136" spans="1:14" s="294" customFormat="1">
      <c r="A136" s="297" t="s">
        <v>1515</v>
      </c>
      <c r="B136" s="298"/>
      <c r="C136" s="299" t="s">
        <v>1519</v>
      </c>
      <c r="D136" s="299">
        <v>1</v>
      </c>
      <c r="E136" s="300">
        <v>3</v>
      </c>
      <c r="F136" s="300">
        <f>E136*D136</f>
        <v>3</v>
      </c>
      <c r="G136" s="299">
        <f>(4.25)+17*0.01*2</f>
        <v>4.59</v>
      </c>
      <c r="H136" s="310" t="str">
        <f t="shared" ref="H136:H142" si="138">IF(C136="T6",G136*F136,"")</f>
        <v/>
      </c>
      <c r="I136" s="311" t="str">
        <f t="shared" ref="I136:I142" si="139">IF(C136="T8",F136*G136,"")</f>
        <v/>
      </c>
      <c r="J136" s="311">
        <f t="shared" ref="J136:J142" si="140">IF(C136="T10",F136*G136,"")</f>
        <v>13.77</v>
      </c>
      <c r="K136" s="311" t="str">
        <f t="shared" ref="K136:K142" si="141">IF(C136="T12",F136*G136,"")</f>
        <v/>
      </c>
      <c r="L136" s="310" t="str">
        <f t="shared" ref="L136:L142" si="142">IF(C136="T14",F136*G136,"")</f>
        <v/>
      </c>
      <c r="M136" s="310" t="str">
        <f t="shared" ref="M136:M142" si="143">IF(C136="T16",G136*F136,"")</f>
        <v/>
      </c>
      <c r="N136" s="311" t="str">
        <f t="shared" ref="N136:N142" si="144">IF(C136="T20",G136*F136,"")</f>
        <v/>
      </c>
    </row>
    <row r="137" spans="1:14" s="294" customFormat="1">
      <c r="A137" s="297" t="s">
        <v>1515</v>
      </c>
      <c r="B137" s="298"/>
      <c r="C137" s="299" t="s">
        <v>1516</v>
      </c>
      <c r="D137" s="299">
        <v>1</v>
      </c>
      <c r="E137" s="300">
        <v>3</v>
      </c>
      <c r="F137" s="300">
        <f>E137*D137</f>
        <v>3</v>
      </c>
      <c r="G137" s="302">
        <f>(4.25)+17*0.012*2</f>
        <v>4.66</v>
      </c>
      <c r="H137" s="310" t="str">
        <f t="shared" si="138"/>
        <v/>
      </c>
      <c r="I137" s="311" t="str">
        <f t="shared" si="139"/>
        <v/>
      </c>
      <c r="J137" s="311" t="str">
        <f t="shared" si="140"/>
        <v/>
      </c>
      <c r="K137" s="311">
        <f t="shared" si="141"/>
        <v>13.98</v>
      </c>
      <c r="L137" s="310" t="str">
        <f t="shared" si="142"/>
        <v/>
      </c>
      <c r="M137" s="310" t="str">
        <f t="shared" si="143"/>
        <v/>
      </c>
      <c r="N137" s="311" t="str">
        <f t="shared" si="144"/>
        <v/>
      </c>
    </row>
    <row r="138" spans="1:14" s="294" customFormat="1">
      <c r="A138" s="297"/>
      <c r="B138" s="298"/>
      <c r="C138" s="299" t="s">
        <v>1516</v>
      </c>
      <c r="D138" s="299">
        <v>1</v>
      </c>
      <c r="E138" s="300">
        <v>2</v>
      </c>
      <c r="F138" s="300">
        <f>E138*D138</f>
        <v>2</v>
      </c>
      <c r="G138" s="302">
        <v>4.25</v>
      </c>
      <c r="H138" s="310" t="str">
        <f t="shared" ref="H138" si="145">IF(C138="T6",G138*F138,"")</f>
        <v/>
      </c>
      <c r="I138" s="311" t="str">
        <f t="shared" ref="I138" si="146">IF(C138="T8",F138*G138,"")</f>
        <v/>
      </c>
      <c r="J138" s="311" t="str">
        <f t="shared" ref="J138" si="147">IF(C138="T10",F138*G138,"")</f>
        <v/>
      </c>
      <c r="K138" s="311">
        <f t="shared" ref="K138" si="148">IF(C138="T12",F138*G138,"")</f>
        <v>8.5</v>
      </c>
      <c r="L138" s="310" t="str">
        <f t="shared" ref="L138" si="149">IF(C138="T14",F138*G138,"")</f>
        <v/>
      </c>
      <c r="M138" s="310" t="str">
        <f t="shared" ref="M138" si="150">IF(C138="T16",G138*F138,"")</f>
        <v/>
      </c>
      <c r="N138" s="311" t="str">
        <f t="shared" ref="N138" si="151">IF(C138="T20",G138*F138,"")</f>
        <v/>
      </c>
    </row>
    <row r="139" spans="1:14" s="294" customFormat="1">
      <c r="A139" s="297" t="s">
        <v>1494</v>
      </c>
      <c r="B139" s="301"/>
      <c r="C139" s="299" t="s">
        <v>1496</v>
      </c>
      <c r="D139" s="299">
        <v>1</v>
      </c>
      <c r="E139" s="300">
        <f>13+20+13</f>
        <v>46</v>
      </c>
      <c r="F139" s="300">
        <f t="shared" ref="F139:F140" si="152">E139*D139</f>
        <v>46</v>
      </c>
      <c r="G139" s="302">
        <f>(0.2+0.4)*2+17*0.008*2</f>
        <v>1.47</v>
      </c>
      <c r="H139" s="310" t="str">
        <f t="shared" si="138"/>
        <v/>
      </c>
      <c r="I139" s="311">
        <f t="shared" si="139"/>
        <v>67.62</v>
      </c>
      <c r="J139" s="311" t="str">
        <f t="shared" si="140"/>
        <v/>
      </c>
      <c r="K139" s="311" t="str">
        <f t="shared" si="141"/>
        <v/>
      </c>
      <c r="L139" s="310" t="str">
        <f t="shared" si="142"/>
        <v/>
      </c>
      <c r="M139" s="310" t="str">
        <f t="shared" si="143"/>
        <v/>
      </c>
      <c r="N139" s="311" t="str">
        <f t="shared" si="144"/>
        <v/>
      </c>
    </row>
    <row r="140" spans="1:14" s="294" customFormat="1">
      <c r="A140" s="297" t="s">
        <v>1517</v>
      </c>
      <c r="B140" s="301"/>
      <c r="C140" s="299" t="s">
        <v>1496</v>
      </c>
      <c r="D140" s="299">
        <v>1</v>
      </c>
      <c r="E140" s="300">
        <f>13+20+13</f>
        <v>46</v>
      </c>
      <c r="F140" s="300">
        <f t="shared" si="152"/>
        <v>46</v>
      </c>
      <c r="G140" s="302">
        <f>(0.4*2)+17*0.008*2</f>
        <v>1.07</v>
      </c>
      <c r="H140" s="310" t="str">
        <f t="shared" si="138"/>
        <v/>
      </c>
      <c r="I140" s="311">
        <f t="shared" si="139"/>
        <v>49.22</v>
      </c>
      <c r="J140" s="311" t="str">
        <f t="shared" si="140"/>
        <v/>
      </c>
      <c r="K140" s="311" t="str">
        <f t="shared" si="141"/>
        <v/>
      </c>
      <c r="L140" s="310" t="str">
        <f t="shared" si="142"/>
        <v/>
      </c>
      <c r="M140" s="310" t="str">
        <f t="shared" si="143"/>
        <v/>
      </c>
      <c r="N140" s="311" t="str">
        <f t="shared" si="144"/>
        <v/>
      </c>
    </row>
    <row r="141" spans="1:14" s="294" customFormat="1">
      <c r="A141" s="297" t="s">
        <v>1518</v>
      </c>
      <c r="B141" s="301"/>
      <c r="C141" s="299" t="s">
        <v>1519</v>
      </c>
      <c r="D141" s="299">
        <v>1</v>
      </c>
      <c r="E141" s="300">
        <v>3</v>
      </c>
      <c r="F141" s="300">
        <f>E141*D141</f>
        <v>3</v>
      </c>
      <c r="G141" s="302">
        <v>3.5</v>
      </c>
      <c r="H141" s="310" t="str">
        <f t="shared" si="138"/>
        <v/>
      </c>
      <c r="I141" s="311" t="str">
        <f t="shared" si="139"/>
        <v/>
      </c>
      <c r="J141" s="311">
        <f t="shared" si="140"/>
        <v>10.5</v>
      </c>
      <c r="K141" s="311" t="str">
        <f t="shared" si="141"/>
        <v/>
      </c>
      <c r="L141" s="310" t="str">
        <f t="shared" si="142"/>
        <v/>
      </c>
      <c r="M141" s="310" t="str">
        <f t="shared" si="143"/>
        <v/>
      </c>
      <c r="N141" s="311" t="str">
        <f t="shared" si="144"/>
        <v/>
      </c>
    </row>
    <row r="142" spans="1:14">
      <c r="A142" s="297" t="s">
        <v>1520</v>
      </c>
      <c r="B142" s="254"/>
      <c r="C142" s="299" t="s">
        <v>1492</v>
      </c>
      <c r="D142" s="299">
        <v>1</v>
      </c>
      <c r="E142" s="300">
        <v>3</v>
      </c>
      <c r="F142" s="300">
        <f>E142*D142</f>
        <v>3</v>
      </c>
      <c r="G142" s="302">
        <v>3</v>
      </c>
      <c r="H142" s="310" t="str">
        <f t="shared" si="138"/>
        <v/>
      </c>
      <c r="I142" s="311" t="str">
        <f t="shared" si="139"/>
        <v/>
      </c>
      <c r="J142" s="311" t="str">
        <f t="shared" si="140"/>
        <v/>
      </c>
      <c r="K142" s="311" t="str">
        <f t="shared" si="141"/>
        <v/>
      </c>
      <c r="L142" s="310">
        <f t="shared" si="142"/>
        <v>9</v>
      </c>
      <c r="M142" s="310" t="str">
        <f t="shared" si="143"/>
        <v/>
      </c>
      <c r="N142" s="311" t="str">
        <f t="shared" si="144"/>
        <v/>
      </c>
    </row>
    <row r="143" spans="1:14">
      <c r="A143" s="253"/>
      <c r="B143" s="254"/>
      <c r="C143" s="254"/>
      <c r="D143" s="254"/>
      <c r="E143" s="259"/>
      <c r="F143" s="259"/>
      <c r="G143" s="255"/>
      <c r="H143" s="308"/>
      <c r="I143" s="309"/>
      <c r="J143" s="309"/>
      <c r="K143" s="309"/>
      <c r="L143" s="308"/>
      <c r="M143" s="308"/>
      <c r="N143" s="309"/>
    </row>
    <row r="144" spans="1:14" ht="16.5">
      <c r="A144" s="303" t="s">
        <v>1530</v>
      </c>
      <c r="B144" s="254"/>
      <c r="C144" s="254"/>
      <c r="D144" s="254"/>
      <c r="E144" s="259"/>
      <c r="F144" s="259"/>
      <c r="G144" s="255"/>
      <c r="H144" s="308"/>
      <c r="I144" s="309"/>
      <c r="J144" s="309"/>
      <c r="K144" s="309"/>
      <c r="L144" s="308"/>
      <c r="M144" s="308"/>
      <c r="N144" s="309"/>
    </row>
    <row r="145" spans="1:14" s="294" customFormat="1">
      <c r="A145" s="297" t="s">
        <v>1515</v>
      </c>
      <c r="B145" s="298"/>
      <c r="C145" s="299" t="s">
        <v>1519</v>
      </c>
      <c r="D145" s="299">
        <v>1</v>
      </c>
      <c r="E145" s="300">
        <v>3</v>
      </c>
      <c r="F145" s="300">
        <f>E145*D145</f>
        <v>3</v>
      </c>
      <c r="G145" s="299">
        <f>(4.25)+17*0.01*2</f>
        <v>4.59</v>
      </c>
      <c r="H145" s="310" t="str">
        <f t="shared" ref="H145:H151" si="153">IF(C145="T6",G145*F145,"")</f>
        <v/>
      </c>
      <c r="I145" s="311" t="str">
        <f t="shared" ref="I145:I151" si="154">IF(C145="T8",F145*G145,"")</f>
        <v/>
      </c>
      <c r="J145" s="311">
        <f t="shared" ref="J145:J151" si="155">IF(C145="T10",F145*G145,"")</f>
        <v>13.77</v>
      </c>
      <c r="K145" s="311" t="str">
        <f t="shared" ref="K145:K151" si="156">IF(C145="T12",F145*G145,"")</f>
        <v/>
      </c>
      <c r="L145" s="310" t="str">
        <f t="shared" ref="L145:L151" si="157">IF(C145="T14",F145*G145,"")</f>
        <v/>
      </c>
      <c r="M145" s="310" t="str">
        <f t="shared" ref="M145:M151" si="158">IF(C145="T16",G145*F145,"")</f>
        <v/>
      </c>
      <c r="N145" s="311" t="str">
        <f t="shared" ref="N145:N151" si="159">IF(C145="T20",G145*F145,"")</f>
        <v/>
      </c>
    </row>
    <row r="146" spans="1:14" s="294" customFormat="1">
      <c r="A146" s="297" t="s">
        <v>1515</v>
      </c>
      <c r="B146" s="298"/>
      <c r="C146" s="299" t="s">
        <v>1516</v>
      </c>
      <c r="D146" s="299">
        <v>1</v>
      </c>
      <c r="E146" s="300">
        <v>3</v>
      </c>
      <c r="F146" s="300">
        <f>E146*D146</f>
        <v>3</v>
      </c>
      <c r="G146" s="302">
        <f>(4.25)+17*0.012*2</f>
        <v>4.66</v>
      </c>
      <c r="H146" s="310" t="str">
        <f t="shared" si="153"/>
        <v/>
      </c>
      <c r="I146" s="311" t="str">
        <f t="shared" si="154"/>
        <v/>
      </c>
      <c r="J146" s="311" t="str">
        <f t="shared" si="155"/>
        <v/>
      </c>
      <c r="K146" s="311">
        <f t="shared" si="156"/>
        <v>13.98</v>
      </c>
      <c r="L146" s="310" t="str">
        <f t="shared" si="157"/>
        <v/>
      </c>
      <c r="M146" s="310" t="str">
        <f t="shared" si="158"/>
        <v/>
      </c>
      <c r="N146" s="311" t="str">
        <f t="shared" si="159"/>
        <v/>
      </c>
    </row>
    <row r="147" spans="1:14" s="294" customFormat="1">
      <c r="A147" s="297"/>
      <c r="B147" s="298"/>
      <c r="C147" s="299" t="s">
        <v>1516</v>
      </c>
      <c r="D147" s="299">
        <v>1</v>
      </c>
      <c r="E147" s="300">
        <v>2</v>
      </c>
      <c r="F147" s="300">
        <f>E147*D147</f>
        <v>2</v>
      </c>
      <c r="G147" s="302">
        <v>4.25</v>
      </c>
      <c r="H147" s="310" t="str">
        <f t="shared" si="153"/>
        <v/>
      </c>
      <c r="I147" s="311" t="str">
        <f t="shared" si="154"/>
        <v/>
      </c>
      <c r="J147" s="311" t="str">
        <f t="shared" si="155"/>
        <v/>
      </c>
      <c r="K147" s="311">
        <f t="shared" si="156"/>
        <v>8.5</v>
      </c>
      <c r="L147" s="310" t="str">
        <f t="shared" si="157"/>
        <v/>
      </c>
      <c r="M147" s="310" t="str">
        <f t="shared" si="158"/>
        <v/>
      </c>
      <c r="N147" s="311" t="str">
        <f t="shared" si="159"/>
        <v/>
      </c>
    </row>
    <row r="148" spans="1:14" s="294" customFormat="1">
      <c r="A148" s="297" t="s">
        <v>1494</v>
      </c>
      <c r="B148" s="301"/>
      <c r="C148" s="299" t="s">
        <v>1496</v>
      </c>
      <c r="D148" s="299">
        <v>1</v>
      </c>
      <c r="E148" s="300">
        <f>13+20+13</f>
        <v>46</v>
      </c>
      <c r="F148" s="300">
        <f t="shared" ref="F148:F149" si="160">E148*D148</f>
        <v>46</v>
      </c>
      <c r="G148" s="302">
        <f>(0.2+0.4)*2+17*0.008*2</f>
        <v>1.47</v>
      </c>
      <c r="H148" s="310" t="str">
        <f t="shared" si="153"/>
        <v/>
      </c>
      <c r="I148" s="311">
        <f t="shared" si="154"/>
        <v>67.62</v>
      </c>
      <c r="J148" s="311" t="str">
        <f t="shared" si="155"/>
        <v/>
      </c>
      <c r="K148" s="311" t="str">
        <f t="shared" si="156"/>
        <v/>
      </c>
      <c r="L148" s="310" t="str">
        <f t="shared" si="157"/>
        <v/>
      </c>
      <c r="M148" s="310" t="str">
        <f t="shared" si="158"/>
        <v/>
      </c>
      <c r="N148" s="311" t="str">
        <f t="shared" si="159"/>
        <v/>
      </c>
    </row>
    <row r="149" spans="1:14" s="294" customFormat="1">
      <c r="A149" s="297" t="s">
        <v>1517</v>
      </c>
      <c r="B149" s="301"/>
      <c r="C149" s="299" t="s">
        <v>1496</v>
      </c>
      <c r="D149" s="299">
        <v>1</v>
      </c>
      <c r="E149" s="300">
        <f>13+20+13</f>
        <v>46</v>
      </c>
      <c r="F149" s="300">
        <f t="shared" si="160"/>
        <v>46</v>
      </c>
      <c r="G149" s="302">
        <f>(0.4*2)+17*0.008*2</f>
        <v>1.07</v>
      </c>
      <c r="H149" s="310" t="str">
        <f t="shared" si="153"/>
        <v/>
      </c>
      <c r="I149" s="311">
        <f t="shared" si="154"/>
        <v>49.22</v>
      </c>
      <c r="J149" s="311" t="str">
        <f t="shared" si="155"/>
        <v/>
      </c>
      <c r="K149" s="311" t="str">
        <f t="shared" si="156"/>
        <v/>
      </c>
      <c r="L149" s="310" t="str">
        <f t="shared" si="157"/>
        <v/>
      </c>
      <c r="M149" s="310" t="str">
        <f t="shared" si="158"/>
        <v/>
      </c>
      <c r="N149" s="311" t="str">
        <f t="shared" si="159"/>
        <v/>
      </c>
    </row>
    <row r="150" spans="1:14" s="294" customFormat="1">
      <c r="A150" s="297" t="s">
        <v>1518</v>
      </c>
      <c r="B150" s="301"/>
      <c r="C150" s="299" t="s">
        <v>1519</v>
      </c>
      <c r="D150" s="299">
        <v>1</v>
      </c>
      <c r="E150" s="300">
        <v>3</v>
      </c>
      <c r="F150" s="300">
        <f>E150*D150</f>
        <v>3</v>
      </c>
      <c r="G150" s="302">
        <v>3.5</v>
      </c>
      <c r="H150" s="310" t="str">
        <f t="shared" si="153"/>
        <v/>
      </c>
      <c r="I150" s="311" t="str">
        <f t="shared" si="154"/>
        <v/>
      </c>
      <c r="J150" s="311">
        <f t="shared" si="155"/>
        <v>10.5</v>
      </c>
      <c r="K150" s="311" t="str">
        <f t="shared" si="156"/>
        <v/>
      </c>
      <c r="L150" s="310" t="str">
        <f t="shared" si="157"/>
        <v/>
      </c>
      <c r="M150" s="310" t="str">
        <f t="shared" si="158"/>
        <v/>
      </c>
      <c r="N150" s="311" t="str">
        <f t="shared" si="159"/>
        <v/>
      </c>
    </row>
    <row r="151" spans="1:14">
      <c r="A151" s="297" t="s">
        <v>1520</v>
      </c>
      <c r="B151" s="254"/>
      <c r="C151" s="299" t="s">
        <v>1492</v>
      </c>
      <c r="D151" s="299">
        <v>1</v>
      </c>
      <c r="E151" s="300">
        <v>3</v>
      </c>
      <c r="F151" s="300">
        <f>E151*D151</f>
        <v>3</v>
      </c>
      <c r="G151" s="302">
        <v>3</v>
      </c>
      <c r="H151" s="310" t="str">
        <f t="shared" si="153"/>
        <v/>
      </c>
      <c r="I151" s="311" t="str">
        <f t="shared" si="154"/>
        <v/>
      </c>
      <c r="J151" s="311" t="str">
        <f t="shared" si="155"/>
        <v/>
      </c>
      <c r="K151" s="311" t="str">
        <f t="shared" si="156"/>
        <v/>
      </c>
      <c r="L151" s="310">
        <f t="shared" si="157"/>
        <v>9</v>
      </c>
      <c r="M151" s="310" t="str">
        <f t="shared" si="158"/>
        <v/>
      </c>
      <c r="N151" s="311" t="str">
        <f t="shared" si="159"/>
        <v/>
      </c>
    </row>
    <row r="152" spans="1:14">
      <c r="A152" s="253"/>
      <c r="B152" s="254"/>
      <c r="C152" s="254"/>
      <c r="D152" s="254"/>
      <c r="E152" s="259"/>
      <c r="F152" s="259"/>
      <c r="G152" s="255"/>
      <c r="H152" s="308"/>
      <c r="I152" s="309"/>
      <c r="J152" s="309"/>
      <c r="K152" s="309"/>
      <c r="L152" s="308"/>
      <c r="M152" s="308"/>
      <c r="N152" s="309"/>
    </row>
    <row r="153" spans="1:14" ht="16.5">
      <c r="A153" s="303" t="s">
        <v>1553</v>
      </c>
      <c r="B153" s="254"/>
      <c r="C153" s="254"/>
      <c r="D153" s="254"/>
      <c r="E153" s="259"/>
      <c r="F153" s="259"/>
      <c r="G153" s="255"/>
      <c r="H153" s="308"/>
      <c r="I153" s="309"/>
      <c r="J153" s="309"/>
      <c r="K153" s="309"/>
      <c r="L153" s="308"/>
      <c r="M153" s="308"/>
      <c r="N153" s="309"/>
    </row>
    <row r="154" spans="1:14" s="294" customFormat="1">
      <c r="A154" s="297" t="s">
        <v>1515</v>
      </c>
      <c r="B154" s="298"/>
      <c r="C154" s="299" t="s">
        <v>1519</v>
      </c>
      <c r="D154" s="299">
        <v>1</v>
      </c>
      <c r="E154" s="300">
        <v>3</v>
      </c>
      <c r="F154" s="300">
        <f>E154*D154</f>
        <v>3</v>
      </c>
      <c r="G154" s="299">
        <f>(4.25)+17*0.01*2</f>
        <v>4.59</v>
      </c>
      <c r="H154" s="310" t="str">
        <f t="shared" ref="H154:H160" si="161">IF(C154="T6",G154*F154,"")</f>
        <v/>
      </c>
      <c r="I154" s="311" t="str">
        <f t="shared" ref="I154:I160" si="162">IF(C154="T8",F154*G154,"")</f>
        <v/>
      </c>
      <c r="J154" s="311">
        <f t="shared" ref="J154:J160" si="163">IF(C154="T10",F154*G154,"")</f>
        <v>13.77</v>
      </c>
      <c r="K154" s="311" t="str">
        <f t="shared" ref="K154:K160" si="164">IF(C154="T12",F154*G154,"")</f>
        <v/>
      </c>
      <c r="L154" s="310" t="str">
        <f t="shared" ref="L154:L160" si="165">IF(C154="T14",F154*G154,"")</f>
        <v/>
      </c>
      <c r="M154" s="310" t="str">
        <f t="shared" ref="M154:M160" si="166">IF(C154="T16",G154*F154,"")</f>
        <v/>
      </c>
      <c r="N154" s="311" t="str">
        <f t="shared" ref="N154:N160" si="167">IF(C154="T20",G154*F154,"")</f>
        <v/>
      </c>
    </row>
    <row r="155" spans="1:14" s="294" customFormat="1">
      <c r="A155" s="297" t="s">
        <v>1515</v>
      </c>
      <c r="B155" s="298"/>
      <c r="C155" s="299" t="s">
        <v>1516</v>
      </c>
      <c r="D155" s="299">
        <v>1</v>
      </c>
      <c r="E155" s="300">
        <v>3</v>
      </c>
      <c r="F155" s="300">
        <f>E155*D155</f>
        <v>3</v>
      </c>
      <c r="G155" s="302">
        <f>(4.25)+17*0.012*2</f>
        <v>4.66</v>
      </c>
      <c r="H155" s="310" t="str">
        <f t="shared" si="161"/>
        <v/>
      </c>
      <c r="I155" s="311" t="str">
        <f t="shared" si="162"/>
        <v/>
      </c>
      <c r="J155" s="311" t="str">
        <f t="shared" si="163"/>
        <v/>
      </c>
      <c r="K155" s="311">
        <f t="shared" si="164"/>
        <v>13.98</v>
      </c>
      <c r="L155" s="310" t="str">
        <f t="shared" si="165"/>
        <v/>
      </c>
      <c r="M155" s="310" t="str">
        <f t="shared" si="166"/>
        <v/>
      </c>
      <c r="N155" s="311" t="str">
        <f t="shared" si="167"/>
        <v/>
      </c>
    </row>
    <row r="156" spans="1:14" s="294" customFormat="1">
      <c r="A156" s="297"/>
      <c r="B156" s="298"/>
      <c r="C156" s="299" t="s">
        <v>1516</v>
      </c>
      <c r="D156" s="299">
        <v>1</v>
      </c>
      <c r="E156" s="300">
        <v>2</v>
      </c>
      <c r="F156" s="300">
        <f>E156*D156</f>
        <v>2</v>
      </c>
      <c r="G156" s="302">
        <v>4.25</v>
      </c>
      <c r="H156" s="310" t="str">
        <f t="shared" si="161"/>
        <v/>
      </c>
      <c r="I156" s="311" t="str">
        <f t="shared" si="162"/>
        <v/>
      </c>
      <c r="J156" s="311" t="str">
        <f t="shared" si="163"/>
        <v/>
      </c>
      <c r="K156" s="311">
        <f t="shared" si="164"/>
        <v>8.5</v>
      </c>
      <c r="L156" s="310" t="str">
        <f t="shared" si="165"/>
        <v/>
      </c>
      <c r="M156" s="310" t="str">
        <f t="shared" si="166"/>
        <v/>
      </c>
      <c r="N156" s="311" t="str">
        <f t="shared" si="167"/>
        <v/>
      </c>
    </row>
    <row r="157" spans="1:14" s="294" customFormat="1">
      <c r="A157" s="297" t="s">
        <v>1494</v>
      </c>
      <c r="B157" s="301"/>
      <c r="C157" s="299" t="s">
        <v>1496</v>
      </c>
      <c r="D157" s="299">
        <v>1</v>
      </c>
      <c r="E157" s="300">
        <f>13+20+13</f>
        <v>46</v>
      </c>
      <c r="F157" s="300">
        <f t="shared" ref="F157:F158" si="168">E157*D157</f>
        <v>46</v>
      </c>
      <c r="G157" s="302">
        <f>(0.2+0.4)*2+17*0.008*2</f>
        <v>1.47</v>
      </c>
      <c r="H157" s="310" t="str">
        <f t="shared" si="161"/>
        <v/>
      </c>
      <c r="I157" s="311">
        <f t="shared" si="162"/>
        <v>67.62</v>
      </c>
      <c r="J157" s="311" t="str">
        <f t="shared" si="163"/>
        <v/>
      </c>
      <c r="K157" s="311" t="str">
        <f t="shared" si="164"/>
        <v/>
      </c>
      <c r="L157" s="310" t="str">
        <f t="shared" si="165"/>
        <v/>
      </c>
      <c r="M157" s="310" t="str">
        <f t="shared" si="166"/>
        <v/>
      </c>
      <c r="N157" s="311" t="str">
        <f t="shared" si="167"/>
        <v/>
      </c>
    </row>
    <row r="158" spans="1:14" s="294" customFormat="1">
      <c r="A158" s="297" t="s">
        <v>1517</v>
      </c>
      <c r="B158" s="301"/>
      <c r="C158" s="299" t="s">
        <v>1496</v>
      </c>
      <c r="D158" s="299">
        <v>1</v>
      </c>
      <c r="E158" s="300">
        <f>13+20+13</f>
        <v>46</v>
      </c>
      <c r="F158" s="300">
        <f t="shared" si="168"/>
        <v>46</v>
      </c>
      <c r="G158" s="302">
        <f>(0.4*2)+17*0.008*2</f>
        <v>1.07</v>
      </c>
      <c r="H158" s="310" t="str">
        <f t="shared" si="161"/>
        <v/>
      </c>
      <c r="I158" s="311">
        <f t="shared" si="162"/>
        <v>49.22</v>
      </c>
      <c r="J158" s="311" t="str">
        <f t="shared" si="163"/>
        <v/>
      </c>
      <c r="K158" s="311" t="str">
        <f t="shared" si="164"/>
        <v/>
      </c>
      <c r="L158" s="310" t="str">
        <f t="shared" si="165"/>
        <v/>
      </c>
      <c r="M158" s="310" t="str">
        <f t="shared" si="166"/>
        <v/>
      </c>
      <c r="N158" s="311" t="str">
        <f t="shared" si="167"/>
        <v/>
      </c>
    </row>
    <row r="159" spans="1:14" s="294" customFormat="1">
      <c r="A159" s="297" t="s">
        <v>1518</v>
      </c>
      <c r="B159" s="301"/>
      <c r="C159" s="299" t="s">
        <v>1519</v>
      </c>
      <c r="D159" s="299">
        <v>1</v>
      </c>
      <c r="E159" s="300">
        <v>3</v>
      </c>
      <c r="F159" s="300">
        <f>E159*D159</f>
        <v>3</v>
      </c>
      <c r="G159" s="302">
        <v>3.5</v>
      </c>
      <c r="H159" s="310" t="str">
        <f t="shared" si="161"/>
        <v/>
      </c>
      <c r="I159" s="311" t="str">
        <f t="shared" si="162"/>
        <v/>
      </c>
      <c r="J159" s="311">
        <f t="shared" si="163"/>
        <v>10.5</v>
      </c>
      <c r="K159" s="311" t="str">
        <f t="shared" si="164"/>
        <v/>
      </c>
      <c r="L159" s="310" t="str">
        <f t="shared" si="165"/>
        <v/>
      </c>
      <c r="M159" s="310" t="str">
        <f t="shared" si="166"/>
        <v/>
      </c>
      <c r="N159" s="311" t="str">
        <f t="shared" si="167"/>
        <v/>
      </c>
    </row>
    <row r="160" spans="1:14">
      <c r="A160" s="297" t="s">
        <v>1520</v>
      </c>
      <c r="B160" s="254"/>
      <c r="C160" s="299" t="s">
        <v>1492</v>
      </c>
      <c r="D160" s="299">
        <v>1</v>
      </c>
      <c r="E160" s="300">
        <v>3</v>
      </c>
      <c r="F160" s="300">
        <f>E160*D160</f>
        <v>3</v>
      </c>
      <c r="G160" s="302">
        <v>3</v>
      </c>
      <c r="H160" s="310" t="str">
        <f t="shared" si="161"/>
        <v/>
      </c>
      <c r="I160" s="311" t="str">
        <f t="shared" si="162"/>
        <v/>
      </c>
      <c r="J160" s="311" t="str">
        <f t="shared" si="163"/>
        <v/>
      </c>
      <c r="K160" s="311" t="str">
        <f t="shared" si="164"/>
        <v/>
      </c>
      <c r="L160" s="310">
        <f t="shared" si="165"/>
        <v>9</v>
      </c>
      <c r="M160" s="310" t="str">
        <f t="shared" si="166"/>
        <v/>
      </c>
      <c r="N160" s="311" t="str">
        <f t="shared" si="167"/>
        <v/>
      </c>
    </row>
    <row r="161" spans="1:14">
      <c r="A161" s="253"/>
      <c r="B161" s="254"/>
      <c r="C161" s="254"/>
      <c r="D161" s="254"/>
      <c r="E161" s="259"/>
      <c r="F161" s="259"/>
      <c r="G161" s="255"/>
      <c r="H161" s="308"/>
      <c r="I161" s="309"/>
      <c r="J161" s="309"/>
      <c r="K161" s="309"/>
      <c r="L161" s="308"/>
      <c r="M161" s="308"/>
      <c r="N161" s="309"/>
    </row>
    <row r="162" spans="1:14" ht="16.5">
      <c r="A162" s="303" t="s">
        <v>1531</v>
      </c>
      <c r="B162" s="254"/>
      <c r="C162" s="254"/>
      <c r="D162" s="254"/>
      <c r="E162" s="259"/>
      <c r="F162" s="259"/>
      <c r="G162" s="255"/>
      <c r="H162" s="308"/>
      <c r="I162" s="309"/>
      <c r="J162" s="309"/>
      <c r="K162" s="309"/>
      <c r="L162" s="308"/>
      <c r="M162" s="308"/>
      <c r="N162" s="309"/>
    </row>
    <row r="163" spans="1:14" s="294" customFormat="1">
      <c r="A163" s="297" t="s">
        <v>1515</v>
      </c>
      <c r="B163" s="298"/>
      <c r="C163" s="299" t="s">
        <v>1519</v>
      </c>
      <c r="D163" s="299">
        <v>1</v>
      </c>
      <c r="E163" s="300">
        <v>3</v>
      </c>
      <c r="F163" s="300">
        <f>E163*D163</f>
        <v>3</v>
      </c>
      <c r="G163" s="299">
        <f>(5.8)+17*0.01*2</f>
        <v>6.14</v>
      </c>
      <c r="H163" s="310" t="str">
        <f t="shared" ref="H163:H170" si="169">IF(C163="T6",G163*F163,"")</f>
        <v/>
      </c>
      <c r="I163" s="311" t="str">
        <f t="shared" ref="I163:I170" si="170">IF(C163="T8",F163*G163,"")</f>
        <v/>
      </c>
      <c r="J163" s="311">
        <f t="shared" ref="J163:J170" si="171">IF(C163="T10",F163*G163,"")</f>
        <v>18.420000000000002</v>
      </c>
      <c r="K163" s="311" t="str">
        <f t="shared" ref="K163:K170" si="172">IF(C163="T12",F163*G163,"")</f>
        <v/>
      </c>
      <c r="L163" s="310" t="str">
        <f t="shared" ref="L163:L170" si="173">IF(C163="T14",F163*G163,"")</f>
        <v/>
      </c>
      <c r="M163" s="310" t="str">
        <f t="shared" ref="M163:M170" si="174">IF(C163="T16",G163*F163,"")</f>
        <v/>
      </c>
      <c r="N163" s="311" t="str">
        <f t="shared" ref="N163:N170" si="175">IF(C163="T20",G163*F163,"")</f>
        <v/>
      </c>
    </row>
    <row r="164" spans="1:14" s="294" customFormat="1">
      <c r="A164" s="297" t="s">
        <v>1515</v>
      </c>
      <c r="B164" s="298"/>
      <c r="C164" s="299" t="s">
        <v>1516</v>
      </c>
      <c r="D164" s="299">
        <v>1</v>
      </c>
      <c r="E164" s="300">
        <v>3</v>
      </c>
      <c r="F164" s="300">
        <f>E164*D164</f>
        <v>3</v>
      </c>
      <c r="G164" s="302">
        <f>(5.8)+17*0.012*2</f>
        <v>6.21</v>
      </c>
      <c r="H164" s="310" t="str">
        <f t="shared" si="169"/>
        <v/>
      </c>
      <c r="I164" s="311" t="str">
        <f t="shared" si="170"/>
        <v/>
      </c>
      <c r="J164" s="311" t="str">
        <f t="shared" si="171"/>
        <v/>
      </c>
      <c r="K164" s="311">
        <f t="shared" si="172"/>
        <v>18.63</v>
      </c>
      <c r="L164" s="310" t="str">
        <f t="shared" si="173"/>
        <v/>
      </c>
      <c r="M164" s="310" t="str">
        <f t="shared" si="174"/>
        <v/>
      </c>
      <c r="N164" s="311" t="str">
        <f t="shared" si="175"/>
        <v/>
      </c>
    </row>
    <row r="165" spans="1:14" s="294" customFormat="1">
      <c r="A165" s="297"/>
      <c r="B165" s="298"/>
      <c r="C165" s="299" t="s">
        <v>1519</v>
      </c>
      <c r="D165" s="299">
        <v>1</v>
      </c>
      <c r="E165" s="300">
        <v>2</v>
      </c>
      <c r="F165" s="300">
        <f>E165*D165</f>
        <v>2</v>
      </c>
      <c r="G165" s="302">
        <v>5.8</v>
      </c>
      <c r="H165" s="310" t="str">
        <f t="shared" si="169"/>
        <v/>
      </c>
      <c r="I165" s="311" t="str">
        <f t="shared" si="170"/>
        <v/>
      </c>
      <c r="J165" s="311">
        <f t="shared" si="171"/>
        <v>11.6</v>
      </c>
      <c r="K165" s="311" t="str">
        <f t="shared" si="172"/>
        <v/>
      </c>
      <c r="L165" s="310" t="str">
        <f t="shared" si="173"/>
        <v/>
      </c>
      <c r="M165" s="310" t="str">
        <f t="shared" si="174"/>
        <v/>
      </c>
      <c r="N165" s="311" t="str">
        <f t="shared" si="175"/>
        <v/>
      </c>
    </row>
    <row r="166" spans="1:14" s="294" customFormat="1">
      <c r="A166" s="297" t="s">
        <v>1494</v>
      </c>
      <c r="B166" s="301"/>
      <c r="C166" s="299" t="s">
        <v>1496</v>
      </c>
      <c r="D166" s="299">
        <v>1</v>
      </c>
      <c r="E166" s="300">
        <f>15+16+15</f>
        <v>46</v>
      </c>
      <c r="F166" s="300">
        <f t="shared" ref="F166:F167" si="176">E166*D166</f>
        <v>46</v>
      </c>
      <c r="G166" s="302">
        <f>(0.2+0.45)*2+17*0.008*2</f>
        <v>1.57</v>
      </c>
      <c r="H166" s="310" t="str">
        <f t="shared" si="169"/>
        <v/>
      </c>
      <c r="I166" s="311">
        <f t="shared" si="170"/>
        <v>72.22</v>
      </c>
      <c r="J166" s="311" t="str">
        <f t="shared" si="171"/>
        <v/>
      </c>
      <c r="K166" s="311" t="str">
        <f t="shared" si="172"/>
        <v/>
      </c>
      <c r="L166" s="310" t="str">
        <f t="shared" si="173"/>
        <v/>
      </c>
      <c r="M166" s="310" t="str">
        <f t="shared" si="174"/>
        <v/>
      </c>
      <c r="N166" s="311" t="str">
        <f t="shared" si="175"/>
        <v/>
      </c>
    </row>
    <row r="167" spans="1:14" s="294" customFormat="1">
      <c r="A167" s="297" t="s">
        <v>1517</v>
      </c>
      <c r="B167" s="301"/>
      <c r="C167" s="299" t="s">
        <v>1496</v>
      </c>
      <c r="D167" s="299">
        <v>1</v>
      </c>
      <c r="E167" s="300">
        <f>15+16+15</f>
        <v>46</v>
      </c>
      <c r="F167" s="300">
        <f t="shared" si="176"/>
        <v>46</v>
      </c>
      <c r="G167" s="302">
        <f>(0.45*2)+17*0.008*2</f>
        <v>1.17</v>
      </c>
      <c r="H167" s="310" t="str">
        <f t="shared" si="169"/>
        <v/>
      </c>
      <c r="I167" s="311">
        <f t="shared" si="170"/>
        <v>53.82</v>
      </c>
      <c r="J167" s="311" t="str">
        <f t="shared" si="171"/>
        <v/>
      </c>
      <c r="K167" s="311" t="str">
        <f t="shared" si="172"/>
        <v/>
      </c>
      <c r="L167" s="310" t="str">
        <f t="shared" si="173"/>
        <v/>
      </c>
      <c r="M167" s="310" t="str">
        <f t="shared" si="174"/>
        <v/>
      </c>
      <c r="N167" s="311" t="str">
        <f t="shared" si="175"/>
        <v/>
      </c>
    </row>
    <row r="168" spans="1:14" s="294" customFormat="1">
      <c r="A168" s="297" t="s">
        <v>1518</v>
      </c>
      <c r="B168" s="301"/>
      <c r="C168" s="299" t="s">
        <v>1516</v>
      </c>
      <c r="D168" s="299">
        <v>1</v>
      </c>
      <c r="E168" s="300">
        <v>3</v>
      </c>
      <c r="F168" s="300">
        <f>E168*D168</f>
        <v>3</v>
      </c>
      <c r="G168" s="302">
        <v>1.5</v>
      </c>
      <c r="H168" s="310" t="str">
        <f t="shared" si="169"/>
        <v/>
      </c>
      <c r="I168" s="311" t="str">
        <f t="shared" si="170"/>
        <v/>
      </c>
      <c r="J168" s="311" t="str">
        <f t="shared" si="171"/>
        <v/>
      </c>
      <c r="K168" s="311">
        <f t="shared" si="172"/>
        <v>4.5</v>
      </c>
      <c r="L168" s="310" t="str">
        <f t="shared" si="173"/>
        <v/>
      </c>
      <c r="M168" s="310" t="str">
        <f t="shared" si="174"/>
        <v/>
      </c>
      <c r="N168" s="311" t="str">
        <f t="shared" si="175"/>
        <v/>
      </c>
    </row>
    <row r="169" spans="1:14">
      <c r="A169" s="297" t="s">
        <v>1520</v>
      </c>
      <c r="B169" s="254"/>
      <c r="C169" s="299" t="s">
        <v>1492</v>
      </c>
      <c r="D169" s="299">
        <v>1</v>
      </c>
      <c r="E169" s="300">
        <v>3</v>
      </c>
      <c r="F169" s="300">
        <f>E169*D169</f>
        <v>3</v>
      </c>
      <c r="G169" s="302">
        <v>3.5</v>
      </c>
      <c r="H169" s="310" t="str">
        <f t="shared" si="169"/>
        <v/>
      </c>
      <c r="I169" s="311" t="str">
        <f t="shared" si="170"/>
        <v/>
      </c>
      <c r="J169" s="311" t="str">
        <f t="shared" si="171"/>
        <v/>
      </c>
      <c r="K169" s="311" t="str">
        <f t="shared" si="172"/>
        <v/>
      </c>
      <c r="L169" s="310">
        <f t="shared" si="173"/>
        <v>10.5</v>
      </c>
      <c r="M169" s="310" t="str">
        <f t="shared" si="174"/>
        <v/>
      </c>
      <c r="N169" s="311" t="str">
        <f t="shared" si="175"/>
        <v/>
      </c>
    </row>
    <row r="170" spans="1:14">
      <c r="A170" s="253"/>
      <c r="B170" s="254"/>
      <c r="C170" s="299" t="s">
        <v>1516</v>
      </c>
      <c r="D170" s="299">
        <v>1</v>
      </c>
      <c r="E170" s="300">
        <v>3</v>
      </c>
      <c r="F170" s="300">
        <f>E170*D170</f>
        <v>3</v>
      </c>
      <c r="G170" s="302">
        <v>5.4</v>
      </c>
      <c r="H170" s="308" t="str">
        <f t="shared" si="169"/>
        <v/>
      </c>
      <c r="I170" s="309" t="str">
        <f t="shared" si="170"/>
        <v/>
      </c>
      <c r="J170" s="309" t="str">
        <f t="shared" si="171"/>
        <v/>
      </c>
      <c r="K170" s="309">
        <f t="shared" si="172"/>
        <v>16.2</v>
      </c>
      <c r="L170" s="308" t="str">
        <f t="shared" si="173"/>
        <v/>
      </c>
      <c r="M170" s="308" t="str">
        <f t="shared" si="174"/>
        <v/>
      </c>
      <c r="N170" s="309" t="str">
        <f t="shared" si="175"/>
        <v/>
      </c>
    </row>
    <row r="171" spans="1:14">
      <c r="A171" s="253"/>
      <c r="B171" s="254"/>
      <c r="C171" s="254"/>
      <c r="D171" s="254"/>
      <c r="E171" s="259"/>
      <c r="F171" s="259"/>
      <c r="G171" s="255"/>
      <c r="H171" s="308"/>
      <c r="I171" s="309"/>
      <c r="J171" s="309"/>
      <c r="K171" s="309"/>
      <c r="L171" s="308"/>
      <c r="M171" s="308"/>
      <c r="N171" s="309"/>
    </row>
    <row r="172" spans="1:14" ht="16.5">
      <c r="A172" s="303" t="s">
        <v>1532</v>
      </c>
      <c r="B172" s="254"/>
      <c r="C172" s="254"/>
      <c r="D172" s="254"/>
      <c r="E172" s="259"/>
      <c r="F172" s="259"/>
      <c r="G172" s="255"/>
      <c r="H172" s="308"/>
      <c r="I172" s="309"/>
      <c r="J172" s="309"/>
      <c r="K172" s="309"/>
      <c r="L172" s="308"/>
      <c r="M172" s="308"/>
      <c r="N172" s="309"/>
    </row>
    <row r="173" spans="1:14" s="294" customFormat="1">
      <c r="A173" s="297" t="s">
        <v>1515</v>
      </c>
      <c r="B173" s="298"/>
      <c r="C173" s="299" t="s">
        <v>1519</v>
      </c>
      <c r="D173" s="299">
        <v>1</v>
      </c>
      <c r="E173" s="300">
        <v>3</v>
      </c>
      <c r="F173" s="300">
        <f>E173*D173</f>
        <v>3</v>
      </c>
      <c r="G173" s="299">
        <f>(2.75)+17*0.01*2</f>
        <v>3.09</v>
      </c>
      <c r="H173" s="310" t="str">
        <f t="shared" ref="H173:H178" si="177">IF(C173="T6",G173*F173,"")</f>
        <v/>
      </c>
      <c r="I173" s="311" t="str">
        <f t="shared" ref="I173:I178" si="178">IF(C173="T8",F173*G173,"")</f>
        <v/>
      </c>
      <c r="J173" s="311">
        <f t="shared" ref="J173:J178" si="179">IF(C173="T10",F173*G173,"")</f>
        <v>9.27</v>
      </c>
      <c r="K173" s="311" t="str">
        <f t="shared" ref="K173:K178" si="180">IF(C173="T12",F173*G173,"")</f>
        <v/>
      </c>
      <c r="L173" s="310" t="str">
        <f t="shared" ref="L173:L178" si="181">IF(C173="T14",F173*G173,"")</f>
        <v/>
      </c>
      <c r="M173" s="310" t="str">
        <f t="shared" ref="M173:M178" si="182">IF(C173="T16",G173*F173,"")</f>
        <v/>
      </c>
      <c r="N173" s="311" t="str">
        <f t="shared" ref="N173:N178" si="183">IF(C173="T20",G173*F173,"")</f>
        <v/>
      </c>
    </row>
    <row r="174" spans="1:14" s="294" customFormat="1">
      <c r="A174" s="297" t="s">
        <v>1515</v>
      </c>
      <c r="B174" s="298"/>
      <c r="C174" s="299" t="s">
        <v>1492</v>
      </c>
      <c r="D174" s="299">
        <v>1</v>
      </c>
      <c r="E174" s="300">
        <v>3</v>
      </c>
      <c r="F174" s="300">
        <f>E174*D174</f>
        <v>3</v>
      </c>
      <c r="G174" s="302">
        <f>(2.75)+17*0.012*2</f>
        <v>3.16</v>
      </c>
      <c r="H174" s="310" t="str">
        <f t="shared" si="177"/>
        <v/>
      </c>
      <c r="I174" s="311" t="str">
        <f t="shared" si="178"/>
        <v/>
      </c>
      <c r="J174" s="311" t="str">
        <f t="shared" si="179"/>
        <v/>
      </c>
      <c r="K174" s="311" t="str">
        <f t="shared" si="180"/>
        <v/>
      </c>
      <c r="L174" s="310">
        <f t="shared" si="181"/>
        <v>9.48</v>
      </c>
      <c r="M174" s="310" t="str">
        <f t="shared" si="182"/>
        <v/>
      </c>
      <c r="N174" s="311" t="str">
        <f t="shared" si="183"/>
        <v/>
      </c>
    </row>
    <row r="175" spans="1:14" s="294" customFormat="1">
      <c r="A175" s="297" t="s">
        <v>1494</v>
      </c>
      <c r="B175" s="301"/>
      <c r="C175" s="299" t="s">
        <v>1496</v>
      </c>
      <c r="D175" s="299">
        <v>1</v>
      </c>
      <c r="E175" s="300">
        <f>9+10+9</f>
        <v>28</v>
      </c>
      <c r="F175" s="300">
        <f t="shared" ref="F175:F176" si="184">E175*D175</f>
        <v>28</v>
      </c>
      <c r="G175" s="302">
        <f>(0.2+0.35)*2+17*0.008*2</f>
        <v>1.37</v>
      </c>
      <c r="H175" s="310" t="str">
        <f t="shared" si="177"/>
        <v/>
      </c>
      <c r="I175" s="311">
        <f t="shared" si="178"/>
        <v>38.36</v>
      </c>
      <c r="J175" s="311" t="str">
        <f t="shared" si="179"/>
        <v/>
      </c>
      <c r="K175" s="311" t="str">
        <f t="shared" si="180"/>
        <v/>
      </c>
      <c r="L175" s="310" t="str">
        <f t="shared" si="181"/>
        <v/>
      </c>
      <c r="M175" s="310" t="str">
        <f t="shared" si="182"/>
        <v/>
      </c>
      <c r="N175" s="311" t="str">
        <f t="shared" si="183"/>
        <v/>
      </c>
    </row>
    <row r="176" spans="1:14" s="294" customFormat="1">
      <c r="A176" s="297" t="s">
        <v>1517</v>
      </c>
      <c r="B176" s="301"/>
      <c r="C176" s="299" t="s">
        <v>1496</v>
      </c>
      <c r="D176" s="299">
        <v>1</v>
      </c>
      <c r="E176" s="300">
        <f>9+10+9</f>
        <v>28</v>
      </c>
      <c r="F176" s="300">
        <f t="shared" si="184"/>
        <v>28</v>
      </c>
      <c r="G176" s="302">
        <f>(0.35*2)+17*0.008*2</f>
        <v>0.97</v>
      </c>
      <c r="H176" s="310" t="str">
        <f t="shared" si="177"/>
        <v/>
      </c>
      <c r="I176" s="311">
        <f t="shared" si="178"/>
        <v>27.16</v>
      </c>
      <c r="J176" s="311" t="str">
        <f t="shared" si="179"/>
        <v/>
      </c>
      <c r="K176" s="311" t="str">
        <f t="shared" si="180"/>
        <v/>
      </c>
      <c r="L176" s="310" t="str">
        <f t="shared" si="181"/>
        <v/>
      </c>
      <c r="M176" s="310" t="str">
        <f t="shared" si="182"/>
        <v/>
      </c>
      <c r="N176" s="311" t="str">
        <f t="shared" si="183"/>
        <v/>
      </c>
    </row>
    <row r="177" spans="1:14" s="294" customFormat="1">
      <c r="A177" s="297" t="s">
        <v>1518</v>
      </c>
      <c r="B177" s="301"/>
      <c r="C177" s="299" t="s">
        <v>1516</v>
      </c>
      <c r="D177" s="299">
        <v>1</v>
      </c>
      <c r="E177" s="300">
        <v>3</v>
      </c>
      <c r="F177" s="300">
        <f>E177*D177</f>
        <v>3</v>
      </c>
      <c r="G177" s="302">
        <v>1</v>
      </c>
      <c r="H177" s="310" t="str">
        <f t="shared" si="177"/>
        <v/>
      </c>
      <c r="I177" s="311" t="str">
        <f t="shared" si="178"/>
        <v/>
      </c>
      <c r="J177" s="311" t="str">
        <f t="shared" si="179"/>
        <v/>
      </c>
      <c r="K177" s="311">
        <f t="shared" si="180"/>
        <v>3</v>
      </c>
      <c r="L177" s="310" t="str">
        <f t="shared" si="181"/>
        <v/>
      </c>
      <c r="M177" s="310" t="str">
        <f t="shared" si="182"/>
        <v/>
      </c>
      <c r="N177" s="311" t="str">
        <f t="shared" si="183"/>
        <v/>
      </c>
    </row>
    <row r="178" spans="1:14">
      <c r="A178" s="297" t="s">
        <v>1520</v>
      </c>
      <c r="B178" s="254"/>
      <c r="C178" s="299" t="s">
        <v>1492</v>
      </c>
      <c r="D178" s="299">
        <v>1</v>
      </c>
      <c r="E178" s="300">
        <v>3</v>
      </c>
      <c r="F178" s="300">
        <f>E178*D178</f>
        <v>3</v>
      </c>
      <c r="G178" s="302">
        <v>3.5</v>
      </c>
      <c r="H178" s="310" t="str">
        <f t="shared" si="177"/>
        <v/>
      </c>
      <c r="I178" s="311" t="str">
        <f t="shared" si="178"/>
        <v/>
      </c>
      <c r="J178" s="311" t="str">
        <f t="shared" si="179"/>
        <v/>
      </c>
      <c r="K178" s="311" t="str">
        <f t="shared" si="180"/>
        <v/>
      </c>
      <c r="L178" s="310">
        <f t="shared" si="181"/>
        <v>10.5</v>
      </c>
      <c r="M178" s="310" t="str">
        <f t="shared" si="182"/>
        <v/>
      </c>
      <c r="N178" s="311" t="str">
        <f t="shared" si="183"/>
        <v/>
      </c>
    </row>
    <row r="179" spans="1:14" ht="16.5">
      <c r="A179" s="265"/>
      <c r="B179" s="254"/>
      <c r="C179" s="254"/>
      <c r="D179" s="254"/>
      <c r="E179" s="259"/>
      <c r="F179" s="259"/>
      <c r="G179" s="255"/>
      <c r="H179" s="308"/>
      <c r="I179" s="309"/>
      <c r="J179" s="309"/>
      <c r="K179" s="309"/>
      <c r="L179" s="308"/>
      <c r="M179" s="308"/>
      <c r="N179" s="309"/>
    </row>
    <row r="180" spans="1:14" ht="16.5">
      <c r="A180" s="303" t="s">
        <v>1533</v>
      </c>
      <c r="B180" s="254"/>
      <c r="C180" s="254"/>
      <c r="D180" s="254"/>
      <c r="E180" s="259"/>
      <c r="F180" s="259"/>
      <c r="G180" s="255"/>
      <c r="H180" s="308"/>
      <c r="I180" s="309"/>
      <c r="J180" s="309"/>
      <c r="K180" s="309"/>
      <c r="L180" s="308"/>
      <c r="M180" s="308"/>
      <c r="N180" s="309"/>
    </row>
    <row r="181" spans="1:14" s="294" customFormat="1">
      <c r="A181" s="297" t="s">
        <v>1515</v>
      </c>
      <c r="B181" s="298"/>
      <c r="C181" s="299" t="s">
        <v>1519</v>
      </c>
      <c r="D181" s="299">
        <v>1</v>
      </c>
      <c r="E181" s="300">
        <v>3</v>
      </c>
      <c r="F181" s="300">
        <f>E181*D181</f>
        <v>3</v>
      </c>
      <c r="G181" s="299">
        <f>(2.75)+17*0.01*2</f>
        <v>3.09</v>
      </c>
      <c r="H181" s="310" t="str">
        <f t="shared" ref="H181:H186" si="185">IF(C181="T6",G181*F181,"")</f>
        <v/>
      </c>
      <c r="I181" s="311" t="str">
        <f t="shared" ref="I181:I186" si="186">IF(C181="T8",F181*G181,"")</f>
        <v/>
      </c>
      <c r="J181" s="311">
        <f t="shared" ref="J181:J186" si="187">IF(C181="T10",F181*G181,"")</f>
        <v>9.27</v>
      </c>
      <c r="K181" s="311" t="str">
        <f t="shared" ref="K181:K186" si="188">IF(C181="T12",F181*G181,"")</f>
        <v/>
      </c>
      <c r="L181" s="310" t="str">
        <f t="shared" ref="L181:L186" si="189">IF(C181="T14",F181*G181,"")</f>
        <v/>
      </c>
      <c r="M181" s="310" t="str">
        <f t="shared" ref="M181:M186" si="190">IF(C181="T16",G181*F181,"")</f>
        <v/>
      </c>
      <c r="N181" s="311" t="str">
        <f t="shared" ref="N181:N186" si="191">IF(C181="T20",G181*F181,"")</f>
        <v/>
      </c>
    </row>
    <row r="182" spans="1:14" s="294" customFormat="1">
      <c r="A182" s="297" t="s">
        <v>1515</v>
      </c>
      <c r="B182" s="298"/>
      <c r="C182" s="299" t="s">
        <v>1492</v>
      </c>
      <c r="D182" s="299">
        <v>1</v>
      </c>
      <c r="E182" s="300">
        <v>3</v>
      </c>
      <c r="F182" s="300">
        <f>E182*D182</f>
        <v>3</v>
      </c>
      <c r="G182" s="302">
        <f>(2.75)+17*0.012*2</f>
        <v>3.16</v>
      </c>
      <c r="H182" s="310" t="str">
        <f t="shared" si="185"/>
        <v/>
      </c>
      <c r="I182" s="311" t="str">
        <f t="shared" si="186"/>
        <v/>
      </c>
      <c r="J182" s="311" t="str">
        <f t="shared" si="187"/>
        <v/>
      </c>
      <c r="K182" s="311" t="str">
        <f t="shared" si="188"/>
        <v/>
      </c>
      <c r="L182" s="310">
        <f t="shared" si="189"/>
        <v>9.48</v>
      </c>
      <c r="M182" s="310" t="str">
        <f t="shared" si="190"/>
        <v/>
      </c>
      <c r="N182" s="311" t="str">
        <f t="shared" si="191"/>
        <v/>
      </c>
    </row>
    <row r="183" spans="1:14" s="294" customFormat="1">
      <c r="A183" s="297" t="s">
        <v>1494</v>
      </c>
      <c r="B183" s="301"/>
      <c r="C183" s="299" t="s">
        <v>1496</v>
      </c>
      <c r="D183" s="299">
        <v>1</v>
      </c>
      <c r="E183" s="300">
        <f>9+10+9</f>
        <v>28</v>
      </c>
      <c r="F183" s="300">
        <f t="shared" ref="F183:F184" si="192">E183*D183</f>
        <v>28</v>
      </c>
      <c r="G183" s="302">
        <f>(0.2+0.35)*2+17*0.008*2</f>
        <v>1.37</v>
      </c>
      <c r="H183" s="310" t="str">
        <f t="shared" si="185"/>
        <v/>
      </c>
      <c r="I183" s="311">
        <f t="shared" si="186"/>
        <v>38.36</v>
      </c>
      <c r="J183" s="311" t="str">
        <f t="shared" si="187"/>
        <v/>
      </c>
      <c r="K183" s="311" t="str">
        <f t="shared" si="188"/>
        <v/>
      </c>
      <c r="L183" s="310" t="str">
        <f t="shared" si="189"/>
        <v/>
      </c>
      <c r="M183" s="310" t="str">
        <f t="shared" si="190"/>
        <v/>
      </c>
      <c r="N183" s="311" t="str">
        <f t="shared" si="191"/>
        <v/>
      </c>
    </row>
    <row r="184" spans="1:14" s="294" customFormat="1">
      <c r="A184" s="297" t="s">
        <v>1517</v>
      </c>
      <c r="B184" s="301"/>
      <c r="C184" s="299" t="s">
        <v>1496</v>
      </c>
      <c r="D184" s="299">
        <v>1</v>
      </c>
      <c r="E184" s="300">
        <f>9+10+9</f>
        <v>28</v>
      </c>
      <c r="F184" s="300">
        <f t="shared" si="192"/>
        <v>28</v>
      </c>
      <c r="G184" s="302">
        <f>(0.35*2)+17*0.008*2</f>
        <v>0.97</v>
      </c>
      <c r="H184" s="310" t="str">
        <f t="shared" si="185"/>
        <v/>
      </c>
      <c r="I184" s="311">
        <f t="shared" si="186"/>
        <v>27.16</v>
      </c>
      <c r="J184" s="311" t="str">
        <f t="shared" si="187"/>
        <v/>
      </c>
      <c r="K184" s="311" t="str">
        <f t="shared" si="188"/>
        <v/>
      </c>
      <c r="L184" s="310" t="str">
        <f t="shared" si="189"/>
        <v/>
      </c>
      <c r="M184" s="310" t="str">
        <f t="shared" si="190"/>
        <v/>
      </c>
      <c r="N184" s="311" t="str">
        <f t="shared" si="191"/>
        <v/>
      </c>
    </row>
    <row r="185" spans="1:14" s="294" customFormat="1">
      <c r="A185" s="297" t="s">
        <v>1518</v>
      </c>
      <c r="B185" s="301"/>
      <c r="C185" s="299" t="s">
        <v>1516</v>
      </c>
      <c r="D185" s="299">
        <v>1</v>
      </c>
      <c r="E185" s="300">
        <v>3</v>
      </c>
      <c r="F185" s="300">
        <f>E185*D185</f>
        <v>3</v>
      </c>
      <c r="G185" s="302">
        <v>1</v>
      </c>
      <c r="H185" s="310" t="str">
        <f t="shared" si="185"/>
        <v/>
      </c>
      <c r="I185" s="311" t="str">
        <f t="shared" si="186"/>
        <v/>
      </c>
      <c r="J185" s="311" t="str">
        <f t="shared" si="187"/>
        <v/>
      </c>
      <c r="K185" s="311">
        <f t="shared" si="188"/>
        <v>3</v>
      </c>
      <c r="L185" s="310" t="str">
        <f t="shared" si="189"/>
        <v/>
      </c>
      <c r="M185" s="310" t="str">
        <f t="shared" si="190"/>
        <v/>
      </c>
      <c r="N185" s="311" t="str">
        <f t="shared" si="191"/>
        <v/>
      </c>
    </row>
    <row r="186" spans="1:14">
      <c r="A186" s="297" t="s">
        <v>1520</v>
      </c>
      <c r="B186" s="254"/>
      <c r="C186" s="299" t="s">
        <v>1492</v>
      </c>
      <c r="D186" s="299">
        <v>1</v>
      </c>
      <c r="E186" s="300">
        <v>3</v>
      </c>
      <c r="F186" s="300">
        <f>E186*D186</f>
        <v>3</v>
      </c>
      <c r="G186" s="302">
        <v>3.5</v>
      </c>
      <c r="H186" s="310" t="str">
        <f t="shared" si="185"/>
        <v/>
      </c>
      <c r="I186" s="311" t="str">
        <f t="shared" si="186"/>
        <v/>
      </c>
      <c r="J186" s="311" t="str">
        <f t="shared" si="187"/>
        <v/>
      </c>
      <c r="K186" s="311" t="str">
        <f t="shared" si="188"/>
        <v/>
      </c>
      <c r="L186" s="310">
        <f t="shared" si="189"/>
        <v>10.5</v>
      </c>
      <c r="M186" s="310" t="str">
        <f t="shared" si="190"/>
        <v/>
      </c>
      <c r="N186" s="311" t="str">
        <f t="shared" si="191"/>
        <v/>
      </c>
    </row>
    <row r="187" spans="1:14">
      <c r="A187" s="253"/>
      <c r="B187" s="254"/>
      <c r="C187" s="254"/>
      <c r="D187" s="254"/>
      <c r="E187" s="259"/>
      <c r="F187" s="259"/>
      <c r="G187" s="255"/>
      <c r="H187" s="308"/>
      <c r="I187" s="309"/>
      <c r="J187" s="309"/>
      <c r="K187" s="309"/>
      <c r="L187" s="308"/>
      <c r="M187" s="308"/>
      <c r="N187" s="309"/>
    </row>
    <row r="188" spans="1:14" ht="16.5">
      <c r="A188" s="303" t="s">
        <v>1534</v>
      </c>
      <c r="B188" s="254"/>
      <c r="C188" s="254"/>
      <c r="D188" s="254"/>
      <c r="E188" s="259"/>
      <c r="F188" s="259"/>
      <c r="G188" s="255"/>
      <c r="H188" s="308"/>
      <c r="I188" s="309"/>
      <c r="J188" s="309"/>
      <c r="K188" s="309"/>
      <c r="L188" s="308"/>
      <c r="M188" s="308"/>
      <c r="N188" s="309"/>
    </row>
    <row r="189" spans="1:14" s="294" customFormat="1">
      <c r="A189" s="297" t="s">
        <v>1515</v>
      </c>
      <c r="B189" s="298"/>
      <c r="C189" s="299" t="s">
        <v>1519</v>
      </c>
      <c r="D189" s="299">
        <v>1</v>
      </c>
      <c r="E189" s="300">
        <v>3</v>
      </c>
      <c r="F189" s="300">
        <f>E189*D189</f>
        <v>3</v>
      </c>
      <c r="G189" s="299">
        <f>(3.8)+17*0.01*2</f>
        <v>4.1399999999999997</v>
      </c>
      <c r="H189" s="310" t="str">
        <f t="shared" ref="H189:H194" si="193">IF(C189="T6",G189*F189,"")</f>
        <v/>
      </c>
      <c r="I189" s="311" t="str">
        <f t="shared" ref="I189:I194" si="194">IF(C189="T8",F189*G189,"")</f>
        <v/>
      </c>
      <c r="J189" s="311">
        <f t="shared" ref="J189:J194" si="195">IF(C189="T10",F189*G189,"")</f>
        <v>12.42</v>
      </c>
      <c r="K189" s="311" t="str">
        <f t="shared" ref="K189:K194" si="196">IF(C189="T12",F189*G189,"")</f>
        <v/>
      </c>
      <c r="L189" s="310" t="str">
        <f t="shared" ref="L189:L194" si="197">IF(C189="T14",F189*G189,"")</f>
        <v/>
      </c>
      <c r="M189" s="310" t="str">
        <f t="shared" ref="M189:M194" si="198">IF(C189="T16",G189*F189,"")</f>
        <v/>
      </c>
      <c r="N189" s="311" t="str">
        <f t="shared" ref="N189:N194" si="199">IF(C189="T20",G189*F189,"")</f>
        <v/>
      </c>
    </row>
    <row r="190" spans="1:14" s="294" customFormat="1">
      <c r="A190" s="297" t="s">
        <v>1515</v>
      </c>
      <c r="B190" s="298"/>
      <c r="C190" s="299" t="s">
        <v>1492</v>
      </c>
      <c r="D190" s="299">
        <v>1</v>
      </c>
      <c r="E190" s="300">
        <v>3</v>
      </c>
      <c r="F190" s="300">
        <f>E190*D190</f>
        <v>3</v>
      </c>
      <c r="G190" s="302">
        <f>(3.8)+17*0.012*2</f>
        <v>4.21</v>
      </c>
      <c r="H190" s="310" t="str">
        <f t="shared" si="193"/>
        <v/>
      </c>
      <c r="I190" s="311" t="str">
        <f t="shared" si="194"/>
        <v/>
      </c>
      <c r="J190" s="311" t="str">
        <f t="shared" si="195"/>
        <v/>
      </c>
      <c r="K190" s="311" t="str">
        <f t="shared" si="196"/>
        <v/>
      </c>
      <c r="L190" s="310">
        <f t="shared" si="197"/>
        <v>12.63</v>
      </c>
      <c r="M190" s="310" t="str">
        <f t="shared" si="198"/>
        <v/>
      </c>
      <c r="N190" s="311" t="str">
        <f t="shared" si="199"/>
        <v/>
      </c>
    </row>
    <row r="191" spans="1:14" s="294" customFormat="1">
      <c r="A191" s="297" t="s">
        <v>1494</v>
      </c>
      <c r="B191" s="301"/>
      <c r="C191" s="299" t="s">
        <v>1496</v>
      </c>
      <c r="D191" s="299">
        <v>1</v>
      </c>
      <c r="E191" s="300">
        <f>13+12+13</f>
        <v>38</v>
      </c>
      <c r="F191" s="300">
        <f t="shared" ref="F191:F192" si="200">E191*D191</f>
        <v>38</v>
      </c>
      <c r="G191" s="302">
        <f>(0.2+0.35)*2+17*0.008*2</f>
        <v>1.37</v>
      </c>
      <c r="H191" s="310" t="str">
        <f t="shared" si="193"/>
        <v/>
      </c>
      <c r="I191" s="311">
        <f t="shared" si="194"/>
        <v>52.06</v>
      </c>
      <c r="J191" s="311" t="str">
        <f t="shared" si="195"/>
        <v/>
      </c>
      <c r="K191" s="311" t="str">
        <f t="shared" si="196"/>
        <v/>
      </c>
      <c r="L191" s="310" t="str">
        <f t="shared" si="197"/>
        <v/>
      </c>
      <c r="M191" s="310" t="str">
        <f t="shared" si="198"/>
        <v/>
      </c>
      <c r="N191" s="311" t="str">
        <f t="shared" si="199"/>
        <v/>
      </c>
    </row>
    <row r="192" spans="1:14" s="294" customFormat="1">
      <c r="A192" s="297" t="s">
        <v>1517</v>
      </c>
      <c r="B192" s="301"/>
      <c r="C192" s="299" t="s">
        <v>1496</v>
      </c>
      <c r="D192" s="299">
        <v>1</v>
      </c>
      <c r="E192" s="300">
        <f>13+12+13</f>
        <v>38</v>
      </c>
      <c r="F192" s="300">
        <f t="shared" si="200"/>
        <v>38</v>
      </c>
      <c r="G192" s="302">
        <f>(0.35*2)+17*0.008*2</f>
        <v>0.97</v>
      </c>
      <c r="H192" s="310" t="str">
        <f t="shared" si="193"/>
        <v/>
      </c>
      <c r="I192" s="311">
        <f t="shared" si="194"/>
        <v>36.86</v>
      </c>
      <c r="J192" s="311" t="str">
        <f t="shared" si="195"/>
        <v/>
      </c>
      <c r="K192" s="311" t="str">
        <f t="shared" si="196"/>
        <v/>
      </c>
      <c r="L192" s="310" t="str">
        <f t="shared" si="197"/>
        <v/>
      </c>
      <c r="M192" s="310" t="str">
        <f t="shared" si="198"/>
        <v/>
      </c>
      <c r="N192" s="311" t="str">
        <f t="shared" si="199"/>
        <v/>
      </c>
    </row>
    <row r="193" spans="1:14" s="294" customFormat="1">
      <c r="A193" s="297" t="s">
        <v>1518</v>
      </c>
      <c r="B193" s="301"/>
      <c r="C193" s="299" t="s">
        <v>1516</v>
      </c>
      <c r="D193" s="299">
        <v>1</v>
      </c>
      <c r="E193" s="300">
        <v>3</v>
      </c>
      <c r="F193" s="300">
        <f>E193*D193</f>
        <v>3</v>
      </c>
      <c r="G193" s="302">
        <v>2</v>
      </c>
      <c r="H193" s="310" t="str">
        <f t="shared" si="193"/>
        <v/>
      </c>
      <c r="I193" s="311" t="str">
        <f t="shared" si="194"/>
        <v/>
      </c>
      <c r="J193" s="311" t="str">
        <f t="shared" si="195"/>
        <v/>
      </c>
      <c r="K193" s="311">
        <f t="shared" si="196"/>
        <v>6</v>
      </c>
      <c r="L193" s="310" t="str">
        <f t="shared" si="197"/>
        <v/>
      </c>
      <c r="M193" s="310" t="str">
        <f t="shared" si="198"/>
        <v/>
      </c>
      <c r="N193" s="311" t="str">
        <f t="shared" si="199"/>
        <v/>
      </c>
    </row>
    <row r="194" spans="1:14">
      <c r="A194" s="297" t="s">
        <v>1520</v>
      </c>
      <c r="B194" s="254"/>
      <c r="C194" s="299" t="s">
        <v>1516</v>
      </c>
      <c r="D194" s="299">
        <v>1</v>
      </c>
      <c r="E194" s="300">
        <v>3</v>
      </c>
      <c r="F194" s="300">
        <f>E194*D194</f>
        <v>3</v>
      </c>
      <c r="G194" s="302">
        <v>2.9</v>
      </c>
      <c r="H194" s="310" t="str">
        <f t="shared" si="193"/>
        <v/>
      </c>
      <c r="I194" s="311" t="str">
        <f t="shared" si="194"/>
        <v/>
      </c>
      <c r="J194" s="311" t="str">
        <f t="shared" si="195"/>
        <v/>
      </c>
      <c r="K194" s="311">
        <f t="shared" si="196"/>
        <v>8.6999999999999993</v>
      </c>
      <c r="L194" s="310" t="str">
        <f t="shared" si="197"/>
        <v/>
      </c>
      <c r="M194" s="310" t="str">
        <f t="shared" si="198"/>
        <v/>
      </c>
      <c r="N194" s="311" t="str">
        <f t="shared" si="199"/>
        <v/>
      </c>
    </row>
    <row r="195" spans="1:14">
      <c r="A195" s="253"/>
      <c r="B195" s="254"/>
      <c r="C195" s="254"/>
      <c r="D195" s="254"/>
      <c r="E195" s="259"/>
      <c r="F195" s="259"/>
      <c r="G195" s="255"/>
      <c r="H195" s="308"/>
      <c r="I195" s="309"/>
      <c r="J195" s="309"/>
      <c r="K195" s="309"/>
      <c r="L195" s="308"/>
      <c r="M195" s="308"/>
      <c r="N195" s="309"/>
    </row>
    <row r="196" spans="1:14" ht="16.5">
      <c r="A196" s="303" t="s">
        <v>1554</v>
      </c>
      <c r="B196" s="254"/>
      <c r="C196" s="254"/>
      <c r="D196" s="254"/>
      <c r="E196" s="259"/>
      <c r="F196" s="259"/>
      <c r="G196" s="255"/>
      <c r="H196" s="308"/>
      <c r="I196" s="309"/>
      <c r="J196" s="309"/>
      <c r="K196" s="309"/>
      <c r="L196" s="308"/>
      <c r="M196" s="308"/>
      <c r="N196" s="309"/>
    </row>
    <row r="197" spans="1:14" s="294" customFormat="1">
      <c r="A197" s="297" t="s">
        <v>1515</v>
      </c>
      <c r="B197" s="298"/>
      <c r="C197" s="299" t="s">
        <v>1519</v>
      </c>
      <c r="D197" s="299">
        <v>1</v>
      </c>
      <c r="E197" s="300">
        <v>3</v>
      </c>
      <c r="F197" s="300">
        <f>E197*D197</f>
        <v>3</v>
      </c>
      <c r="G197" s="299">
        <f>(3.65)+17*0.01*2</f>
        <v>3.99</v>
      </c>
      <c r="H197" s="310" t="str">
        <f t="shared" ref="H197:H202" si="201">IF(C197="T6",G197*F197,"")</f>
        <v/>
      </c>
      <c r="I197" s="311" t="str">
        <f t="shared" ref="I197:I202" si="202">IF(C197="T8",F197*G197,"")</f>
        <v/>
      </c>
      <c r="J197" s="311">
        <f t="shared" ref="J197:J202" si="203">IF(C197="T10",F197*G197,"")</f>
        <v>11.97</v>
      </c>
      <c r="K197" s="311" t="str">
        <f t="shared" ref="K197:K202" si="204">IF(C197="T12",F197*G197,"")</f>
        <v/>
      </c>
      <c r="L197" s="310" t="str">
        <f t="shared" ref="L197:L202" si="205">IF(C197="T14",F197*G197,"")</f>
        <v/>
      </c>
      <c r="M197" s="310" t="str">
        <f t="shared" ref="M197:M202" si="206">IF(C197="T16",G197*F197,"")</f>
        <v/>
      </c>
      <c r="N197" s="311" t="str">
        <f t="shared" ref="N197:N202" si="207">IF(C197="T20",G197*F197,"")</f>
        <v/>
      </c>
    </row>
    <row r="198" spans="1:14" s="294" customFormat="1">
      <c r="A198" s="297" t="s">
        <v>1515</v>
      </c>
      <c r="B198" s="298"/>
      <c r="C198" s="299" t="s">
        <v>1492</v>
      </c>
      <c r="D198" s="299">
        <v>1</v>
      </c>
      <c r="E198" s="300">
        <v>3</v>
      </c>
      <c r="F198" s="300">
        <f>E198*D198</f>
        <v>3</v>
      </c>
      <c r="G198" s="302">
        <f>(3.65)+17*0.012*2</f>
        <v>4.0599999999999996</v>
      </c>
      <c r="H198" s="310" t="str">
        <f t="shared" si="201"/>
        <v/>
      </c>
      <c r="I198" s="311" t="str">
        <f t="shared" si="202"/>
        <v/>
      </c>
      <c r="J198" s="311" t="str">
        <f t="shared" si="203"/>
        <v/>
      </c>
      <c r="K198" s="311" t="str">
        <f t="shared" si="204"/>
        <v/>
      </c>
      <c r="L198" s="310">
        <f t="shared" si="205"/>
        <v>12.18</v>
      </c>
      <c r="M198" s="310" t="str">
        <f t="shared" si="206"/>
        <v/>
      </c>
      <c r="N198" s="311" t="str">
        <f t="shared" si="207"/>
        <v/>
      </c>
    </row>
    <row r="199" spans="1:14" s="294" customFormat="1">
      <c r="A199" s="297" t="s">
        <v>1494</v>
      </c>
      <c r="B199" s="301"/>
      <c r="C199" s="299" t="s">
        <v>1496</v>
      </c>
      <c r="D199" s="299">
        <v>1</v>
      </c>
      <c r="E199" s="300">
        <f>12+11+12</f>
        <v>35</v>
      </c>
      <c r="F199" s="300">
        <f t="shared" ref="F199:F200" si="208">E199*D199</f>
        <v>35</v>
      </c>
      <c r="G199" s="302">
        <f>(0.2+0.35)*2+17*0.008*2</f>
        <v>1.37</v>
      </c>
      <c r="H199" s="310" t="str">
        <f t="shared" si="201"/>
        <v/>
      </c>
      <c r="I199" s="311">
        <f t="shared" si="202"/>
        <v>47.95</v>
      </c>
      <c r="J199" s="311" t="str">
        <f t="shared" si="203"/>
        <v/>
      </c>
      <c r="K199" s="311" t="str">
        <f t="shared" si="204"/>
        <v/>
      </c>
      <c r="L199" s="310" t="str">
        <f t="shared" si="205"/>
        <v/>
      </c>
      <c r="M199" s="310" t="str">
        <f t="shared" si="206"/>
        <v/>
      </c>
      <c r="N199" s="311" t="str">
        <f t="shared" si="207"/>
        <v/>
      </c>
    </row>
    <row r="200" spans="1:14" s="294" customFormat="1">
      <c r="A200" s="297" t="s">
        <v>1517</v>
      </c>
      <c r="B200" s="301"/>
      <c r="C200" s="299" t="s">
        <v>1496</v>
      </c>
      <c r="D200" s="299">
        <v>1</v>
      </c>
      <c r="E200" s="300">
        <f>12+11+12</f>
        <v>35</v>
      </c>
      <c r="F200" s="300">
        <f t="shared" si="208"/>
        <v>35</v>
      </c>
      <c r="G200" s="302">
        <f>(0.35*2)+17*0.008*2</f>
        <v>0.97</v>
      </c>
      <c r="H200" s="310" t="str">
        <f t="shared" si="201"/>
        <v/>
      </c>
      <c r="I200" s="311">
        <f t="shared" si="202"/>
        <v>33.950000000000003</v>
      </c>
      <c r="J200" s="311" t="str">
        <f t="shared" si="203"/>
        <v/>
      </c>
      <c r="K200" s="311" t="str">
        <f t="shared" si="204"/>
        <v/>
      </c>
      <c r="L200" s="310" t="str">
        <f t="shared" si="205"/>
        <v/>
      </c>
      <c r="M200" s="310" t="str">
        <f t="shared" si="206"/>
        <v/>
      </c>
      <c r="N200" s="311" t="str">
        <f t="shared" si="207"/>
        <v/>
      </c>
    </row>
    <row r="201" spans="1:14" s="294" customFormat="1">
      <c r="A201" s="297" t="s">
        <v>1520</v>
      </c>
      <c r="B201" s="301"/>
      <c r="C201" s="299" t="s">
        <v>1516</v>
      </c>
      <c r="D201" s="299">
        <v>1</v>
      </c>
      <c r="E201" s="300">
        <v>3</v>
      </c>
      <c r="F201" s="300">
        <f>E201*D201</f>
        <v>3</v>
      </c>
      <c r="G201" s="302">
        <v>2.9</v>
      </c>
      <c r="H201" s="310" t="str">
        <f t="shared" si="201"/>
        <v/>
      </c>
      <c r="I201" s="311" t="str">
        <f t="shared" si="202"/>
        <v/>
      </c>
      <c r="J201" s="311" t="str">
        <f t="shared" si="203"/>
        <v/>
      </c>
      <c r="K201" s="311">
        <f t="shared" si="204"/>
        <v>8.6999999999999993</v>
      </c>
      <c r="L201" s="310" t="str">
        <f t="shared" si="205"/>
        <v/>
      </c>
      <c r="M201" s="310" t="str">
        <f t="shared" si="206"/>
        <v/>
      </c>
      <c r="N201" s="311" t="str">
        <f t="shared" si="207"/>
        <v/>
      </c>
    </row>
    <row r="202" spans="1:14">
      <c r="A202" s="297"/>
      <c r="B202" s="254"/>
      <c r="C202" s="299" t="s">
        <v>1516</v>
      </c>
      <c r="D202" s="299">
        <v>1</v>
      </c>
      <c r="E202" s="300">
        <v>3</v>
      </c>
      <c r="F202" s="300">
        <f>E202*D202</f>
        <v>3</v>
      </c>
      <c r="G202" s="302">
        <v>2.9</v>
      </c>
      <c r="H202" s="310" t="str">
        <f t="shared" si="201"/>
        <v/>
      </c>
      <c r="I202" s="311" t="str">
        <f t="shared" si="202"/>
        <v/>
      </c>
      <c r="J202" s="311" t="str">
        <f t="shared" si="203"/>
        <v/>
      </c>
      <c r="K202" s="311">
        <f t="shared" si="204"/>
        <v>8.6999999999999993</v>
      </c>
      <c r="L202" s="310" t="str">
        <f t="shared" si="205"/>
        <v/>
      </c>
      <c r="M202" s="310" t="str">
        <f t="shared" si="206"/>
        <v/>
      </c>
      <c r="N202" s="311" t="str">
        <f t="shared" si="207"/>
        <v/>
      </c>
    </row>
    <row r="203" spans="1:14">
      <c r="A203" s="253"/>
      <c r="B203" s="254"/>
      <c r="C203" s="254"/>
      <c r="D203" s="254"/>
      <c r="E203" s="259"/>
      <c r="F203" s="259"/>
      <c r="G203" s="255"/>
      <c r="H203" s="308"/>
      <c r="I203" s="309"/>
      <c r="J203" s="309"/>
      <c r="K203" s="309"/>
      <c r="L203" s="308"/>
      <c r="M203" s="308"/>
      <c r="N203" s="309"/>
    </row>
    <row r="204" spans="1:14" ht="16.5">
      <c r="A204" s="303" t="s">
        <v>1535</v>
      </c>
      <c r="B204" s="254"/>
      <c r="C204" s="254"/>
      <c r="D204" s="254"/>
      <c r="E204" s="259"/>
      <c r="F204" s="259"/>
      <c r="G204" s="255"/>
      <c r="H204" s="308"/>
      <c r="I204" s="309"/>
      <c r="J204" s="309"/>
      <c r="K204" s="309"/>
      <c r="L204" s="308"/>
      <c r="M204" s="308"/>
      <c r="N204" s="309"/>
    </row>
    <row r="205" spans="1:14" s="294" customFormat="1">
      <c r="A205" s="297" t="s">
        <v>1515</v>
      </c>
      <c r="B205" s="298"/>
      <c r="C205" s="299" t="s">
        <v>1519</v>
      </c>
      <c r="D205" s="299">
        <v>1</v>
      </c>
      <c r="E205" s="300">
        <v>3</v>
      </c>
      <c r="F205" s="300">
        <f>E205*D205</f>
        <v>3</v>
      </c>
      <c r="G205" s="299">
        <f>(3.65)+17*0.01*2</f>
        <v>3.99</v>
      </c>
      <c r="H205" s="310" t="str">
        <f t="shared" ref="H205:H210" si="209">IF(C205="T6",G205*F205,"")</f>
        <v/>
      </c>
      <c r="I205" s="311" t="str">
        <f t="shared" ref="I205:I210" si="210">IF(C205="T8",F205*G205,"")</f>
        <v/>
      </c>
      <c r="J205" s="311">
        <f t="shared" ref="J205:J210" si="211">IF(C205="T10",F205*G205,"")</f>
        <v>11.97</v>
      </c>
      <c r="K205" s="311" t="str">
        <f t="shared" ref="K205:K210" si="212">IF(C205="T12",F205*G205,"")</f>
        <v/>
      </c>
      <c r="L205" s="310" t="str">
        <f t="shared" ref="L205:L210" si="213">IF(C205="T14",F205*G205,"")</f>
        <v/>
      </c>
      <c r="M205" s="310" t="str">
        <f t="shared" ref="M205:M210" si="214">IF(C205="T16",G205*F205,"")</f>
        <v/>
      </c>
      <c r="N205" s="311" t="str">
        <f t="shared" ref="N205:N210" si="215">IF(C205="T20",G205*F205,"")</f>
        <v/>
      </c>
    </row>
    <row r="206" spans="1:14" s="294" customFormat="1">
      <c r="A206" s="297" t="s">
        <v>1515</v>
      </c>
      <c r="B206" s="298"/>
      <c r="C206" s="299" t="s">
        <v>1492</v>
      </c>
      <c r="D206" s="299">
        <v>1</v>
      </c>
      <c r="E206" s="300">
        <v>3</v>
      </c>
      <c r="F206" s="300">
        <f>E206*D206</f>
        <v>3</v>
      </c>
      <c r="G206" s="302">
        <f>(3.65)+17*0.012*2</f>
        <v>4.0599999999999996</v>
      </c>
      <c r="H206" s="310" t="str">
        <f t="shared" si="209"/>
        <v/>
      </c>
      <c r="I206" s="311" t="str">
        <f t="shared" si="210"/>
        <v/>
      </c>
      <c r="J206" s="311" t="str">
        <f t="shared" si="211"/>
        <v/>
      </c>
      <c r="K206" s="311" t="str">
        <f t="shared" si="212"/>
        <v/>
      </c>
      <c r="L206" s="310">
        <f t="shared" si="213"/>
        <v>12.18</v>
      </c>
      <c r="M206" s="310" t="str">
        <f t="shared" si="214"/>
        <v/>
      </c>
      <c r="N206" s="311" t="str">
        <f t="shared" si="215"/>
        <v/>
      </c>
    </row>
    <row r="207" spans="1:14" s="294" customFormat="1">
      <c r="A207" s="297" t="s">
        <v>1494</v>
      </c>
      <c r="B207" s="301"/>
      <c r="C207" s="299" t="s">
        <v>1496</v>
      </c>
      <c r="D207" s="299">
        <v>1</v>
      </c>
      <c r="E207" s="300">
        <f>12+11+12</f>
        <v>35</v>
      </c>
      <c r="F207" s="300">
        <f t="shared" ref="F207:F208" si="216">E207*D207</f>
        <v>35</v>
      </c>
      <c r="G207" s="302">
        <f>(0.2+0.35)*2+17*0.008*2</f>
        <v>1.37</v>
      </c>
      <c r="H207" s="310" t="str">
        <f t="shared" si="209"/>
        <v/>
      </c>
      <c r="I207" s="311">
        <f t="shared" si="210"/>
        <v>47.95</v>
      </c>
      <c r="J207" s="311" t="str">
        <f t="shared" si="211"/>
        <v/>
      </c>
      <c r="K207" s="311" t="str">
        <f t="shared" si="212"/>
        <v/>
      </c>
      <c r="L207" s="310" t="str">
        <f t="shared" si="213"/>
        <v/>
      </c>
      <c r="M207" s="310" t="str">
        <f t="shared" si="214"/>
        <v/>
      </c>
      <c r="N207" s="311" t="str">
        <f t="shared" si="215"/>
        <v/>
      </c>
    </row>
    <row r="208" spans="1:14" s="294" customFormat="1">
      <c r="A208" s="297" t="s">
        <v>1517</v>
      </c>
      <c r="B208" s="301"/>
      <c r="C208" s="299" t="s">
        <v>1496</v>
      </c>
      <c r="D208" s="299">
        <v>1</v>
      </c>
      <c r="E208" s="300">
        <f>12+11+12</f>
        <v>35</v>
      </c>
      <c r="F208" s="300">
        <f t="shared" si="216"/>
        <v>35</v>
      </c>
      <c r="G208" s="302">
        <f>(0.35*2)+17*0.008*2</f>
        <v>0.97</v>
      </c>
      <c r="H208" s="310" t="str">
        <f t="shared" si="209"/>
        <v/>
      </c>
      <c r="I208" s="311">
        <f t="shared" si="210"/>
        <v>33.950000000000003</v>
      </c>
      <c r="J208" s="311" t="str">
        <f t="shared" si="211"/>
        <v/>
      </c>
      <c r="K208" s="311" t="str">
        <f t="shared" si="212"/>
        <v/>
      </c>
      <c r="L208" s="310" t="str">
        <f t="shared" si="213"/>
        <v/>
      </c>
      <c r="M208" s="310" t="str">
        <f t="shared" si="214"/>
        <v/>
      </c>
      <c r="N208" s="311" t="str">
        <f t="shared" si="215"/>
        <v/>
      </c>
    </row>
    <row r="209" spans="1:14" s="294" customFormat="1">
      <c r="A209" s="297" t="s">
        <v>1520</v>
      </c>
      <c r="B209" s="301"/>
      <c r="C209" s="299" t="s">
        <v>1516</v>
      </c>
      <c r="D209" s="299">
        <v>1</v>
      </c>
      <c r="E209" s="300">
        <v>3</v>
      </c>
      <c r="F209" s="300">
        <f>E209*D209</f>
        <v>3</v>
      </c>
      <c r="G209" s="302">
        <v>2.9</v>
      </c>
      <c r="H209" s="310" t="str">
        <f t="shared" si="209"/>
        <v/>
      </c>
      <c r="I209" s="311" t="str">
        <f t="shared" si="210"/>
        <v/>
      </c>
      <c r="J209" s="311" t="str">
        <f t="shared" si="211"/>
        <v/>
      </c>
      <c r="K209" s="311">
        <f t="shared" si="212"/>
        <v>8.6999999999999993</v>
      </c>
      <c r="L209" s="310" t="str">
        <f t="shared" si="213"/>
        <v/>
      </c>
      <c r="M209" s="310" t="str">
        <f t="shared" si="214"/>
        <v/>
      </c>
      <c r="N209" s="311" t="str">
        <f t="shared" si="215"/>
        <v/>
      </c>
    </row>
    <row r="210" spans="1:14">
      <c r="A210" s="297"/>
      <c r="B210" s="254"/>
      <c r="C210" s="299" t="s">
        <v>1516</v>
      </c>
      <c r="D210" s="299">
        <v>1</v>
      </c>
      <c r="E210" s="300">
        <v>3</v>
      </c>
      <c r="F210" s="300">
        <f>E210*D210</f>
        <v>3</v>
      </c>
      <c r="G210" s="302">
        <v>2.9</v>
      </c>
      <c r="H210" s="310" t="str">
        <f t="shared" si="209"/>
        <v/>
      </c>
      <c r="I210" s="311" t="str">
        <f t="shared" si="210"/>
        <v/>
      </c>
      <c r="J210" s="311" t="str">
        <f t="shared" si="211"/>
        <v/>
      </c>
      <c r="K210" s="311">
        <f t="shared" si="212"/>
        <v>8.6999999999999993</v>
      </c>
      <c r="L210" s="310" t="str">
        <f t="shared" si="213"/>
        <v/>
      </c>
      <c r="M210" s="310" t="str">
        <f t="shared" si="214"/>
        <v/>
      </c>
      <c r="N210" s="311" t="str">
        <f t="shared" si="215"/>
        <v/>
      </c>
    </row>
    <row r="211" spans="1:14">
      <c r="A211" s="253"/>
      <c r="B211" s="254"/>
      <c r="C211" s="254"/>
      <c r="D211" s="254"/>
      <c r="E211" s="259"/>
      <c r="F211" s="259"/>
      <c r="G211" s="255"/>
      <c r="H211" s="308"/>
      <c r="I211" s="309"/>
      <c r="J211" s="309"/>
      <c r="K211" s="309"/>
      <c r="L211" s="308"/>
      <c r="M211" s="308"/>
      <c r="N211" s="309"/>
    </row>
    <row r="212" spans="1:14" ht="16.5">
      <c r="A212" s="303" t="s">
        <v>1555</v>
      </c>
      <c r="B212" s="254"/>
      <c r="C212" s="254"/>
      <c r="D212" s="254"/>
      <c r="E212" s="259"/>
      <c r="F212" s="259"/>
      <c r="G212" s="255"/>
      <c r="H212" s="308"/>
      <c r="I212" s="309"/>
      <c r="J212" s="309"/>
      <c r="K212" s="309"/>
      <c r="L212" s="308"/>
      <c r="M212" s="308"/>
      <c r="N212" s="309"/>
    </row>
    <row r="213" spans="1:14" s="294" customFormat="1">
      <c r="A213" s="297" t="s">
        <v>1515</v>
      </c>
      <c r="B213" s="298"/>
      <c r="C213" s="299" t="s">
        <v>1519</v>
      </c>
      <c r="D213" s="299">
        <v>1</v>
      </c>
      <c r="E213" s="300">
        <v>3</v>
      </c>
      <c r="F213" s="300">
        <f>E213*D213</f>
        <v>3</v>
      </c>
      <c r="G213" s="299">
        <f>(4.35)+17*0.01*2</f>
        <v>4.6900000000000004</v>
      </c>
      <c r="H213" s="310" t="str">
        <f t="shared" ref="H213:H218" si="217">IF(C213="T6",G213*F213,"")</f>
        <v/>
      </c>
      <c r="I213" s="311" t="str">
        <f t="shared" ref="I213:I218" si="218">IF(C213="T8",F213*G213,"")</f>
        <v/>
      </c>
      <c r="J213" s="311">
        <f t="shared" ref="J213:J219" si="219">IF(C213="T10",F213*G213,"")</f>
        <v>14.07</v>
      </c>
      <c r="K213" s="311" t="str">
        <f t="shared" ref="K213:K218" si="220">IF(C213="T12",F213*G213,"")</f>
        <v/>
      </c>
      <c r="L213" s="310" t="str">
        <f t="shared" ref="L213:L218" si="221">IF(C213="T14",F213*G213,"")</f>
        <v/>
      </c>
      <c r="M213" s="310" t="str">
        <f t="shared" ref="M213:M218" si="222">IF(C213="T16",G213*F213,"")</f>
        <v/>
      </c>
      <c r="N213" s="311" t="str">
        <f t="shared" ref="N213:N218" si="223">IF(C213="T20",G213*F213,"")</f>
        <v/>
      </c>
    </row>
    <row r="214" spans="1:14" s="294" customFormat="1">
      <c r="A214" s="297" t="s">
        <v>1515</v>
      </c>
      <c r="B214" s="298"/>
      <c r="C214" s="299" t="s">
        <v>1492</v>
      </c>
      <c r="D214" s="299">
        <v>1</v>
      </c>
      <c r="E214" s="300">
        <v>3</v>
      </c>
      <c r="F214" s="300">
        <f>E214*D214</f>
        <v>3</v>
      </c>
      <c r="G214" s="302">
        <f>(4.35)+17*0.012*2</f>
        <v>4.76</v>
      </c>
      <c r="H214" s="310" t="str">
        <f t="shared" si="217"/>
        <v/>
      </c>
      <c r="I214" s="311" t="str">
        <f t="shared" si="218"/>
        <v/>
      </c>
      <c r="J214" s="311" t="str">
        <f t="shared" si="219"/>
        <v/>
      </c>
      <c r="K214" s="311" t="str">
        <f t="shared" si="220"/>
        <v/>
      </c>
      <c r="L214" s="310">
        <f t="shared" si="221"/>
        <v>14.28</v>
      </c>
      <c r="M214" s="310" t="str">
        <f t="shared" si="222"/>
        <v/>
      </c>
      <c r="N214" s="311" t="str">
        <f t="shared" si="223"/>
        <v/>
      </c>
    </row>
    <row r="215" spans="1:14" s="294" customFormat="1">
      <c r="A215" s="297" t="s">
        <v>1494</v>
      </c>
      <c r="B215" s="301"/>
      <c r="C215" s="299" t="s">
        <v>1496</v>
      </c>
      <c r="D215" s="299">
        <v>1</v>
      </c>
      <c r="E215" s="300">
        <f>13+12+13</f>
        <v>38</v>
      </c>
      <c r="F215" s="300">
        <f t="shared" ref="F215:F216" si="224">E215*D215</f>
        <v>38</v>
      </c>
      <c r="G215" s="302">
        <f>(0.2+0.35)*2+17*0.008*2</f>
        <v>1.37</v>
      </c>
      <c r="H215" s="310" t="str">
        <f t="shared" si="217"/>
        <v/>
      </c>
      <c r="I215" s="311">
        <f t="shared" si="218"/>
        <v>52.06</v>
      </c>
      <c r="J215" s="311" t="str">
        <f t="shared" si="219"/>
        <v/>
      </c>
      <c r="K215" s="311" t="str">
        <f t="shared" si="220"/>
        <v/>
      </c>
      <c r="L215" s="310" t="str">
        <f t="shared" si="221"/>
        <v/>
      </c>
      <c r="M215" s="310" t="str">
        <f t="shared" si="222"/>
        <v/>
      </c>
      <c r="N215" s="311" t="str">
        <f t="shared" si="223"/>
        <v/>
      </c>
    </row>
    <row r="216" spans="1:14" s="294" customFormat="1">
      <c r="A216" s="297" t="s">
        <v>1517</v>
      </c>
      <c r="B216" s="301"/>
      <c r="C216" s="299" t="s">
        <v>1496</v>
      </c>
      <c r="D216" s="299">
        <v>1</v>
      </c>
      <c r="E216" s="300">
        <f>13+12+13</f>
        <v>38</v>
      </c>
      <c r="F216" s="300">
        <f t="shared" si="224"/>
        <v>38</v>
      </c>
      <c r="G216" s="302">
        <f>(0.35*2)+17*0.008*2</f>
        <v>0.97</v>
      </c>
      <c r="H216" s="310" t="str">
        <f t="shared" si="217"/>
        <v/>
      </c>
      <c r="I216" s="311">
        <f t="shared" si="218"/>
        <v>36.86</v>
      </c>
      <c r="J216" s="311" t="str">
        <f t="shared" si="219"/>
        <v/>
      </c>
      <c r="K216" s="311" t="str">
        <f t="shared" si="220"/>
        <v/>
      </c>
      <c r="L216" s="310" t="str">
        <f t="shared" si="221"/>
        <v/>
      </c>
      <c r="M216" s="310" t="str">
        <f t="shared" si="222"/>
        <v/>
      </c>
      <c r="N216" s="311" t="str">
        <f t="shared" si="223"/>
        <v/>
      </c>
    </row>
    <row r="217" spans="1:14" s="294" customFormat="1">
      <c r="A217" s="297" t="s">
        <v>1520</v>
      </c>
      <c r="B217" s="301"/>
      <c r="C217" s="299" t="s">
        <v>1516</v>
      </c>
      <c r="D217" s="299">
        <v>1</v>
      </c>
      <c r="E217" s="300">
        <v>3</v>
      </c>
      <c r="F217" s="300">
        <f>E217*D217</f>
        <v>3</v>
      </c>
      <c r="G217" s="302">
        <v>2.9</v>
      </c>
      <c r="H217" s="310" t="str">
        <f t="shared" si="217"/>
        <v/>
      </c>
      <c r="I217" s="311" t="str">
        <f t="shared" si="218"/>
        <v/>
      </c>
      <c r="J217" s="311" t="str">
        <f t="shared" si="219"/>
        <v/>
      </c>
      <c r="K217" s="311">
        <f t="shared" si="220"/>
        <v>8.6999999999999993</v>
      </c>
      <c r="L217" s="310" t="str">
        <f t="shared" si="221"/>
        <v/>
      </c>
      <c r="M217" s="310" t="str">
        <f t="shared" si="222"/>
        <v/>
      </c>
      <c r="N217" s="311" t="str">
        <f t="shared" si="223"/>
        <v/>
      </c>
    </row>
    <row r="218" spans="1:14">
      <c r="A218" s="297"/>
      <c r="B218" s="254"/>
      <c r="C218" s="299" t="s">
        <v>1516</v>
      </c>
      <c r="D218" s="299">
        <v>1</v>
      </c>
      <c r="E218" s="300">
        <v>3</v>
      </c>
      <c r="F218" s="300">
        <f>E218*D218</f>
        <v>3</v>
      </c>
      <c r="G218" s="302">
        <v>2.9</v>
      </c>
      <c r="H218" s="310" t="str">
        <f t="shared" si="217"/>
        <v/>
      </c>
      <c r="I218" s="311" t="str">
        <f t="shared" si="218"/>
        <v/>
      </c>
      <c r="J218" s="311" t="str">
        <f t="shared" si="219"/>
        <v/>
      </c>
      <c r="K218" s="311">
        <f t="shared" si="220"/>
        <v>8.6999999999999993</v>
      </c>
      <c r="L218" s="310" t="str">
        <f t="shared" si="221"/>
        <v/>
      </c>
      <c r="M218" s="310" t="str">
        <f t="shared" si="222"/>
        <v/>
      </c>
      <c r="N218" s="311" t="str">
        <f t="shared" si="223"/>
        <v/>
      </c>
    </row>
    <row r="219" spans="1:14">
      <c r="A219" s="253"/>
      <c r="B219" s="254"/>
      <c r="C219" s="299" t="s">
        <v>1519</v>
      </c>
      <c r="D219" s="299">
        <v>1</v>
      </c>
      <c r="E219" s="300">
        <v>3</v>
      </c>
      <c r="F219" s="300">
        <f>E219*D219</f>
        <v>3</v>
      </c>
      <c r="G219" s="302">
        <v>4.3499999999999996</v>
      </c>
      <c r="H219" s="308"/>
      <c r="I219" s="309"/>
      <c r="J219" s="311">
        <f t="shared" si="219"/>
        <v>13.05</v>
      </c>
      <c r="K219" s="309"/>
      <c r="L219" s="308"/>
      <c r="M219" s="308"/>
      <c r="N219" s="309"/>
    </row>
    <row r="220" spans="1:14">
      <c r="A220" s="253"/>
      <c r="B220" s="254"/>
      <c r="C220" s="254"/>
      <c r="D220" s="254"/>
      <c r="E220" s="259"/>
      <c r="F220" s="259"/>
      <c r="G220" s="255"/>
      <c r="H220" s="308"/>
      <c r="I220" s="309"/>
      <c r="J220" s="309"/>
      <c r="K220" s="309"/>
      <c r="L220" s="308"/>
      <c r="M220" s="308"/>
      <c r="N220" s="309"/>
    </row>
    <row r="221" spans="1:14" ht="16.5">
      <c r="A221" s="303" t="s">
        <v>1556</v>
      </c>
      <c r="B221" s="254"/>
      <c r="C221" s="254"/>
      <c r="D221" s="254"/>
      <c r="E221" s="259"/>
      <c r="F221" s="259"/>
      <c r="G221" s="255"/>
      <c r="H221" s="308"/>
      <c r="I221" s="309"/>
      <c r="J221" s="309"/>
      <c r="K221" s="309"/>
      <c r="L221" s="308"/>
      <c r="M221" s="308"/>
      <c r="N221" s="309"/>
    </row>
    <row r="222" spans="1:14" s="294" customFormat="1">
      <c r="A222" s="297" t="s">
        <v>1515</v>
      </c>
      <c r="B222" s="298"/>
      <c r="C222" s="299" t="s">
        <v>1519</v>
      </c>
      <c r="D222" s="299">
        <v>1</v>
      </c>
      <c r="E222" s="300">
        <v>3</v>
      </c>
      <c r="F222" s="300">
        <f>E222*D222</f>
        <v>3</v>
      </c>
      <c r="G222" s="299">
        <f>(2.05)+17*0.01*2</f>
        <v>2.39</v>
      </c>
      <c r="H222" s="310" t="str">
        <f t="shared" ref="H222:H227" si="225">IF(C222="T6",G222*F222,"")</f>
        <v/>
      </c>
      <c r="I222" s="311" t="str">
        <f t="shared" ref="I222:I227" si="226">IF(C222="T8",F222*G222,"")</f>
        <v/>
      </c>
      <c r="J222" s="311">
        <f t="shared" ref="J222:J227" si="227">IF(C222="T10",F222*G222,"")</f>
        <v>7.17</v>
      </c>
      <c r="K222" s="311" t="str">
        <f t="shared" ref="K222:K227" si="228">IF(C222="T12",F222*G222,"")</f>
        <v/>
      </c>
      <c r="L222" s="310" t="str">
        <f t="shared" ref="L222:L227" si="229">IF(C222="T14",F222*G222,"")</f>
        <v/>
      </c>
      <c r="M222" s="310" t="str">
        <f t="shared" ref="M222:M227" si="230">IF(C222="T16",G222*F222,"")</f>
        <v/>
      </c>
      <c r="N222" s="311" t="str">
        <f t="shared" ref="N222:N227" si="231">IF(C222="T20",G222*F222,"")</f>
        <v/>
      </c>
    </row>
    <row r="223" spans="1:14" s="294" customFormat="1">
      <c r="A223" s="297" t="s">
        <v>1515</v>
      </c>
      <c r="B223" s="298"/>
      <c r="C223" s="299" t="s">
        <v>1492</v>
      </c>
      <c r="D223" s="299">
        <v>1</v>
      </c>
      <c r="E223" s="300">
        <v>3</v>
      </c>
      <c r="F223" s="300">
        <f>E223*D223</f>
        <v>3</v>
      </c>
      <c r="G223" s="302">
        <f>(2.05)+17*0.012*2</f>
        <v>2.46</v>
      </c>
      <c r="H223" s="310" t="str">
        <f t="shared" si="225"/>
        <v/>
      </c>
      <c r="I223" s="311" t="str">
        <f t="shared" si="226"/>
        <v/>
      </c>
      <c r="J223" s="311" t="str">
        <f t="shared" si="227"/>
        <v/>
      </c>
      <c r="K223" s="311" t="str">
        <f t="shared" si="228"/>
        <v/>
      </c>
      <c r="L223" s="310">
        <f t="shared" si="229"/>
        <v>7.38</v>
      </c>
      <c r="M223" s="310" t="str">
        <f t="shared" si="230"/>
        <v/>
      </c>
      <c r="N223" s="311" t="str">
        <f t="shared" si="231"/>
        <v/>
      </c>
    </row>
    <row r="224" spans="1:14" s="294" customFormat="1">
      <c r="A224" s="297" t="s">
        <v>1494</v>
      </c>
      <c r="B224" s="301"/>
      <c r="C224" s="299" t="s">
        <v>1496</v>
      </c>
      <c r="D224" s="299">
        <v>1</v>
      </c>
      <c r="E224" s="300">
        <f>7+7+7</f>
        <v>21</v>
      </c>
      <c r="F224" s="300">
        <f t="shared" ref="F224:F225" si="232">E224*D224</f>
        <v>21</v>
      </c>
      <c r="G224" s="302">
        <f>(0.2+0.25)*2+17*0.008*2</f>
        <v>1.17</v>
      </c>
      <c r="H224" s="310" t="str">
        <f t="shared" si="225"/>
        <v/>
      </c>
      <c r="I224" s="311">
        <f t="shared" si="226"/>
        <v>24.57</v>
      </c>
      <c r="J224" s="311" t="str">
        <f t="shared" si="227"/>
        <v/>
      </c>
      <c r="K224" s="311" t="str">
        <f t="shared" si="228"/>
        <v/>
      </c>
      <c r="L224" s="310" t="str">
        <f t="shared" si="229"/>
        <v/>
      </c>
      <c r="M224" s="310" t="str">
        <f t="shared" si="230"/>
        <v/>
      </c>
      <c r="N224" s="311" t="str">
        <f t="shared" si="231"/>
        <v/>
      </c>
    </row>
    <row r="225" spans="1:14" s="294" customFormat="1">
      <c r="A225" s="297" t="s">
        <v>1517</v>
      </c>
      <c r="B225" s="301"/>
      <c r="C225" s="299" t="s">
        <v>1496</v>
      </c>
      <c r="D225" s="299">
        <v>1</v>
      </c>
      <c r="E225" s="300">
        <f>7+7+7</f>
        <v>21</v>
      </c>
      <c r="F225" s="300">
        <f t="shared" si="232"/>
        <v>21</v>
      </c>
      <c r="G225" s="302">
        <f>(0.25*2)+17*0.008*2</f>
        <v>0.77</v>
      </c>
      <c r="H225" s="310" t="str">
        <f t="shared" si="225"/>
        <v/>
      </c>
      <c r="I225" s="311">
        <f t="shared" si="226"/>
        <v>16.170000000000002</v>
      </c>
      <c r="J225" s="311" t="str">
        <f t="shared" si="227"/>
        <v/>
      </c>
      <c r="K225" s="311" t="str">
        <f t="shared" si="228"/>
        <v/>
      </c>
      <c r="L225" s="310" t="str">
        <f t="shared" si="229"/>
        <v/>
      </c>
      <c r="M225" s="310" t="str">
        <f t="shared" si="230"/>
        <v/>
      </c>
      <c r="N225" s="311" t="str">
        <f t="shared" si="231"/>
        <v/>
      </c>
    </row>
    <row r="226" spans="1:14" s="294" customFormat="1">
      <c r="A226" s="297" t="s">
        <v>1520</v>
      </c>
      <c r="B226" s="301"/>
      <c r="C226" s="299" t="s">
        <v>1492</v>
      </c>
      <c r="D226" s="299">
        <v>1</v>
      </c>
      <c r="E226" s="300">
        <v>3</v>
      </c>
      <c r="F226" s="300">
        <f>E226*D226</f>
        <v>3</v>
      </c>
      <c r="G226" s="302">
        <v>2.9</v>
      </c>
      <c r="H226" s="310" t="str">
        <f t="shared" si="225"/>
        <v/>
      </c>
      <c r="I226" s="311" t="str">
        <f t="shared" si="226"/>
        <v/>
      </c>
      <c r="J226" s="311" t="str">
        <f t="shared" si="227"/>
        <v/>
      </c>
      <c r="K226" s="311" t="str">
        <f t="shared" si="228"/>
        <v/>
      </c>
      <c r="L226" s="310">
        <f t="shared" si="229"/>
        <v>8.6999999999999993</v>
      </c>
      <c r="M226" s="310" t="str">
        <f t="shared" si="230"/>
        <v/>
      </c>
      <c r="N226" s="311" t="str">
        <f t="shared" si="231"/>
        <v/>
      </c>
    </row>
    <row r="227" spans="1:14">
      <c r="A227" s="297"/>
      <c r="B227" s="254"/>
      <c r="C227" s="299" t="s">
        <v>1492</v>
      </c>
      <c r="D227" s="299">
        <v>1</v>
      </c>
      <c r="E227" s="300">
        <v>3</v>
      </c>
      <c r="F227" s="300">
        <f>E227*D227</f>
        <v>3</v>
      </c>
      <c r="G227" s="302">
        <v>1.9</v>
      </c>
      <c r="H227" s="310" t="str">
        <f t="shared" si="225"/>
        <v/>
      </c>
      <c r="I227" s="311" t="str">
        <f t="shared" si="226"/>
        <v/>
      </c>
      <c r="J227" s="311" t="str">
        <f t="shared" si="227"/>
        <v/>
      </c>
      <c r="K227" s="311" t="str">
        <f t="shared" si="228"/>
        <v/>
      </c>
      <c r="L227" s="310">
        <f t="shared" si="229"/>
        <v>5.7</v>
      </c>
      <c r="M227" s="310" t="str">
        <f t="shared" si="230"/>
        <v/>
      </c>
      <c r="N227" s="311" t="str">
        <f t="shared" si="231"/>
        <v/>
      </c>
    </row>
    <row r="228" spans="1:14">
      <c r="A228" s="253"/>
      <c r="B228" s="254"/>
      <c r="C228" s="254"/>
      <c r="D228" s="254"/>
      <c r="E228" s="259"/>
      <c r="F228" s="259"/>
      <c r="G228" s="255"/>
      <c r="H228" s="308"/>
      <c r="I228" s="309"/>
      <c r="J228" s="309"/>
      <c r="K228" s="309"/>
      <c r="L228" s="308"/>
      <c r="M228" s="308"/>
      <c r="N228" s="309"/>
    </row>
    <row r="229" spans="1:14" ht="16.5">
      <c r="A229" s="303" t="s">
        <v>1536</v>
      </c>
      <c r="B229" s="254"/>
      <c r="C229" s="254"/>
      <c r="D229" s="254"/>
      <c r="E229" s="259"/>
      <c r="F229" s="259"/>
      <c r="G229" s="255"/>
      <c r="H229" s="308"/>
      <c r="I229" s="309"/>
      <c r="J229" s="309"/>
      <c r="K229" s="309"/>
      <c r="L229" s="308"/>
      <c r="M229" s="308"/>
      <c r="N229" s="309"/>
    </row>
    <row r="230" spans="1:14" s="294" customFormat="1">
      <c r="A230" s="297" t="s">
        <v>1515</v>
      </c>
      <c r="B230" s="298"/>
      <c r="C230" s="299" t="s">
        <v>1519</v>
      </c>
      <c r="D230" s="299">
        <v>1</v>
      </c>
      <c r="E230" s="300">
        <v>3</v>
      </c>
      <c r="F230" s="300">
        <f>E230*D230</f>
        <v>3</v>
      </c>
      <c r="G230" s="299">
        <f>(2.5)+17*0.01*2</f>
        <v>2.84</v>
      </c>
      <c r="H230" s="310" t="str">
        <f t="shared" ref="H230:H235" si="233">IF(C230="T6",G230*F230,"")</f>
        <v/>
      </c>
      <c r="I230" s="311" t="str">
        <f t="shared" ref="I230:I235" si="234">IF(C230="T8",F230*G230,"")</f>
        <v/>
      </c>
      <c r="J230" s="311">
        <f t="shared" ref="J230:J235" si="235">IF(C230="T10",F230*G230,"")</f>
        <v>8.52</v>
      </c>
      <c r="K230" s="311" t="str">
        <f t="shared" ref="K230:K235" si="236">IF(C230="T12",F230*G230,"")</f>
        <v/>
      </c>
      <c r="L230" s="310" t="str">
        <f t="shared" ref="L230:L235" si="237">IF(C230="T14",F230*G230,"")</f>
        <v/>
      </c>
      <c r="M230" s="310" t="str">
        <f t="shared" ref="M230:M235" si="238">IF(C230="T16",G230*F230,"")</f>
        <v/>
      </c>
      <c r="N230" s="311" t="str">
        <f t="shared" ref="N230:N235" si="239">IF(C230="T20",G230*F230,"")</f>
        <v/>
      </c>
    </row>
    <row r="231" spans="1:14" s="294" customFormat="1">
      <c r="A231" s="297" t="s">
        <v>1515</v>
      </c>
      <c r="B231" s="298"/>
      <c r="C231" s="299" t="s">
        <v>1492</v>
      </c>
      <c r="D231" s="299">
        <v>1</v>
      </c>
      <c r="E231" s="300">
        <v>3</v>
      </c>
      <c r="F231" s="300">
        <f>E231*D231</f>
        <v>3</v>
      </c>
      <c r="G231" s="302">
        <f>(2.5)+17*0.012*2</f>
        <v>2.91</v>
      </c>
      <c r="H231" s="310" t="str">
        <f t="shared" si="233"/>
        <v/>
      </c>
      <c r="I231" s="311" t="str">
        <f t="shared" si="234"/>
        <v/>
      </c>
      <c r="J231" s="311" t="str">
        <f t="shared" si="235"/>
        <v/>
      </c>
      <c r="K231" s="311" t="str">
        <f t="shared" si="236"/>
        <v/>
      </c>
      <c r="L231" s="310">
        <f t="shared" si="237"/>
        <v>8.73</v>
      </c>
      <c r="M231" s="310" t="str">
        <f t="shared" si="238"/>
        <v/>
      </c>
      <c r="N231" s="311" t="str">
        <f t="shared" si="239"/>
        <v/>
      </c>
    </row>
    <row r="232" spans="1:14" s="294" customFormat="1">
      <c r="A232" s="297" t="s">
        <v>1494</v>
      </c>
      <c r="B232" s="301"/>
      <c r="C232" s="299" t="s">
        <v>1496</v>
      </c>
      <c r="D232" s="299">
        <v>1</v>
      </c>
      <c r="E232" s="300">
        <f>11+15+11</f>
        <v>37</v>
      </c>
      <c r="F232" s="300">
        <f t="shared" ref="F232:F233" si="240">E232*D232</f>
        <v>37</v>
      </c>
      <c r="G232" s="302">
        <f>(0.2+0.25)*2+17*0.008*2</f>
        <v>1.17</v>
      </c>
      <c r="H232" s="310" t="str">
        <f t="shared" si="233"/>
        <v/>
      </c>
      <c r="I232" s="311">
        <f t="shared" si="234"/>
        <v>43.29</v>
      </c>
      <c r="J232" s="311" t="str">
        <f t="shared" si="235"/>
        <v/>
      </c>
      <c r="K232" s="311" t="str">
        <f t="shared" si="236"/>
        <v/>
      </c>
      <c r="L232" s="310" t="str">
        <f t="shared" si="237"/>
        <v/>
      </c>
      <c r="M232" s="310" t="str">
        <f t="shared" si="238"/>
        <v/>
      </c>
      <c r="N232" s="311" t="str">
        <f t="shared" si="239"/>
        <v/>
      </c>
    </row>
    <row r="233" spans="1:14" s="294" customFormat="1">
      <c r="A233" s="297" t="s">
        <v>1517</v>
      </c>
      <c r="B233" s="301"/>
      <c r="C233" s="299" t="s">
        <v>1496</v>
      </c>
      <c r="D233" s="299">
        <v>1</v>
      </c>
      <c r="E233" s="300">
        <f>11+15+11</f>
        <v>37</v>
      </c>
      <c r="F233" s="300">
        <f t="shared" si="240"/>
        <v>37</v>
      </c>
      <c r="G233" s="302">
        <f>(0.25*2)+17*0.008*2</f>
        <v>0.77</v>
      </c>
      <c r="H233" s="310" t="str">
        <f t="shared" si="233"/>
        <v/>
      </c>
      <c r="I233" s="311">
        <f t="shared" si="234"/>
        <v>28.49</v>
      </c>
      <c r="J233" s="311" t="str">
        <f t="shared" si="235"/>
        <v/>
      </c>
      <c r="K233" s="311" t="str">
        <f t="shared" si="236"/>
        <v/>
      </c>
      <c r="L233" s="310" t="str">
        <f t="shared" si="237"/>
        <v/>
      </c>
      <c r="M233" s="310" t="str">
        <f t="shared" si="238"/>
        <v/>
      </c>
      <c r="N233" s="311" t="str">
        <f t="shared" si="239"/>
        <v/>
      </c>
    </row>
    <row r="234" spans="1:14" s="294" customFormat="1">
      <c r="A234" s="297" t="s">
        <v>1520</v>
      </c>
      <c r="B234" s="301"/>
      <c r="C234" s="299" t="s">
        <v>1492</v>
      </c>
      <c r="D234" s="299">
        <v>1</v>
      </c>
      <c r="E234" s="300">
        <v>3</v>
      </c>
      <c r="F234" s="300">
        <f>E234*D234</f>
        <v>3</v>
      </c>
      <c r="G234" s="302">
        <v>3.3</v>
      </c>
      <c r="H234" s="310" t="str">
        <f t="shared" si="233"/>
        <v/>
      </c>
      <c r="I234" s="311" t="str">
        <f t="shared" si="234"/>
        <v/>
      </c>
      <c r="J234" s="311" t="str">
        <f t="shared" si="235"/>
        <v/>
      </c>
      <c r="K234" s="311" t="str">
        <f t="shared" si="236"/>
        <v/>
      </c>
      <c r="L234" s="310">
        <f t="shared" si="237"/>
        <v>9.9</v>
      </c>
      <c r="M234" s="310" t="str">
        <f t="shared" si="238"/>
        <v/>
      </c>
      <c r="N234" s="311" t="str">
        <f t="shared" si="239"/>
        <v/>
      </c>
    </row>
    <row r="235" spans="1:14">
      <c r="A235" s="297"/>
      <c r="B235" s="254"/>
      <c r="C235" s="299" t="s">
        <v>1516</v>
      </c>
      <c r="D235" s="299">
        <v>1</v>
      </c>
      <c r="E235" s="300">
        <v>3</v>
      </c>
      <c r="F235" s="300">
        <f>E235*D235</f>
        <v>3</v>
      </c>
      <c r="G235" s="302">
        <v>1.1000000000000001</v>
      </c>
      <c r="H235" s="310" t="str">
        <f t="shared" si="233"/>
        <v/>
      </c>
      <c r="I235" s="311" t="str">
        <f t="shared" si="234"/>
        <v/>
      </c>
      <c r="J235" s="311" t="str">
        <f t="shared" si="235"/>
        <v/>
      </c>
      <c r="K235" s="311">
        <f t="shared" si="236"/>
        <v>3.3</v>
      </c>
      <c r="L235" s="310" t="str">
        <f t="shared" si="237"/>
        <v/>
      </c>
      <c r="M235" s="310" t="str">
        <f t="shared" si="238"/>
        <v/>
      </c>
      <c r="N235" s="311" t="str">
        <f t="shared" si="239"/>
        <v/>
      </c>
    </row>
    <row r="236" spans="1:14">
      <c r="A236" s="253"/>
      <c r="B236" s="254"/>
      <c r="C236" s="254"/>
      <c r="D236" s="254"/>
      <c r="E236" s="259"/>
      <c r="F236" s="259"/>
      <c r="G236" s="255"/>
      <c r="H236" s="308"/>
      <c r="I236" s="309"/>
      <c r="J236" s="309"/>
      <c r="K236" s="309"/>
      <c r="L236" s="308"/>
      <c r="M236" s="308"/>
      <c r="N236" s="309"/>
    </row>
    <row r="237" spans="1:14" ht="19.5" customHeight="1">
      <c r="A237" s="326" t="s">
        <v>1376</v>
      </c>
      <c r="B237" s="254"/>
      <c r="C237" s="254"/>
      <c r="D237" s="254"/>
      <c r="E237" s="259"/>
      <c r="F237" s="259"/>
      <c r="G237" s="255"/>
      <c r="H237" s="308"/>
      <c r="I237" s="309"/>
      <c r="J237" s="309"/>
      <c r="K237" s="309"/>
      <c r="L237" s="308"/>
      <c r="M237" s="308"/>
      <c r="N237" s="309"/>
    </row>
    <row r="238" spans="1:14" ht="16.5">
      <c r="A238" s="303" t="s">
        <v>1525</v>
      </c>
      <c r="B238" s="254"/>
      <c r="C238" s="254"/>
      <c r="D238" s="254"/>
      <c r="E238" s="259"/>
      <c r="F238" s="259"/>
      <c r="G238" s="255"/>
      <c r="H238" s="308"/>
      <c r="I238" s="309"/>
      <c r="J238" s="309"/>
      <c r="K238" s="309"/>
      <c r="L238" s="308"/>
      <c r="M238" s="308"/>
      <c r="N238" s="309"/>
    </row>
    <row r="239" spans="1:14" s="294" customFormat="1">
      <c r="A239" s="297" t="s">
        <v>1515</v>
      </c>
      <c r="B239" s="298"/>
      <c r="C239" s="299" t="s">
        <v>1516</v>
      </c>
      <c r="D239" s="299">
        <v>1</v>
      </c>
      <c r="E239" s="300">
        <v>3</v>
      </c>
      <c r="F239" s="300">
        <f>E239*D239</f>
        <v>3</v>
      </c>
      <c r="G239" s="299">
        <f>(7.15)+17*0.012*2</f>
        <v>7.5579999999999998</v>
      </c>
      <c r="H239" s="310" t="str">
        <f t="shared" ref="H239:H246" si="241">IF(C239="T6",G239*F239,"")</f>
        <v/>
      </c>
      <c r="I239" s="311" t="str">
        <f t="shared" ref="I239:I246" si="242">IF(C239="T8",F239*G239,"")</f>
        <v/>
      </c>
      <c r="J239" s="311" t="str">
        <f t="shared" ref="J239:J246" si="243">IF(C239="T10",F239*G239,"")</f>
        <v/>
      </c>
      <c r="K239" s="311">
        <f t="shared" ref="K239:K246" si="244">IF(C239="T12",F239*G239,"")</f>
        <v>22.67</v>
      </c>
      <c r="L239" s="310" t="str">
        <f t="shared" ref="L239:L246" si="245">IF(C239="T14",F239*G239,"")</f>
        <v/>
      </c>
      <c r="M239" s="310" t="str">
        <f t="shared" ref="M239:M245" si="246">IF(C239="T16",G239*F239,"")</f>
        <v/>
      </c>
      <c r="N239" s="311" t="str">
        <f t="shared" ref="N239:N245" si="247">IF(C239="T20",G239*F239,"")</f>
        <v/>
      </c>
    </row>
    <row r="240" spans="1:14" s="294" customFormat="1">
      <c r="A240" s="297" t="s">
        <v>1515</v>
      </c>
      <c r="B240" s="298"/>
      <c r="C240" s="299" t="s">
        <v>1492</v>
      </c>
      <c r="D240" s="299">
        <v>1</v>
      </c>
      <c r="E240" s="300">
        <v>3</v>
      </c>
      <c r="F240" s="300">
        <f>E240*D240</f>
        <v>3</v>
      </c>
      <c r="G240" s="299">
        <f>(7.15)+17*0.014*2</f>
        <v>7.6260000000000003</v>
      </c>
      <c r="H240" s="310" t="str">
        <f t="shared" si="241"/>
        <v/>
      </c>
      <c r="I240" s="311" t="str">
        <f t="shared" si="242"/>
        <v/>
      </c>
      <c r="J240" s="311" t="str">
        <f t="shared" si="243"/>
        <v/>
      </c>
      <c r="K240" s="311" t="str">
        <f t="shared" si="244"/>
        <v/>
      </c>
      <c r="L240" s="310">
        <f t="shared" si="245"/>
        <v>22.88</v>
      </c>
      <c r="M240" s="310" t="str">
        <f t="shared" si="246"/>
        <v/>
      </c>
      <c r="N240" s="311" t="str">
        <f t="shared" si="247"/>
        <v/>
      </c>
    </row>
    <row r="241" spans="1:14" s="294" customFormat="1">
      <c r="A241" s="297"/>
      <c r="B241" s="298"/>
      <c r="C241" s="299" t="s">
        <v>1519</v>
      </c>
      <c r="D241" s="299">
        <v>1</v>
      </c>
      <c r="E241" s="300">
        <v>2</v>
      </c>
      <c r="F241" s="300">
        <f>E241*D241</f>
        <v>2</v>
      </c>
      <c r="G241" s="299">
        <f>(7.15)+17*0.01*2</f>
        <v>7.49</v>
      </c>
      <c r="H241" s="310" t="str">
        <f t="shared" si="241"/>
        <v/>
      </c>
      <c r="I241" s="311" t="str">
        <f t="shared" si="242"/>
        <v/>
      </c>
      <c r="J241" s="311">
        <f t="shared" si="243"/>
        <v>14.98</v>
      </c>
      <c r="K241" s="311" t="str">
        <f t="shared" si="244"/>
        <v/>
      </c>
      <c r="L241" s="310" t="str">
        <f t="shared" si="245"/>
        <v/>
      </c>
      <c r="M241" s="310" t="str">
        <f t="shared" si="246"/>
        <v/>
      </c>
      <c r="N241" s="311" t="str">
        <f t="shared" si="247"/>
        <v/>
      </c>
    </row>
    <row r="242" spans="1:14" s="294" customFormat="1">
      <c r="A242" s="297" t="s">
        <v>1494</v>
      </c>
      <c r="B242" s="301"/>
      <c r="C242" s="299" t="s">
        <v>1496</v>
      </c>
      <c r="D242" s="299">
        <v>1</v>
      </c>
      <c r="E242" s="300">
        <f>21+17+21</f>
        <v>59</v>
      </c>
      <c r="F242" s="300">
        <f t="shared" ref="F242:F243" si="248">E242*D242</f>
        <v>59</v>
      </c>
      <c r="G242" s="302">
        <f>(0.2+0.55)*2+17*0.008*2</f>
        <v>1.77</v>
      </c>
      <c r="H242" s="310" t="str">
        <f t="shared" si="241"/>
        <v/>
      </c>
      <c r="I242" s="311">
        <f t="shared" si="242"/>
        <v>104.43</v>
      </c>
      <c r="J242" s="311" t="str">
        <f t="shared" si="243"/>
        <v/>
      </c>
      <c r="K242" s="311" t="str">
        <f t="shared" si="244"/>
        <v/>
      </c>
      <c r="L242" s="310" t="str">
        <f t="shared" si="245"/>
        <v/>
      </c>
      <c r="M242" s="310" t="str">
        <f t="shared" si="246"/>
        <v/>
      </c>
      <c r="N242" s="311" t="str">
        <f t="shared" si="247"/>
        <v/>
      </c>
    </row>
    <row r="243" spans="1:14" s="294" customFormat="1">
      <c r="A243" s="297" t="s">
        <v>1517</v>
      </c>
      <c r="B243" s="301"/>
      <c r="C243" s="299" t="s">
        <v>1496</v>
      </c>
      <c r="D243" s="299">
        <v>1</v>
      </c>
      <c r="E243" s="300">
        <f>21+17+21</f>
        <v>59</v>
      </c>
      <c r="F243" s="300">
        <f t="shared" si="248"/>
        <v>59</v>
      </c>
      <c r="G243" s="302">
        <f>(0.55*2)+17*0.008*2</f>
        <v>1.37</v>
      </c>
      <c r="H243" s="310" t="str">
        <f t="shared" si="241"/>
        <v/>
      </c>
      <c r="I243" s="311">
        <f t="shared" si="242"/>
        <v>80.83</v>
      </c>
      <c r="J243" s="311" t="str">
        <f t="shared" si="243"/>
        <v/>
      </c>
      <c r="K243" s="311" t="str">
        <f t="shared" si="244"/>
        <v/>
      </c>
      <c r="L243" s="310" t="str">
        <f t="shared" si="245"/>
        <v/>
      </c>
      <c r="M243" s="310" t="str">
        <f t="shared" si="246"/>
        <v/>
      </c>
      <c r="N243" s="311" t="str">
        <f t="shared" si="247"/>
        <v/>
      </c>
    </row>
    <row r="244" spans="1:14" s="294" customFormat="1">
      <c r="A244" s="297" t="s">
        <v>1518</v>
      </c>
      <c r="B244" s="301"/>
      <c r="C244" s="299" t="s">
        <v>1492</v>
      </c>
      <c r="D244" s="299">
        <v>1</v>
      </c>
      <c r="E244" s="300">
        <v>3</v>
      </c>
      <c r="F244" s="300">
        <f>E244*D244</f>
        <v>3</v>
      </c>
      <c r="G244" s="299">
        <v>3.1</v>
      </c>
      <c r="H244" s="310" t="str">
        <f t="shared" si="241"/>
        <v/>
      </c>
      <c r="I244" s="311" t="str">
        <f t="shared" si="242"/>
        <v/>
      </c>
      <c r="J244" s="311" t="str">
        <f t="shared" si="243"/>
        <v/>
      </c>
      <c r="K244" s="311" t="str">
        <f t="shared" si="244"/>
        <v/>
      </c>
      <c r="L244" s="310">
        <f t="shared" si="245"/>
        <v>9.3000000000000007</v>
      </c>
      <c r="M244" s="310" t="str">
        <f t="shared" si="246"/>
        <v/>
      </c>
      <c r="N244" s="311" t="str">
        <f t="shared" si="247"/>
        <v/>
      </c>
    </row>
    <row r="245" spans="1:14">
      <c r="A245" s="297" t="s">
        <v>1520</v>
      </c>
      <c r="B245" s="254"/>
      <c r="C245" s="299" t="s">
        <v>1492</v>
      </c>
      <c r="D245" s="299">
        <v>1</v>
      </c>
      <c r="E245" s="300">
        <v>6</v>
      </c>
      <c r="F245" s="300">
        <f>E245*D245</f>
        <v>6</v>
      </c>
      <c r="G245" s="299">
        <v>3.1</v>
      </c>
      <c r="H245" s="310" t="str">
        <f t="shared" si="241"/>
        <v/>
      </c>
      <c r="I245" s="311" t="str">
        <f t="shared" si="242"/>
        <v/>
      </c>
      <c r="J245" s="311" t="str">
        <f t="shared" si="243"/>
        <v/>
      </c>
      <c r="K245" s="311" t="str">
        <f t="shared" si="244"/>
        <v/>
      </c>
      <c r="L245" s="310">
        <f t="shared" si="245"/>
        <v>18.600000000000001</v>
      </c>
      <c r="M245" s="310" t="str">
        <f t="shared" si="246"/>
        <v/>
      </c>
      <c r="N245" s="311" t="str">
        <f t="shared" si="247"/>
        <v/>
      </c>
    </row>
    <row r="246" spans="1:14">
      <c r="A246" s="304"/>
      <c r="B246" s="254"/>
      <c r="C246" s="299" t="s">
        <v>1516</v>
      </c>
      <c r="D246" s="299">
        <v>1</v>
      </c>
      <c r="E246" s="300">
        <v>3</v>
      </c>
      <c r="F246" s="300">
        <f>E246*D246</f>
        <v>3</v>
      </c>
      <c r="G246" s="299">
        <v>6.8</v>
      </c>
      <c r="H246" s="310" t="str">
        <f t="shared" si="241"/>
        <v/>
      </c>
      <c r="I246" s="311" t="str">
        <f t="shared" si="242"/>
        <v/>
      </c>
      <c r="J246" s="311" t="str">
        <f t="shared" si="243"/>
        <v/>
      </c>
      <c r="K246" s="311">
        <f t="shared" si="244"/>
        <v>20.399999999999999</v>
      </c>
      <c r="L246" s="310" t="str">
        <f t="shared" si="245"/>
        <v/>
      </c>
      <c r="M246" s="310"/>
      <c r="N246" s="311"/>
    </row>
    <row r="247" spans="1:14" ht="16.5">
      <c r="A247" s="265"/>
      <c r="B247" s="254"/>
      <c r="C247" s="254"/>
      <c r="D247" s="254"/>
      <c r="E247" s="259"/>
      <c r="F247" s="259"/>
      <c r="G247" s="255"/>
      <c r="H247" s="308"/>
      <c r="I247" s="309"/>
      <c r="J247" s="309"/>
      <c r="K247" s="309"/>
      <c r="L247" s="308"/>
      <c r="M247" s="308"/>
      <c r="N247" s="309"/>
    </row>
    <row r="248" spans="1:14" ht="16.5">
      <c r="A248" s="303" t="s">
        <v>1547</v>
      </c>
      <c r="B248" s="254"/>
      <c r="C248" s="254"/>
      <c r="D248" s="254"/>
      <c r="E248" s="259"/>
      <c r="F248" s="259"/>
      <c r="G248" s="255"/>
      <c r="H248" s="308"/>
      <c r="I248" s="309"/>
      <c r="J248" s="309"/>
      <c r="K248" s="309"/>
      <c r="L248" s="308"/>
      <c r="M248" s="308"/>
      <c r="N248" s="309"/>
    </row>
    <row r="249" spans="1:14" s="294" customFormat="1">
      <c r="A249" s="297" t="s">
        <v>1515</v>
      </c>
      <c r="B249" s="298"/>
      <c r="C249" s="299" t="s">
        <v>1519</v>
      </c>
      <c r="D249" s="299">
        <v>1</v>
      </c>
      <c r="E249" s="300">
        <v>3</v>
      </c>
      <c r="F249" s="300">
        <f>E249*D249</f>
        <v>3</v>
      </c>
      <c r="G249" s="299">
        <f>(2.79)+17*0.012*2</f>
        <v>3.198</v>
      </c>
      <c r="H249" s="310" t="str">
        <f t="shared" ref="H249:H253" si="249">IF(C249="T6",G249*F249,"")</f>
        <v/>
      </c>
      <c r="I249" s="311" t="str">
        <f t="shared" ref="I249:I253" si="250">IF(C249="T8",F249*G249,"")</f>
        <v/>
      </c>
      <c r="J249" s="311">
        <f t="shared" ref="J249:J253" si="251">IF(C249="T10",F249*G249,"")</f>
        <v>9.59</v>
      </c>
      <c r="K249" s="311" t="str">
        <f t="shared" ref="K249:K253" si="252">IF(C249="T12",F249*G249,"")</f>
        <v/>
      </c>
      <c r="L249" s="310" t="str">
        <f t="shared" ref="L249:L253" si="253">IF(C249="T14",F249*G249,"")</f>
        <v/>
      </c>
      <c r="M249" s="310" t="str">
        <f t="shared" ref="M249:M253" si="254">IF(C249="T16",G249*F249,"")</f>
        <v/>
      </c>
      <c r="N249" s="311" t="str">
        <f t="shared" ref="N249:N253" si="255">IF(C249="T20",G249*F249,"")</f>
        <v/>
      </c>
    </row>
    <row r="250" spans="1:14" s="294" customFormat="1">
      <c r="A250" s="297" t="s">
        <v>1515</v>
      </c>
      <c r="B250" s="298"/>
      <c r="C250" s="299" t="s">
        <v>1516</v>
      </c>
      <c r="D250" s="299">
        <v>1</v>
      </c>
      <c r="E250" s="300">
        <v>3</v>
      </c>
      <c r="F250" s="300">
        <f>E250*D250</f>
        <v>3</v>
      </c>
      <c r="G250" s="299">
        <f>(2.79)+17*0.014*2</f>
        <v>3.266</v>
      </c>
      <c r="H250" s="310" t="str">
        <f t="shared" si="249"/>
        <v/>
      </c>
      <c r="I250" s="311" t="str">
        <f t="shared" si="250"/>
        <v/>
      </c>
      <c r="J250" s="311" t="str">
        <f t="shared" si="251"/>
        <v/>
      </c>
      <c r="K250" s="311">
        <f t="shared" si="252"/>
        <v>9.8000000000000007</v>
      </c>
      <c r="L250" s="310" t="str">
        <f t="shared" si="253"/>
        <v/>
      </c>
      <c r="M250" s="310" t="str">
        <f t="shared" si="254"/>
        <v/>
      </c>
      <c r="N250" s="311" t="str">
        <f t="shared" si="255"/>
        <v/>
      </c>
    </row>
    <row r="251" spans="1:14" s="294" customFormat="1">
      <c r="A251" s="297" t="s">
        <v>1494</v>
      </c>
      <c r="B251" s="301"/>
      <c r="C251" s="299" t="s">
        <v>1496</v>
      </c>
      <c r="D251" s="299">
        <v>1</v>
      </c>
      <c r="E251" s="300">
        <f>9+11+9</f>
        <v>29</v>
      </c>
      <c r="F251" s="300">
        <f t="shared" ref="F251:F252" si="256">E251*D251</f>
        <v>29</v>
      </c>
      <c r="G251" s="302">
        <f>(0.2+0.25)*2+17*0.008*2</f>
        <v>1.17</v>
      </c>
      <c r="H251" s="310" t="str">
        <f t="shared" si="249"/>
        <v/>
      </c>
      <c r="I251" s="311">
        <f t="shared" si="250"/>
        <v>33.93</v>
      </c>
      <c r="J251" s="311" t="str">
        <f t="shared" si="251"/>
        <v/>
      </c>
      <c r="K251" s="311" t="str">
        <f t="shared" si="252"/>
        <v/>
      </c>
      <c r="L251" s="310" t="str">
        <f t="shared" si="253"/>
        <v/>
      </c>
      <c r="M251" s="310" t="str">
        <f t="shared" si="254"/>
        <v/>
      </c>
      <c r="N251" s="311" t="str">
        <f t="shared" si="255"/>
        <v/>
      </c>
    </row>
    <row r="252" spans="1:14" s="294" customFormat="1">
      <c r="A252" s="297" t="s">
        <v>1517</v>
      </c>
      <c r="B252" s="301"/>
      <c r="C252" s="299" t="s">
        <v>1496</v>
      </c>
      <c r="D252" s="299">
        <v>1</v>
      </c>
      <c r="E252" s="300">
        <f>9+11+9</f>
        <v>29</v>
      </c>
      <c r="F252" s="300">
        <f t="shared" si="256"/>
        <v>29</v>
      </c>
      <c r="G252" s="302">
        <f>(0.25*2)+17*0.008*2</f>
        <v>0.77</v>
      </c>
      <c r="H252" s="310" t="str">
        <f t="shared" si="249"/>
        <v/>
      </c>
      <c r="I252" s="311">
        <f t="shared" si="250"/>
        <v>22.33</v>
      </c>
      <c r="J252" s="311" t="str">
        <f t="shared" si="251"/>
        <v/>
      </c>
      <c r="K252" s="311" t="str">
        <f t="shared" si="252"/>
        <v/>
      </c>
      <c r="L252" s="310" t="str">
        <f t="shared" si="253"/>
        <v/>
      </c>
      <c r="M252" s="310" t="str">
        <f t="shared" si="254"/>
        <v/>
      </c>
      <c r="N252" s="311" t="str">
        <f t="shared" si="255"/>
        <v/>
      </c>
    </row>
    <row r="253" spans="1:14" s="294" customFormat="1">
      <c r="A253" s="297" t="s">
        <v>1518</v>
      </c>
      <c r="B253" s="301"/>
      <c r="C253" s="299" t="s">
        <v>1516</v>
      </c>
      <c r="D253" s="299">
        <v>1</v>
      </c>
      <c r="E253" s="300">
        <v>3</v>
      </c>
      <c r="F253" s="300">
        <f>E253*D253</f>
        <v>3</v>
      </c>
      <c r="G253" s="299">
        <v>1.2</v>
      </c>
      <c r="H253" s="310" t="str">
        <f t="shared" si="249"/>
        <v/>
      </c>
      <c r="I253" s="311" t="str">
        <f t="shared" si="250"/>
        <v/>
      </c>
      <c r="J253" s="311" t="str">
        <f t="shared" si="251"/>
        <v/>
      </c>
      <c r="K253" s="311">
        <f t="shared" si="252"/>
        <v>3.6</v>
      </c>
      <c r="L253" s="310" t="str">
        <f t="shared" si="253"/>
        <v/>
      </c>
      <c r="M253" s="310" t="str">
        <f t="shared" si="254"/>
        <v/>
      </c>
      <c r="N253" s="311" t="str">
        <f t="shared" si="255"/>
        <v/>
      </c>
    </row>
    <row r="254" spans="1:14">
      <c r="A254" s="253"/>
      <c r="B254" s="254"/>
      <c r="C254" s="254"/>
      <c r="D254" s="254"/>
      <c r="E254" s="259"/>
      <c r="F254" s="259"/>
      <c r="G254" s="255"/>
      <c r="H254" s="308"/>
      <c r="I254" s="309"/>
      <c r="J254" s="309"/>
      <c r="K254" s="309"/>
      <c r="L254" s="308"/>
      <c r="M254" s="308"/>
      <c r="N254" s="309"/>
    </row>
    <row r="255" spans="1:14" ht="16.5">
      <c r="A255" s="303" t="s">
        <v>1537</v>
      </c>
      <c r="B255" s="254"/>
      <c r="C255" s="254"/>
      <c r="D255" s="254"/>
      <c r="E255" s="259"/>
      <c r="F255" s="259"/>
      <c r="G255" s="255"/>
      <c r="H255" s="308"/>
      <c r="I255" s="309"/>
      <c r="J255" s="309"/>
      <c r="K255" s="309"/>
      <c r="L255" s="308"/>
      <c r="M255" s="308"/>
      <c r="N255" s="309"/>
    </row>
    <row r="256" spans="1:14" s="294" customFormat="1">
      <c r="A256" s="297" t="s">
        <v>1515</v>
      </c>
      <c r="B256" s="298"/>
      <c r="C256" s="299" t="s">
        <v>1519</v>
      </c>
      <c r="D256" s="299">
        <v>1</v>
      </c>
      <c r="E256" s="300">
        <v>3</v>
      </c>
      <c r="F256" s="300">
        <f>E256*D256</f>
        <v>3</v>
      </c>
      <c r="G256" s="299">
        <f>(2.9)+17*0.012*2</f>
        <v>3.3079999999999998</v>
      </c>
      <c r="H256" s="310" t="str">
        <f t="shared" ref="H256:H260" si="257">IF(C256="T6",G256*F256,"")</f>
        <v/>
      </c>
      <c r="I256" s="311" t="str">
        <f t="shared" ref="I256:I260" si="258">IF(C256="T8",F256*G256,"")</f>
        <v/>
      </c>
      <c r="J256" s="311">
        <f t="shared" ref="J256:J260" si="259">IF(C256="T10",F256*G256,"")</f>
        <v>9.92</v>
      </c>
      <c r="K256" s="311" t="str">
        <f t="shared" ref="K256:K260" si="260">IF(C256="T12",F256*G256,"")</f>
        <v/>
      </c>
      <c r="L256" s="310" t="str">
        <f t="shared" ref="L256:L260" si="261">IF(C256="T14",F256*G256,"")</f>
        <v/>
      </c>
      <c r="M256" s="310" t="str">
        <f t="shared" ref="M256:M260" si="262">IF(C256="T16",G256*F256,"")</f>
        <v/>
      </c>
      <c r="N256" s="311" t="str">
        <f t="shared" ref="N256:N260" si="263">IF(C256="T20",G256*F256,"")</f>
        <v/>
      </c>
    </row>
    <row r="257" spans="1:14" s="294" customFormat="1">
      <c r="A257" s="297" t="s">
        <v>1515</v>
      </c>
      <c r="B257" s="298"/>
      <c r="C257" s="299" t="s">
        <v>1516</v>
      </c>
      <c r="D257" s="299">
        <v>1</v>
      </c>
      <c r="E257" s="300">
        <v>3</v>
      </c>
      <c r="F257" s="300">
        <f>E257*D257</f>
        <v>3</v>
      </c>
      <c r="G257" s="299">
        <f>(2.9)+17*0.014*2</f>
        <v>3.3759999999999999</v>
      </c>
      <c r="H257" s="310" t="str">
        <f t="shared" si="257"/>
        <v/>
      </c>
      <c r="I257" s="311" t="str">
        <f t="shared" si="258"/>
        <v/>
      </c>
      <c r="J257" s="311" t="str">
        <f t="shared" si="259"/>
        <v/>
      </c>
      <c r="K257" s="311">
        <f t="shared" si="260"/>
        <v>10.130000000000001</v>
      </c>
      <c r="L257" s="310" t="str">
        <f t="shared" si="261"/>
        <v/>
      </c>
      <c r="M257" s="310" t="str">
        <f t="shared" si="262"/>
        <v/>
      </c>
      <c r="N257" s="311" t="str">
        <f t="shared" si="263"/>
        <v/>
      </c>
    </row>
    <row r="258" spans="1:14" s="294" customFormat="1">
      <c r="A258" s="297" t="s">
        <v>1494</v>
      </c>
      <c r="B258" s="301"/>
      <c r="C258" s="299" t="s">
        <v>1496</v>
      </c>
      <c r="D258" s="299">
        <v>1</v>
      </c>
      <c r="E258" s="300">
        <f>9+11+9</f>
        <v>29</v>
      </c>
      <c r="F258" s="300">
        <f t="shared" ref="F258:F259" si="264">E258*D258</f>
        <v>29</v>
      </c>
      <c r="G258" s="302">
        <f>(0.2+0.25)*2+17*0.008*2</f>
        <v>1.17</v>
      </c>
      <c r="H258" s="310" t="str">
        <f t="shared" si="257"/>
        <v/>
      </c>
      <c r="I258" s="311">
        <f t="shared" si="258"/>
        <v>33.93</v>
      </c>
      <c r="J258" s="311" t="str">
        <f t="shared" si="259"/>
        <v/>
      </c>
      <c r="K258" s="311" t="str">
        <f t="shared" si="260"/>
        <v/>
      </c>
      <c r="L258" s="310" t="str">
        <f t="shared" si="261"/>
        <v/>
      </c>
      <c r="M258" s="310" t="str">
        <f t="shared" si="262"/>
        <v/>
      </c>
      <c r="N258" s="311" t="str">
        <f t="shared" si="263"/>
        <v/>
      </c>
    </row>
    <row r="259" spans="1:14" s="294" customFormat="1">
      <c r="A259" s="297" t="s">
        <v>1517</v>
      </c>
      <c r="B259" s="301"/>
      <c r="C259" s="299" t="s">
        <v>1496</v>
      </c>
      <c r="D259" s="299">
        <v>1</v>
      </c>
      <c r="E259" s="300">
        <f>9+11+9</f>
        <v>29</v>
      </c>
      <c r="F259" s="300">
        <f t="shared" si="264"/>
        <v>29</v>
      </c>
      <c r="G259" s="302">
        <f>(0.25*2)+17*0.008*2</f>
        <v>0.77</v>
      </c>
      <c r="H259" s="310" t="str">
        <f t="shared" si="257"/>
        <v/>
      </c>
      <c r="I259" s="311">
        <f t="shared" si="258"/>
        <v>22.33</v>
      </c>
      <c r="J259" s="311" t="str">
        <f t="shared" si="259"/>
        <v/>
      </c>
      <c r="K259" s="311" t="str">
        <f t="shared" si="260"/>
        <v/>
      </c>
      <c r="L259" s="310" t="str">
        <f t="shared" si="261"/>
        <v/>
      </c>
      <c r="M259" s="310" t="str">
        <f t="shared" si="262"/>
        <v/>
      </c>
      <c r="N259" s="311" t="str">
        <f t="shared" si="263"/>
        <v/>
      </c>
    </row>
    <row r="260" spans="1:14" s="294" customFormat="1">
      <c r="A260" s="297" t="s">
        <v>1518</v>
      </c>
      <c r="B260" s="301"/>
      <c r="C260" s="299" t="s">
        <v>1516</v>
      </c>
      <c r="D260" s="299">
        <v>1</v>
      </c>
      <c r="E260" s="300">
        <v>3</v>
      </c>
      <c r="F260" s="300">
        <f>E260*D260</f>
        <v>3</v>
      </c>
      <c r="G260" s="299">
        <v>1.2</v>
      </c>
      <c r="H260" s="310" t="str">
        <f t="shared" si="257"/>
        <v/>
      </c>
      <c r="I260" s="311" t="str">
        <f t="shared" si="258"/>
        <v/>
      </c>
      <c r="J260" s="311" t="str">
        <f t="shared" si="259"/>
        <v/>
      </c>
      <c r="K260" s="311">
        <f t="shared" si="260"/>
        <v>3.6</v>
      </c>
      <c r="L260" s="310" t="str">
        <f t="shared" si="261"/>
        <v/>
      </c>
      <c r="M260" s="310" t="str">
        <f t="shared" si="262"/>
        <v/>
      </c>
      <c r="N260" s="311" t="str">
        <f t="shared" si="263"/>
        <v/>
      </c>
    </row>
    <row r="261" spans="1:14">
      <c r="A261" s="253"/>
      <c r="B261" s="254"/>
      <c r="C261" s="299" t="s">
        <v>1492</v>
      </c>
      <c r="D261" s="299">
        <v>1</v>
      </c>
      <c r="E261" s="300">
        <v>6</v>
      </c>
      <c r="F261" s="300">
        <f>E261*D261</f>
        <v>6</v>
      </c>
      <c r="G261" s="299">
        <v>3.1</v>
      </c>
      <c r="H261" s="310" t="str">
        <f t="shared" ref="H261" si="265">IF(C261="T6",G261*F261,"")</f>
        <v/>
      </c>
      <c r="I261" s="311" t="str">
        <f t="shared" ref="I261" si="266">IF(C261="T8",F261*G261,"")</f>
        <v/>
      </c>
      <c r="J261" s="311" t="str">
        <f t="shared" ref="J261" si="267">IF(C261="T10",F261*G261,"")</f>
        <v/>
      </c>
      <c r="K261" s="311" t="str">
        <f t="shared" ref="K261" si="268">IF(C261="T12",F261*G261,"")</f>
        <v/>
      </c>
      <c r="L261" s="310">
        <f t="shared" ref="L261" si="269">IF(C261="T14",F261*G261,"")</f>
        <v>18.600000000000001</v>
      </c>
      <c r="M261" s="310" t="str">
        <f t="shared" ref="M261" si="270">IF(C261="T16",G261*F261,"")</f>
        <v/>
      </c>
      <c r="N261" s="311" t="str">
        <f t="shared" ref="N261" si="271">IF(C261="T20",G261*F261,"")</f>
        <v/>
      </c>
    </row>
    <row r="262" spans="1:14">
      <c r="A262" s="253"/>
      <c r="B262" s="254"/>
      <c r="C262" s="254"/>
      <c r="D262" s="254"/>
      <c r="E262" s="259"/>
      <c r="F262" s="259"/>
      <c r="G262" s="255"/>
      <c r="H262" s="308"/>
      <c r="I262" s="309"/>
      <c r="J262" s="309"/>
      <c r="K262" s="309"/>
      <c r="L262" s="308"/>
      <c r="M262" s="308"/>
      <c r="N262" s="309"/>
    </row>
    <row r="263" spans="1:14" ht="16.5">
      <c r="A263" s="303" t="s">
        <v>1538</v>
      </c>
      <c r="B263" s="254"/>
      <c r="C263" s="254"/>
      <c r="D263" s="254"/>
      <c r="E263" s="259"/>
      <c r="F263" s="259"/>
      <c r="G263" s="255"/>
      <c r="H263" s="308" t="str">
        <f t="shared" si="7"/>
        <v/>
      </c>
      <c r="I263" s="309" t="str">
        <f t="shared" si="8"/>
        <v/>
      </c>
      <c r="J263" s="309" t="str">
        <f t="shared" si="9"/>
        <v/>
      </c>
      <c r="K263" s="309" t="str">
        <f t="shared" si="10"/>
        <v/>
      </c>
      <c r="L263" s="308" t="str">
        <f t="shared" si="11"/>
        <v/>
      </c>
      <c r="M263" s="308" t="str">
        <f t="shared" si="12"/>
        <v/>
      </c>
      <c r="N263" s="309" t="str">
        <f t="shared" si="13"/>
        <v/>
      </c>
    </row>
    <row r="264" spans="1:14" s="294" customFormat="1">
      <c r="A264" s="297" t="s">
        <v>1515</v>
      </c>
      <c r="B264" s="298"/>
      <c r="C264" s="299" t="s">
        <v>1519</v>
      </c>
      <c r="D264" s="299">
        <v>1</v>
      </c>
      <c r="E264" s="300">
        <v>3</v>
      </c>
      <c r="F264" s="300">
        <f>E264*D264</f>
        <v>3</v>
      </c>
      <c r="G264" s="299">
        <f>(4)+17*0.012*2</f>
        <v>4.4080000000000004</v>
      </c>
      <c r="H264" s="310" t="str">
        <f t="shared" si="7"/>
        <v/>
      </c>
      <c r="I264" s="311" t="str">
        <f t="shared" si="8"/>
        <v/>
      </c>
      <c r="J264" s="311">
        <f t="shared" si="9"/>
        <v>13.22</v>
      </c>
      <c r="K264" s="311" t="str">
        <f t="shared" si="10"/>
        <v/>
      </c>
      <c r="L264" s="310" t="str">
        <f t="shared" si="11"/>
        <v/>
      </c>
      <c r="M264" s="310" t="str">
        <f t="shared" si="12"/>
        <v/>
      </c>
      <c r="N264" s="311" t="str">
        <f t="shared" si="13"/>
        <v/>
      </c>
    </row>
    <row r="265" spans="1:14" s="294" customFormat="1">
      <c r="A265" s="297" t="s">
        <v>1515</v>
      </c>
      <c r="B265" s="298"/>
      <c r="C265" s="299" t="s">
        <v>1516</v>
      </c>
      <c r="D265" s="299">
        <v>1</v>
      </c>
      <c r="E265" s="300">
        <v>3</v>
      </c>
      <c r="F265" s="300">
        <f>E265*D265</f>
        <v>3</v>
      </c>
      <c r="G265" s="299">
        <f>(4)+17*0.014*2</f>
        <v>4.476</v>
      </c>
      <c r="H265" s="310" t="str">
        <f t="shared" si="7"/>
        <v/>
      </c>
      <c r="I265" s="311" t="str">
        <f t="shared" si="8"/>
        <v/>
      </c>
      <c r="J265" s="311" t="str">
        <f t="shared" si="9"/>
        <v/>
      </c>
      <c r="K265" s="311">
        <f t="shared" si="10"/>
        <v>13.43</v>
      </c>
      <c r="L265" s="310" t="str">
        <f t="shared" si="11"/>
        <v/>
      </c>
      <c r="M265" s="310" t="str">
        <f t="shared" si="12"/>
        <v/>
      </c>
      <c r="N265" s="311" t="str">
        <f t="shared" si="13"/>
        <v/>
      </c>
    </row>
    <row r="266" spans="1:14" s="294" customFormat="1">
      <c r="A266" s="297" t="s">
        <v>1494</v>
      </c>
      <c r="B266" s="301"/>
      <c r="C266" s="299" t="s">
        <v>1496</v>
      </c>
      <c r="D266" s="299">
        <v>1</v>
      </c>
      <c r="E266" s="300">
        <f>12+15+12</f>
        <v>39</v>
      </c>
      <c r="F266" s="300">
        <f t="shared" ref="F266:F267" si="272">E266*D266</f>
        <v>39</v>
      </c>
      <c r="G266" s="302">
        <f>(0.2+0.3)*2+17*0.008*2</f>
        <v>1.27</v>
      </c>
      <c r="H266" s="310" t="str">
        <f t="shared" si="7"/>
        <v/>
      </c>
      <c r="I266" s="311">
        <f t="shared" si="8"/>
        <v>49.53</v>
      </c>
      <c r="J266" s="311" t="str">
        <f t="shared" si="9"/>
        <v/>
      </c>
      <c r="K266" s="311" t="str">
        <f t="shared" si="10"/>
        <v/>
      </c>
      <c r="L266" s="310" t="str">
        <f t="shared" si="11"/>
        <v/>
      </c>
      <c r="M266" s="310" t="str">
        <f t="shared" si="12"/>
        <v/>
      </c>
      <c r="N266" s="311" t="str">
        <f t="shared" si="13"/>
        <v/>
      </c>
    </row>
    <row r="267" spans="1:14" s="294" customFormat="1">
      <c r="A267" s="297" t="s">
        <v>1517</v>
      </c>
      <c r="B267" s="301"/>
      <c r="C267" s="299" t="s">
        <v>1496</v>
      </c>
      <c r="D267" s="299">
        <v>1</v>
      </c>
      <c r="E267" s="300">
        <f>12+15+12</f>
        <v>39</v>
      </c>
      <c r="F267" s="300">
        <f t="shared" si="272"/>
        <v>39</v>
      </c>
      <c r="G267" s="302">
        <f>(0.3*2)+17*0.008*2</f>
        <v>0.87</v>
      </c>
      <c r="H267" s="310" t="str">
        <f t="shared" si="7"/>
        <v/>
      </c>
      <c r="I267" s="311">
        <f t="shared" si="8"/>
        <v>33.93</v>
      </c>
      <c r="J267" s="311" t="str">
        <f t="shared" si="9"/>
        <v/>
      </c>
      <c r="K267" s="311" t="str">
        <f t="shared" si="10"/>
        <v/>
      </c>
      <c r="L267" s="310" t="str">
        <f t="shared" si="11"/>
        <v/>
      </c>
      <c r="M267" s="310" t="str">
        <f t="shared" si="12"/>
        <v/>
      </c>
      <c r="N267" s="311" t="str">
        <f t="shared" si="13"/>
        <v/>
      </c>
    </row>
    <row r="268" spans="1:14" s="294" customFormat="1">
      <c r="A268" s="297" t="s">
        <v>1518</v>
      </c>
      <c r="B268" s="301"/>
      <c r="C268" s="299" t="s">
        <v>1492</v>
      </c>
      <c r="D268" s="299">
        <v>1</v>
      </c>
      <c r="E268" s="300">
        <v>6</v>
      </c>
      <c r="F268" s="300">
        <f>E268*D268</f>
        <v>6</v>
      </c>
      <c r="G268" s="299">
        <v>3.8</v>
      </c>
      <c r="H268" s="310" t="str">
        <f t="shared" si="7"/>
        <v/>
      </c>
      <c r="I268" s="311" t="str">
        <f t="shared" si="8"/>
        <v/>
      </c>
      <c r="J268" s="311" t="str">
        <f t="shared" si="9"/>
        <v/>
      </c>
      <c r="K268" s="311" t="str">
        <f t="shared" si="10"/>
        <v/>
      </c>
      <c r="L268" s="310">
        <f t="shared" si="11"/>
        <v>22.8</v>
      </c>
      <c r="M268" s="310" t="str">
        <f t="shared" si="12"/>
        <v/>
      </c>
      <c r="N268" s="311" t="str">
        <f t="shared" si="13"/>
        <v/>
      </c>
    </row>
    <row r="269" spans="1:14">
      <c r="A269" s="253"/>
      <c r="B269" s="254"/>
      <c r="C269" s="299" t="s">
        <v>1492</v>
      </c>
      <c r="D269" s="299">
        <v>1</v>
      </c>
      <c r="E269" s="300">
        <v>6</v>
      </c>
      <c r="F269" s="300">
        <f>E269*D269</f>
        <v>6</v>
      </c>
      <c r="G269" s="299">
        <v>2.8</v>
      </c>
      <c r="H269" s="310" t="str">
        <f t="shared" si="7"/>
        <v/>
      </c>
      <c r="I269" s="311" t="str">
        <f t="shared" si="8"/>
        <v/>
      </c>
      <c r="J269" s="311" t="str">
        <f t="shared" si="9"/>
        <v/>
      </c>
      <c r="K269" s="311" t="str">
        <f t="shared" si="10"/>
        <v/>
      </c>
      <c r="L269" s="310">
        <f t="shared" si="11"/>
        <v>16.8</v>
      </c>
      <c r="M269" s="310" t="str">
        <f t="shared" si="12"/>
        <v/>
      </c>
      <c r="N269" s="311" t="str">
        <f t="shared" si="13"/>
        <v/>
      </c>
    </row>
    <row r="270" spans="1:14">
      <c r="A270" s="253"/>
      <c r="B270" s="254"/>
      <c r="C270" s="299" t="s">
        <v>1519</v>
      </c>
      <c r="D270" s="299">
        <v>1</v>
      </c>
      <c r="E270" s="300">
        <v>3</v>
      </c>
      <c r="F270" s="300">
        <f>E270*D270</f>
        <v>3</v>
      </c>
      <c r="G270" s="299">
        <v>3.5</v>
      </c>
      <c r="H270" s="310" t="str">
        <f t="shared" ref="H270" si="273">IF(C270="T6",G270*F270,"")</f>
        <v/>
      </c>
      <c r="I270" s="311" t="str">
        <f t="shared" ref="I270" si="274">IF(C270="T8",F270*G270,"")</f>
        <v/>
      </c>
      <c r="J270" s="311">
        <f t="shared" ref="J270" si="275">IF(C270="T10",F270*G270,"")</f>
        <v>10.5</v>
      </c>
      <c r="K270" s="311" t="str">
        <f t="shared" ref="K270" si="276">IF(C270="T12",F270*G270,"")</f>
        <v/>
      </c>
      <c r="L270" s="310" t="str">
        <f t="shared" ref="L270" si="277">IF(C270="T14",F270*G270,"")</f>
        <v/>
      </c>
      <c r="M270" s="310" t="str">
        <f t="shared" ref="M270" si="278">IF(C270="T16",G270*F270,"")</f>
        <v/>
      </c>
      <c r="N270" s="311" t="str">
        <f t="shared" ref="N270" si="279">IF(C270="T20",G270*F270,"")</f>
        <v/>
      </c>
    </row>
    <row r="271" spans="1:14">
      <c r="A271" s="253"/>
      <c r="B271" s="254"/>
      <c r="C271" s="254"/>
      <c r="D271" s="254"/>
      <c r="E271" s="259"/>
      <c r="F271" s="259"/>
      <c r="G271" s="255"/>
      <c r="H271" s="308"/>
      <c r="I271" s="309"/>
      <c r="J271" s="309"/>
      <c r="K271" s="309"/>
      <c r="L271" s="308"/>
      <c r="M271" s="308"/>
      <c r="N271" s="309"/>
    </row>
    <row r="272" spans="1:14" ht="16.5">
      <c r="A272" s="303" t="s">
        <v>1557</v>
      </c>
      <c r="B272" s="254"/>
      <c r="C272" s="254"/>
      <c r="D272" s="254"/>
      <c r="E272" s="259"/>
      <c r="F272" s="259"/>
      <c r="G272" s="255"/>
      <c r="H272" s="308"/>
      <c r="I272" s="309"/>
      <c r="J272" s="309"/>
      <c r="K272" s="309"/>
      <c r="L272" s="308"/>
      <c r="M272" s="308"/>
      <c r="N272" s="309"/>
    </row>
    <row r="273" spans="1:14" s="294" customFormat="1">
      <c r="A273" s="297" t="s">
        <v>1515</v>
      </c>
      <c r="B273" s="298"/>
      <c r="C273" s="299" t="s">
        <v>1519</v>
      </c>
      <c r="D273" s="299">
        <v>1</v>
      </c>
      <c r="E273" s="300">
        <v>3</v>
      </c>
      <c r="F273" s="300">
        <f>E273*D273</f>
        <v>3</v>
      </c>
      <c r="G273" s="299">
        <f>(2.9)+17*0.012*2</f>
        <v>3.3079999999999998</v>
      </c>
      <c r="H273" s="310" t="str">
        <f t="shared" ref="H273:H278" si="280">IF(C273="T6",G273*F273,"")</f>
        <v/>
      </c>
      <c r="I273" s="311" t="str">
        <f t="shared" ref="I273:I278" si="281">IF(C273="T8",F273*G273,"")</f>
        <v/>
      </c>
      <c r="J273" s="311">
        <f t="shared" ref="J273:J278" si="282">IF(C273="T10",F273*G273,"")</f>
        <v>9.92</v>
      </c>
      <c r="K273" s="311" t="str">
        <f t="shared" ref="K273:K278" si="283">IF(C273="T12",F273*G273,"")</f>
        <v/>
      </c>
      <c r="L273" s="310" t="str">
        <f t="shared" ref="L273:L278" si="284">IF(C273="T14",F273*G273,"")</f>
        <v/>
      </c>
      <c r="M273" s="310" t="str">
        <f t="shared" ref="M273:M278" si="285">IF(C273="T16",G273*F273,"")</f>
        <v/>
      </c>
      <c r="N273" s="311" t="str">
        <f t="shared" ref="N273:N278" si="286">IF(C273="T20",G273*F273,"")</f>
        <v/>
      </c>
    </row>
    <row r="274" spans="1:14" s="294" customFormat="1">
      <c r="A274" s="297" t="s">
        <v>1515</v>
      </c>
      <c r="B274" s="298"/>
      <c r="C274" s="299" t="s">
        <v>1516</v>
      </c>
      <c r="D274" s="299">
        <v>1</v>
      </c>
      <c r="E274" s="300">
        <v>3</v>
      </c>
      <c r="F274" s="300">
        <f>E274*D274</f>
        <v>3</v>
      </c>
      <c r="G274" s="299">
        <f>(2.9)+17*0.014*2</f>
        <v>3.3759999999999999</v>
      </c>
      <c r="H274" s="310" t="str">
        <f t="shared" si="280"/>
        <v/>
      </c>
      <c r="I274" s="311" t="str">
        <f t="shared" si="281"/>
        <v/>
      </c>
      <c r="J274" s="311" t="str">
        <f t="shared" si="282"/>
        <v/>
      </c>
      <c r="K274" s="311">
        <f t="shared" si="283"/>
        <v>10.130000000000001</v>
      </c>
      <c r="L274" s="310" t="str">
        <f t="shared" si="284"/>
        <v/>
      </c>
      <c r="M274" s="310" t="str">
        <f t="shared" si="285"/>
        <v/>
      </c>
      <c r="N274" s="311" t="str">
        <f t="shared" si="286"/>
        <v/>
      </c>
    </row>
    <row r="275" spans="1:14" s="294" customFormat="1">
      <c r="A275" s="297" t="s">
        <v>1494</v>
      </c>
      <c r="B275" s="301"/>
      <c r="C275" s="299" t="s">
        <v>1496</v>
      </c>
      <c r="D275" s="299">
        <v>1</v>
      </c>
      <c r="E275" s="300">
        <f>9+11+9</f>
        <v>29</v>
      </c>
      <c r="F275" s="300">
        <f t="shared" ref="F275:F276" si="287">E275*D275</f>
        <v>29</v>
      </c>
      <c r="G275" s="302">
        <f>(0.2+0.25)*2+17*0.008*2</f>
        <v>1.17</v>
      </c>
      <c r="H275" s="310" t="str">
        <f t="shared" si="280"/>
        <v/>
      </c>
      <c r="I275" s="311">
        <f t="shared" si="281"/>
        <v>33.93</v>
      </c>
      <c r="J275" s="311" t="str">
        <f t="shared" si="282"/>
        <v/>
      </c>
      <c r="K275" s="311" t="str">
        <f t="shared" si="283"/>
        <v/>
      </c>
      <c r="L275" s="310" t="str">
        <f t="shared" si="284"/>
        <v/>
      </c>
      <c r="M275" s="310" t="str">
        <f t="shared" si="285"/>
        <v/>
      </c>
      <c r="N275" s="311" t="str">
        <f t="shared" si="286"/>
        <v/>
      </c>
    </row>
    <row r="276" spans="1:14" s="294" customFormat="1">
      <c r="A276" s="297" t="s">
        <v>1517</v>
      </c>
      <c r="B276" s="301"/>
      <c r="C276" s="299" t="s">
        <v>1496</v>
      </c>
      <c r="D276" s="299">
        <v>1</v>
      </c>
      <c r="E276" s="300">
        <f>9+11+9</f>
        <v>29</v>
      </c>
      <c r="F276" s="300">
        <f t="shared" si="287"/>
        <v>29</v>
      </c>
      <c r="G276" s="302">
        <f>(0.25*2)+17*0.008*2</f>
        <v>0.77</v>
      </c>
      <c r="H276" s="310" t="str">
        <f t="shared" si="280"/>
        <v/>
      </c>
      <c r="I276" s="311">
        <f t="shared" si="281"/>
        <v>22.33</v>
      </c>
      <c r="J276" s="311" t="str">
        <f t="shared" si="282"/>
        <v/>
      </c>
      <c r="K276" s="311" t="str">
        <f t="shared" si="283"/>
        <v/>
      </c>
      <c r="L276" s="310" t="str">
        <f t="shared" si="284"/>
        <v/>
      </c>
      <c r="M276" s="310" t="str">
        <f t="shared" si="285"/>
        <v/>
      </c>
      <c r="N276" s="311" t="str">
        <f t="shared" si="286"/>
        <v/>
      </c>
    </row>
    <row r="277" spans="1:14" s="294" customFormat="1">
      <c r="A277" s="297" t="s">
        <v>1518</v>
      </c>
      <c r="B277" s="301"/>
      <c r="C277" s="299" t="s">
        <v>1516</v>
      </c>
      <c r="D277" s="299">
        <v>1</v>
      </c>
      <c r="E277" s="300">
        <v>3</v>
      </c>
      <c r="F277" s="300">
        <f>E277*D277</f>
        <v>3</v>
      </c>
      <c r="G277" s="299">
        <v>1.2</v>
      </c>
      <c r="H277" s="310" t="str">
        <f t="shared" si="280"/>
        <v/>
      </c>
      <c r="I277" s="311" t="str">
        <f t="shared" si="281"/>
        <v/>
      </c>
      <c r="J277" s="311" t="str">
        <f t="shared" si="282"/>
        <v/>
      </c>
      <c r="K277" s="311">
        <f t="shared" si="283"/>
        <v>3.6</v>
      </c>
      <c r="L277" s="310" t="str">
        <f t="shared" si="284"/>
        <v/>
      </c>
      <c r="M277" s="310" t="str">
        <f t="shared" si="285"/>
        <v/>
      </c>
      <c r="N277" s="311" t="str">
        <f t="shared" si="286"/>
        <v/>
      </c>
    </row>
    <row r="278" spans="1:14">
      <c r="A278" s="253"/>
      <c r="B278" s="254"/>
      <c r="C278" s="299" t="s">
        <v>1492</v>
      </c>
      <c r="D278" s="299">
        <v>1</v>
      </c>
      <c r="E278" s="300">
        <v>6</v>
      </c>
      <c r="F278" s="300">
        <f>E278*D278</f>
        <v>6</v>
      </c>
      <c r="G278" s="299">
        <v>3.1</v>
      </c>
      <c r="H278" s="310" t="str">
        <f t="shared" si="280"/>
        <v/>
      </c>
      <c r="I278" s="311" t="str">
        <f t="shared" si="281"/>
        <v/>
      </c>
      <c r="J278" s="311" t="str">
        <f t="shared" si="282"/>
        <v/>
      </c>
      <c r="K278" s="311" t="str">
        <f t="shared" si="283"/>
        <v/>
      </c>
      <c r="L278" s="310">
        <f t="shared" si="284"/>
        <v>18.600000000000001</v>
      </c>
      <c r="M278" s="310" t="str">
        <f t="shared" si="285"/>
        <v/>
      </c>
      <c r="N278" s="311" t="str">
        <f t="shared" si="286"/>
        <v/>
      </c>
    </row>
    <row r="279" spans="1:14">
      <c r="A279" s="253"/>
      <c r="B279" s="254"/>
      <c r="C279" s="254"/>
      <c r="D279" s="254"/>
      <c r="E279" s="259"/>
      <c r="F279" s="259"/>
      <c r="G279" s="255"/>
      <c r="H279" s="308"/>
      <c r="I279" s="309"/>
      <c r="J279" s="309"/>
      <c r="K279" s="309"/>
      <c r="L279" s="308"/>
      <c r="M279" s="308"/>
      <c r="N279" s="309"/>
    </row>
    <row r="280" spans="1:14" ht="16.5">
      <c r="A280" s="303" t="s">
        <v>1558</v>
      </c>
      <c r="B280" s="254"/>
      <c r="C280" s="254"/>
      <c r="D280" s="254"/>
      <c r="E280" s="259"/>
      <c r="F280" s="259"/>
      <c r="G280" s="255"/>
      <c r="H280" s="308"/>
      <c r="I280" s="309"/>
      <c r="J280" s="309"/>
      <c r="K280" s="309"/>
      <c r="L280" s="308"/>
      <c r="M280" s="308"/>
      <c r="N280" s="309"/>
    </row>
    <row r="281" spans="1:14" s="294" customFormat="1">
      <c r="A281" s="297" t="s">
        <v>1515</v>
      </c>
      <c r="B281" s="298"/>
      <c r="C281" s="299" t="s">
        <v>1519</v>
      </c>
      <c r="D281" s="299">
        <v>1</v>
      </c>
      <c r="E281" s="300">
        <v>3</v>
      </c>
      <c r="F281" s="300">
        <f>E281*D281</f>
        <v>3</v>
      </c>
      <c r="G281" s="299">
        <f>(4)+17*0.012*2</f>
        <v>4.4080000000000004</v>
      </c>
      <c r="H281" s="310" t="str">
        <f t="shared" ref="H281:H287" si="288">IF(C281="T6",G281*F281,"")</f>
        <v/>
      </c>
      <c r="I281" s="311" t="str">
        <f t="shared" ref="I281:I287" si="289">IF(C281="T8",F281*G281,"")</f>
        <v/>
      </c>
      <c r="J281" s="311">
        <f t="shared" ref="J281:J287" si="290">IF(C281="T10",F281*G281,"")</f>
        <v>13.22</v>
      </c>
      <c r="K281" s="311" t="str">
        <f t="shared" ref="K281:K287" si="291">IF(C281="T12",F281*G281,"")</f>
        <v/>
      </c>
      <c r="L281" s="310" t="str">
        <f t="shared" ref="L281:L287" si="292">IF(C281="T14",F281*G281,"")</f>
        <v/>
      </c>
      <c r="M281" s="310" t="str">
        <f t="shared" ref="M281:M287" si="293">IF(C281="T16",G281*F281,"")</f>
        <v/>
      </c>
      <c r="N281" s="311" t="str">
        <f t="shared" ref="N281:N287" si="294">IF(C281="T20",G281*F281,"")</f>
        <v/>
      </c>
    </row>
    <row r="282" spans="1:14" s="294" customFormat="1">
      <c r="A282" s="297" t="s">
        <v>1515</v>
      </c>
      <c r="B282" s="298"/>
      <c r="C282" s="299" t="s">
        <v>1516</v>
      </c>
      <c r="D282" s="299">
        <v>1</v>
      </c>
      <c r="E282" s="300">
        <v>3</v>
      </c>
      <c r="F282" s="300">
        <f>E282*D282</f>
        <v>3</v>
      </c>
      <c r="G282" s="299">
        <f>(4)+17*0.014*2</f>
        <v>4.476</v>
      </c>
      <c r="H282" s="310" t="str">
        <f t="shared" si="288"/>
        <v/>
      </c>
      <c r="I282" s="311" t="str">
        <f t="shared" si="289"/>
        <v/>
      </c>
      <c r="J282" s="311" t="str">
        <f t="shared" si="290"/>
        <v/>
      </c>
      <c r="K282" s="311">
        <f t="shared" si="291"/>
        <v>13.43</v>
      </c>
      <c r="L282" s="310" t="str">
        <f t="shared" si="292"/>
        <v/>
      </c>
      <c r="M282" s="310" t="str">
        <f t="shared" si="293"/>
        <v/>
      </c>
      <c r="N282" s="311" t="str">
        <f t="shared" si="294"/>
        <v/>
      </c>
    </row>
    <row r="283" spans="1:14" s="294" customFormat="1">
      <c r="A283" s="297" t="s">
        <v>1494</v>
      </c>
      <c r="B283" s="301"/>
      <c r="C283" s="299" t="s">
        <v>1496</v>
      </c>
      <c r="D283" s="299">
        <v>1</v>
      </c>
      <c r="E283" s="300">
        <f>12+15+12</f>
        <v>39</v>
      </c>
      <c r="F283" s="300">
        <f t="shared" ref="F283:F284" si="295">E283*D283</f>
        <v>39</v>
      </c>
      <c r="G283" s="302">
        <f>(0.2+0.3)*2+17*0.008*2</f>
        <v>1.27</v>
      </c>
      <c r="H283" s="310" t="str">
        <f t="shared" si="288"/>
        <v/>
      </c>
      <c r="I283" s="311">
        <f t="shared" si="289"/>
        <v>49.53</v>
      </c>
      <c r="J283" s="311" t="str">
        <f t="shared" si="290"/>
        <v/>
      </c>
      <c r="K283" s="311" t="str">
        <f t="shared" si="291"/>
        <v/>
      </c>
      <c r="L283" s="310" t="str">
        <f t="shared" si="292"/>
        <v/>
      </c>
      <c r="M283" s="310" t="str">
        <f t="shared" si="293"/>
        <v/>
      </c>
      <c r="N283" s="311" t="str">
        <f t="shared" si="294"/>
        <v/>
      </c>
    </row>
    <row r="284" spans="1:14" s="294" customFormat="1">
      <c r="A284" s="297" t="s">
        <v>1517</v>
      </c>
      <c r="B284" s="301"/>
      <c r="C284" s="299" t="s">
        <v>1496</v>
      </c>
      <c r="D284" s="299">
        <v>1</v>
      </c>
      <c r="E284" s="300">
        <f>12+15+12</f>
        <v>39</v>
      </c>
      <c r="F284" s="300">
        <f t="shared" si="295"/>
        <v>39</v>
      </c>
      <c r="G284" s="302">
        <f>(0.3*2)+17*0.008*2</f>
        <v>0.87</v>
      </c>
      <c r="H284" s="310" t="str">
        <f t="shared" si="288"/>
        <v/>
      </c>
      <c r="I284" s="311">
        <f t="shared" si="289"/>
        <v>33.93</v>
      </c>
      <c r="J284" s="311" t="str">
        <f t="shared" si="290"/>
        <v/>
      </c>
      <c r="K284" s="311" t="str">
        <f t="shared" si="291"/>
        <v/>
      </c>
      <c r="L284" s="310" t="str">
        <f t="shared" si="292"/>
        <v/>
      </c>
      <c r="M284" s="310" t="str">
        <f t="shared" si="293"/>
        <v/>
      </c>
      <c r="N284" s="311" t="str">
        <f t="shared" si="294"/>
        <v/>
      </c>
    </row>
    <row r="285" spans="1:14" s="294" customFormat="1">
      <c r="A285" s="297" t="s">
        <v>1518</v>
      </c>
      <c r="B285" s="301"/>
      <c r="C285" s="299" t="s">
        <v>1492</v>
      </c>
      <c r="D285" s="299">
        <v>1</v>
      </c>
      <c r="E285" s="300">
        <v>6</v>
      </c>
      <c r="F285" s="300">
        <f>E285*D285</f>
        <v>6</v>
      </c>
      <c r="G285" s="299">
        <v>3.8</v>
      </c>
      <c r="H285" s="310" t="str">
        <f t="shared" si="288"/>
        <v/>
      </c>
      <c r="I285" s="311" t="str">
        <f t="shared" si="289"/>
        <v/>
      </c>
      <c r="J285" s="311" t="str">
        <f t="shared" si="290"/>
        <v/>
      </c>
      <c r="K285" s="311" t="str">
        <f t="shared" si="291"/>
        <v/>
      </c>
      <c r="L285" s="310">
        <f t="shared" si="292"/>
        <v>22.8</v>
      </c>
      <c r="M285" s="310" t="str">
        <f t="shared" si="293"/>
        <v/>
      </c>
      <c r="N285" s="311" t="str">
        <f t="shared" si="294"/>
        <v/>
      </c>
    </row>
    <row r="286" spans="1:14">
      <c r="A286" s="253"/>
      <c r="B286" s="254"/>
      <c r="C286" s="299" t="s">
        <v>1492</v>
      </c>
      <c r="D286" s="299">
        <v>1</v>
      </c>
      <c r="E286" s="300">
        <v>6</v>
      </c>
      <c r="F286" s="300">
        <f>E286*D286</f>
        <v>6</v>
      </c>
      <c r="G286" s="299">
        <v>2.8</v>
      </c>
      <c r="H286" s="310" t="str">
        <f t="shared" si="288"/>
        <v/>
      </c>
      <c r="I286" s="311" t="str">
        <f t="shared" si="289"/>
        <v/>
      </c>
      <c r="J286" s="311" t="str">
        <f t="shared" si="290"/>
        <v/>
      </c>
      <c r="K286" s="311" t="str">
        <f t="shared" si="291"/>
        <v/>
      </c>
      <c r="L286" s="310">
        <f t="shared" si="292"/>
        <v>16.8</v>
      </c>
      <c r="M286" s="310" t="str">
        <f t="shared" si="293"/>
        <v/>
      </c>
      <c r="N286" s="311" t="str">
        <f t="shared" si="294"/>
        <v/>
      </c>
    </row>
    <row r="287" spans="1:14">
      <c r="A287" s="253"/>
      <c r="B287" s="254"/>
      <c r="C287" s="299" t="s">
        <v>1519</v>
      </c>
      <c r="D287" s="299">
        <v>1</v>
      </c>
      <c r="E287" s="300">
        <v>3</v>
      </c>
      <c r="F287" s="300">
        <f>E287*D287</f>
        <v>3</v>
      </c>
      <c r="G287" s="299">
        <v>3.5</v>
      </c>
      <c r="H287" s="310" t="str">
        <f t="shared" si="288"/>
        <v/>
      </c>
      <c r="I287" s="311" t="str">
        <f t="shared" si="289"/>
        <v/>
      </c>
      <c r="J287" s="311">
        <f t="shared" si="290"/>
        <v>10.5</v>
      </c>
      <c r="K287" s="311" t="str">
        <f t="shared" si="291"/>
        <v/>
      </c>
      <c r="L287" s="310" t="str">
        <f t="shared" si="292"/>
        <v/>
      </c>
      <c r="M287" s="310" t="str">
        <f t="shared" si="293"/>
        <v/>
      </c>
      <c r="N287" s="311" t="str">
        <f t="shared" si="294"/>
        <v/>
      </c>
    </row>
    <row r="288" spans="1:14">
      <c r="A288" s="253"/>
      <c r="B288" s="254"/>
      <c r="C288" s="254"/>
      <c r="D288" s="254"/>
      <c r="E288" s="259"/>
      <c r="F288" s="259"/>
      <c r="G288" s="255"/>
      <c r="H288" s="308"/>
      <c r="I288" s="309"/>
      <c r="J288" s="309"/>
      <c r="K288" s="309"/>
      <c r="L288" s="308"/>
      <c r="M288" s="308"/>
      <c r="N288" s="309"/>
    </row>
    <row r="289" spans="1:14" ht="16.5">
      <c r="A289" s="303" t="s">
        <v>1539</v>
      </c>
      <c r="B289" s="254"/>
      <c r="C289" s="254"/>
      <c r="D289" s="254"/>
      <c r="E289" s="259"/>
      <c r="F289" s="259"/>
      <c r="G289" s="255"/>
      <c r="H289" s="308"/>
      <c r="I289" s="309"/>
      <c r="J289" s="309"/>
      <c r="K289" s="309"/>
      <c r="L289" s="308"/>
      <c r="M289" s="308"/>
      <c r="N289" s="309"/>
    </row>
    <row r="290" spans="1:14" s="294" customFormat="1">
      <c r="A290" s="297" t="s">
        <v>1515</v>
      </c>
      <c r="B290" s="298"/>
      <c r="C290" s="299" t="s">
        <v>1519</v>
      </c>
      <c r="D290" s="299">
        <v>1</v>
      </c>
      <c r="E290" s="300">
        <v>3</v>
      </c>
      <c r="F290" s="300">
        <f>E290*D290</f>
        <v>3</v>
      </c>
      <c r="G290" s="299">
        <f>(2.75)+17*0.012*2</f>
        <v>3.1579999999999999</v>
      </c>
      <c r="H290" s="310" t="str">
        <f t="shared" ref="H290:H295" si="296">IF(C290="T6",G290*F290,"")</f>
        <v/>
      </c>
      <c r="I290" s="311" t="str">
        <f t="shared" ref="I290:I295" si="297">IF(C290="T8",F290*G290,"")</f>
        <v/>
      </c>
      <c r="J290" s="311">
        <f t="shared" ref="J290:J295" si="298">IF(C290="T10",F290*G290,"")</f>
        <v>9.4700000000000006</v>
      </c>
      <c r="K290" s="311" t="str">
        <f t="shared" ref="K290:K295" si="299">IF(C290="T12",F290*G290,"")</f>
        <v/>
      </c>
      <c r="L290" s="310" t="str">
        <f t="shared" ref="L290:L295" si="300">IF(C290="T14",F290*G290,"")</f>
        <v/>
      </c>
      <c r="M290" s="310" t="str">
        <f t="shared" ref="M290:M295" si="301">IF(C290="T16",G290*F290,"")</f>
        <v/>
      </c>
      <c r="N290" s="311" t="str">
        <f t="shared" ref="N290:N295" si="302">IF(C290="T20",G290*F290,"")</f>
        <v/>
      </c>
    </row>
    <row r="291" spans="1:14" s="294" customFormat="1">
      <c r="A291" s="297" t="s">
        <v>1515</v>
      </c>
      <c r="B291" s="298"/>
      <c r="C291" s="299" t="s">
        <v>1492</v>
      </c>
      <c r="D291" s="299">
        <v>1</v>
      </c>
      <c r="E291" s="300">
        <v>3</v>
      </c>
      <c r="F291" s="300">
        <f>E291*D291</f>
        <v>3</v>
      </c>
      <c r="G291" s="299">
        <f>(2.75)+17*0.014*2</f>
        <v>3.226</v>
      </c>
      <c r="H291" s="310" t="str">
        <f t="shared" si="296"/>
        <v/>
      </c>
      <c r="I291" s="311" t="str">
        <f t="shared" si="297"/>
        <v/>
      </c>
      <c r="J291" s="311" t="str">
        <f t="shared" si="298"/>
        <v/>
      </c>
      <c r="K291" s="311" t="str">
        <f t="shared" si="299"/>
        <v/>
      </c>
      <c r="L291" s="310">
        <f t="shared" si="300"/>
        <v>9.68</v>
      </c>
      <c r="M291" s="310" t="str">
        <f t="shared" si="301"/>
        <v/>
      </c>
      <c r="N291" s="311" t="str">
        <f t="shared" si="302"/>
        <v/>
      </c>
    </row>
    <row r="292" spans="1:14" s="294" customFormat="1">
      <c r="A292" s="297" t="s">
        <v>1494</v>
      </c>
      <c r="B292" s="301"/>
      <c r="C292" s="299" t="s">
        <v>1496</v>
      </c>
      <c r="D292" s="299">
        <v>1</v>
      </c>
      <c r="E292" s="300">
        <f>9+10+9</f>
        <v>28</v>
      </c>
      <c r="F292" s="300">
        <f t="shared" ref="F292:F293" si="303">E292*D292</f>
        <v>28</v>
      </c>
      <c r="G292" s="302">
        <f>(0.2+0.35)*2+17*0.008*2</f>
        <v>1.37</v>
      </c>
      <c r="H292" s="310" t="str">
        <f t="shared" si="296"/>
        <v/>
      </c>
      <c r="I292" s="311">
        <f t="shared" si="297"/>
        <v>38.36</v>
      </c>
      <c r="J292" s="311" t="str">
        <f t="shared" si="298"/>
        <v/>
      </c>
      <c r="K292" s="311" t="str">
        <f t="shared" si="299"/>
        <v/>
      </c>
      <c r="L292" s="310" t="str">
        <f t="shared" si="300"/>
        <v/>
      </c>
      <c r="M292" s="310" t="str">
        <f t="shared" si="301"/>
        <v/>
      </c>
      <c r="N292" s="311" t="str">
        <f t="shared" si="302"/>
        <v/>
      </c>
    </row>
    <row r="293" spans="1:14" s="294" customFormat="1">
      <c r="A293" s="297" t="s">
        <v>1517</v>
      </c>
      <c r="B293" s="301"/>
      <c r="C293" s="299" t="s">
        <v>1496</v>
      </c>
      <c r="D293" s="299">
        <v>1</v>
      </c>
      <c r="E293" s="300">
        <f>9+10+9</f>
        <v>28</v>
      </c>
      <c r="F293" s="300">
        <f t="shared" si="303"/>
        <v>28</v>
      </c>
      <c r="G293" s="302">
        <f>(0.35*2)+17*0.008*2</f>
        <v>0.97</v>
      </c>
      <c r="H293" s="310" t="str">
        <f t="shared" si="296"/>
        <v/>
      </c>
      <c r="I293" s="311">
        <f t="shared" si="297"/>
        <v>27.16</v>
      </c>
      <c r="J293" s="311" t="str">
        <f t="shared" si="298"/>
        <v/>
      </c>
      <c r="K293" s="311" t="str">
        <f t="shared" si="299"/>
        <v/>
      </c>
      <c r="L293" s="310" t="str">
        <f t="shared" si="300"/>
        <v/>
      </c>
      <c r="M293" s="310" t="str">
        <f t="shared" si="301"/>
        <v/>
      </c>
      <c r="N293" s="311" t="str">
        <f t="shared" si="302"/>
        <v/>
      </c>
    </row>
    <row r="294" spans="1:14" s="294" customFormat="1">
      <c r="A294" s="297" t="s">
        <v>1518</v>
      </c>
      <c r="B294" s="301"/>
      <c r="C294" s="299" t="s">
        <v>1516</v>
      </c>
      <c r="D294" s="299">
        <v>1</v>
      </c>
      <c r="E294" s="300">
        <v>3</v>
      </c>
      <c r="F294" s="300">
        <f>E294*D294</f>
        <v>3</v>
      </c>
      <c r="G294" s="299">
        <v>1</v>
      </c>
      <c r="H294" s="310" t="str">
        <f t="shared" si="296"/>
        <v/>
      </c>
      <c r="I294" s="311" t="str">
        <f t="shared" si="297"/>
        <v/>
      </c>
      <c r="J294" s="311" t="str">
        <f t="shared" si="298"/>
        <v/>
      </c>
      <c r="K294" s="311">
        <f t="shared" si="299"/>
        <v>3</v>
      </c>
      <c r="L294" s="310" t="str">
        <f t="shared" si="300"/>
        <v/>
      </c>
      <c r="M294" s="310" t="str">
        <f t="shared" si="301"/>
        <v/>
      </c>
      <c r="N294" s="311" t="str">
        <f t="shared" si="302"/>
        <v/>
      </c>
    </row>
    <row r="295" spans="1:14">
      <c r="A295" s="253"/>
      <c r="B295" s="254"/>
      <c r="C295" s="299" t="s">
        <v>1492</v>
      </c>
      <c r="D295" s="299">
        <v>1</v>
      </c>
      <c r="E295" s="300">
        <v>3</v>
      </c>
      <c r="F295" s="300">
        <f>E295*D295</f>
        <v>3</v>
      </c>
      <c r="G295" s="299">
        <v>3.5</v>
      </c>
      <c r="H295" s="310" t="str">
        <f t="shared" si="296"/>
        <v/>
      </c>
      <c r="I295" s="311" t="str">
        <f t="shared" si="297"/>
        <v/>
      </c>
      <c r="J295" s="311" t="str">
        <f t="shared" si="298"/>
        <v/>
      </c>
      <c r="K295" s="311" t="str">
        <f t="shared" si="299"/>
        <v/>
      </c>
      <c r="L295" s="310">
        <f t="shared" si="300"/>
        <v>10.5</v>
      </c>
      <c r="M295" s="310" t="str">
        <f t="shared" si="301"/>
        <v/>
      </c>
      <c r="N295" s="311" t="str">
        <f t="shared" si="302"/>
        <v/>
      </c>
    </row>
    <row r="296" spans="1:14">
      <c r="A296" s="253"/>
      <c r="B296" s="254"/>
      <c r="C296" s="254"/>
      <c r="D296" s="254"/>
      <c r="E296" s="259"/>
      <c r="F296" s="259"/>
      <c r="G296" s="255"/>
      <c r="H296" s="308"/>
      <c r="I296" s="309"/>
      <c r="J296" s="309"/>
      <c r="K296" s="309"/>
      <c r="L296" s="308"/>
      <c r="M296" s="308"/>
      <c r="N296" s="309"/>
    </row>
    <row r="297" spans="1:14" ht="16.5">
      <c r="A297" s="303" t="s">
        <v>1540</v>
      </c>
      <c r="B297" s="254"/>
      <c r="C297" s="254"/>
      <c r="D297" s="254"/>
      <c r="E297" s="259"/>
      <c r="F297" s="259"/>
      <c r="G297" s="255"/>
      <c r="H297" s="308"/>
      <c r="I297" s="309"/>
      <c r="J297" s="309"/>
      <c r="K297" s="309"/>
      <c r="L297" s="308"/>
      <c r="M297" s="308"/>
      <c r="N297" s="309"/>
    </row>
    <row r="298" spans="1:14" s="294" customFormat="1">
      <c r="A298" s="297" t="s">
        <v>1515</v>
      </c>
      <c r="B298" s="298"/>
      <c r="C298" s="299" t="s">
        <v>1492</v>
      </c>
      <c r="D298" s="299">
        <v>1</v>
      </c>
      <c r="E298" s="300">
        <v>3</v>
      </c>
      <c r="F298" s="300">
        <f>E298*D298</f>
        <v>3</v>
      </c>
      <c r="G298" s="299">
        <f>(6.2)+17*0.014*2</f>
        <v>6.6760000000000002</v>
      </c>
      <c r="H298" s="310" t="str">
        <f t="shared" ref="H298:H305" si="304">IF(C298="T6",G298*F298,"")</f>
        <v/>
      </c>
      <c r="I298" s="311" t="str">
        <f t="shared" ref="I298:I305" si="305">IF(C298="T8",F298*G298,"")</f>
        <v/>
      </c>
      <c r="J298" s="311" t="str">
        <f t="shared" ref="J298:J305" si="306">IF(C298="T10",F298*G298,"")</f>
        <v/>
      </c>
      <c r="K298" s="311" t="str">
        <f t="shared" ref="K298:K305" si="307">IF(C298="T12",F298*G298,"")</f>
        <v/>
      </c>
      <c r="L298" s="310">
        <f t="shared" ref="L298:L305" si="308">IF(C298="T14",F298*G298,"")</f>
        <v>20.03</v>
      </c>
      <c r="M298" s="310" t="str">
        <f t="shared" ref="M298:M304" si="309">IF(C298="T16",G298*F298,"")</f>
        <v/>
      </c>
      <c r="N298" s="311" t="str">
        <f t="shared" ref="N298:N304" si="310">IF(C298="T20",G298*F298,"")</f>
        <v/>
      </c>
    </row>
    <row r="299" spans="1:14" s="294" customFormat="1">
      <c r="A299" s="297" t="s">
        <v>1515</v>
      </c>
      <c r="B299" s="298"/>
      <c r="C299" s="299" t="s">
        <v>1492</v>
      </c>
      <c r="D299" s="299">
        <v>1</v>
      </c>
      <c r="E299" s="300">
        <v>3</v>
      </c>
      <c r="F299" s="300">
        <f>E299*D299</f>
        <v>3</v>
      </c>
      <c r="G299" s="299">
        <f>(6.2)+17*0.014*2</f>
        <v>6.6760000000000002</v>
      </c>
      <c r="H299" s="310" t="str">
        <f t="shared" si="304"/>
        <v/>
      </c>
      <c r="I299" s="311" t="str">
        <f t="shared" si="305"/>
        <v/>
      </c>
      <c r="J299" s="311" t="str">
        <f t="shared" si="306"/>
        <v/>
      </c>
      <c r="K299" s="311" t="str">
        <f t="shared" si="307"/>
        <v/>
      </c>
      <c r="L299" s="310">
        <f t="shared" si="308"/>
        <v>20.03</v>
      </c>
      <c r="M299" s="310" t="str">
        <f t="shared" si="309"/>
        <v/>
      </c>
      <c r="N299" s="311" t="str">
        <f t="shared" si="310"/>
        <v/>
      </c>
    </row>
    <row r="300" spans="1:14" s="294" customFormat="1">
      <c r="A300" s="297"/>
      <c r="B300" s="298"/>
      <c r="C300" s="299" t="s">
        <v>1516</v>
      </c>
      <c r="D300" s="299">
        <v>1</v>
      </c>
      <c r="E300" s="300">
        <v>2</v>
      </c>
      <c r="F300" s="300">
        <f>E300*D300</f>
        <v>2</v>
      </c>
      <c r="G300" s="299">
        <v>6.2</v>
      </c>
      <c r="H300" s="310" t="str">
        <f t="shared" si="304"/>
        <v/>
      </c>
      <c r="I300" s="311" t="str">
        <f t="shared" si="305"/>
        <v/>
      </c>
      <c r="J300" s="311" t="str">
        <f t="shared" si="306"/>
        <v/>
      </c>
      <c r="K300" s="311">
        <f t="shared" si="307"/>
        <v>12.4</v>
      </c>
      <c r="L300" s="310" t="str">
        <f t="shared" si="308"/>
        <v/>
      </c>
      <c r="M300" s="310" t="str">
        <f t="shared" si="309"/>
        <v/>
      </c>
      <c r="N300" s="311" t="str">
        <f t="shared" si="310"/>
        <v/>
      </c>
    </row>
    <row r="301" spans="1:14" s="294" customFormat="1">
      <c r="A301" s="297" t="s">
        <v>1494</v>
      </c>
      <c r="B301" s="301"/>
      <c r="C301" s="299" t="s">
        <v>1496</v>
      </c>
      <c r="D301" s="299">
        <v>1</v>
      </c>
      <c r="E301" s="300">
        <f>18+20+18</f>
        <v>56</v>
      </c>
      <c r="F301" s="300">
        <f t="shared" ref="F301:F302" si="311">E301*D301</f>
        <v>56</v>
      </c>
      <c r="G301" s="302">
        <f>(0.2+0.55)*2+17*0.008*2</f>
        <v>1.77</v>
      </c>
      <c r="H301" s="310" t="str">
        <f t="shared" si="304"/>
        <v/>
      </c>
      <c r="I301" s="311">
        <f t="shared" si="305"/>
        <v>99.12</v>
      </c>
      <c r="J301" s="311" t="str">
        <f t="shared" si="306"/>
        <v/>
      </c>
      <c r="K301" s="311" t="str">
        <f t="shared" si="307"/>
        <v/>
      </c>
      <c r="L301" s="310" t="str">
        <f t="shared" si="308"/>
        <v/>
      </c>
      <c r="M301" s="310" t="str">
        <f t="shared" si="309"/>
        <v/>
      </c>
      <c r="N301" s="311" t="str">
        <f t="shared" si="310"/>
        <v/>
      </c>
    </row>
    <row r="302" spans="1:14" s="294" customFormat="1">
      <c r="A302" s="297" t="s">
        <v>1517</v>
      </c>
      <c r="B302" s="301"/>
      <c r="C302" s="299" t="s">
        <v>1496</v>
      </c>
      <c r="D302" s="299">
        <v>1</v>
      </c>
      <c r="E302" s="300">
        <f>18+20+18</f>
        <v>56</v>
      </c>
      <c r="F302" s="300">
        <f t="shared" si="311"/>
        <v>56</v>
      </c>
      <c r="G302" s="302">
        <f>(0.55*2)+17*0.008*2</f>
        <v>1.37</v>
      </c>
      <c r="H302" s="310" t="str">
        <f t="shared" si="304"/>
        <v/>
      </c>
      <c r="I302" s="311">
        <f t="shared" si="305"/>
        <v>76.72</v>
      </c>
      <c r="J302" s="311" t="str">
        <f t="shared" si="306"/>
        <v/>
      </c>
      <c r="K302" s="311" t="str">
        <f t="shared" si="307"/>
        <v/>
      </c>
      <c r="L302" s="310" t="str">
        <f t="shared" si="308"/>
        <v/>
      </c>
      <c r="M302" s="310" t="str">
        <f t="shared" si="309"/>
        <v/>
      </c>
      <c r="N302" s="311" t="str">
        <f t="shared" si="310"/>
        <v/>
      </c>
    </row>
    <row r="303" spans="1:14" s="294" customFormat="1">
      <c r="A303" s="297" t="s">
        <v>1518</v>
      </c>
      <c r="B303" s="301"/>
      <c r="C303" s="299" t="s">
        <v>1492</v>
      </c>
      <c r="D303" s="299">
        <v>1</v>
      </c>
      <c r="E303" s="300">
        <v>6</v>
      </c>
      <c r="F303" s="300">
        <f>E303*D303</f>
        <v>6</v>
      </c>
      <c r="G303" s="299">
        <v>2.6</v>
      </c>
      <c r="H303" s="310" t="str">
        <f t="shared" si="304"/>
        <v/>
      </c>
      <c r="I303" s="311" t="str">
        <f t="shared" si="305"/>
        <v/>
      </c>
      <c r="J303" s="311" t="str">
        <f t="shared" si="306"/>
        <v/>
      </c>
      <c r="K303" s="311" t="str">
        <f t="shared" si="307"/>
        <v/>
      </c>
      <c r="L303" s="310">
        <f t="shared" si="308"/>
        <v>15.6</v>
      </c>
      <c r="M303" s="310" t="str">
        <f t="shared" si="309"/>
        <v/>
      </c>
      <c r="N303" s="311" t="str">
        <f t="shared" si="310"/>
        <v/>
      </c>
    </row>
    <row r="304" spans="1:14">
      <c r="A304" s="297" t="s">
        <v>1520</v>
      </c>
      <c r="B304" s="254"/>
      <c r="C304" s="299" t="s">
        <v>1492</v>
      </c>
      <c r="D304" s="299">
        <v>1</v>
      </c>
      <c r="E304" s="300">
        <v>6</v>
      </c>
      <c r="F304" s="300">
        <f>E304*D304</f>
        <v>6</v>
      </c>
      <c r="G304" s="299">
        <v>3.5</v>
      </c>
      <c r="H304" s="310" t="str">
        <f t="shared" si="304"/>
        <v/>
      </c>
      <c r="I304" s="311" t="str">
        <f t="shared" si="305"/>
        <v/>
      </c>
      <c r="J304" s="311" t="str">
        <f t="shared" si="306"/>
        <v/>
      </c>
      <c r="K304" s="311" t="str">
        <f t="shared" si="307"/>
        <v/>
      </c>
      <c r="L304" s="310">
        <f t="shared" si="308"/>
        <v>21</v>
      </c>
      <c r="M304" s="310" t="str">
        <f t="shared" si="309"/>
        <v/>
      </c>
      <c r="N304" s="311" t="str">
        <f t="shared" si="310"/>
        <v/>
      </c>
    </row>
    <row r="305" spans="1:14">
      <c r="A305" s="304"/>
      <c r="B305" s="254"/>
      <c r="C305" s="299" t="s">
        <v>1492</v>
      </c>
      <c r="D305" s="299">
        <v>1</v>
      </c>
      <c r="E305" s="300">
        <v>3</v>
      </c>
      <c r="F305" s="300">
        <f>E305*D305</f>
        <v>3</v>
      </c>
      <c r="G305" s="299">
        <v>5.8</v>
      </c>
      <c r="H305" s="310" t="str">
        <f t="shared" si="304"/>
        <v/>
      </c>
      <c r="I305" s="311" t="str">
        <f t="shared" si="305"/>
        <v/>
      </c>
      <c r="J305" s="311" t="str">
        <f t="shared" si="306"/>
        <v/>
      </c>
      <c r="K305" s="311" t="str">
        <f t="shared" si="307"/>
        <v/>
      </c>
      <c r="L305" s="310">
        <f t="shared" si="308"/>
        <v>17.399999999999999</v>
      </c>
      <c r="M305" s="310"/>
      <c r="N305" s="311"/>
    </row>
    <row r="306" spans="1:14">
      <c r="A306" s="253"/>
      <c r="B306" s="254"/>
      <c r="C306" s="254"/>
      <c r="D306" s="254"/>
      <c r="E306" s="259"/>
      <c r="F306" s="259"/>
      <c r="G306" s="255"/>
      <c r="H306" s="308"/>
      <c r="I306" s="309"/>
      <c r="J306" s="309"/>
      <c r="K306" s="309"/>
      <c r="L306" s="308"/>
      <c r="M306" s="308"/>
      <c r="N306" s="309"/>
    </row>
    <row r="307" spans="1:14" ht="16.5">
      <c r="A307" s="303" t="s">
        <v>1541</v>
      </c>
      <c r="B307" s="254"/>
      <c r="C307" s="254"/>
      <c r="D307" s="254"/>
      <c r="E307" s="259"/>
      <c r="F307" s="259"/>
      <c r="G307" s="255"/>
      <c r="H307" s="308"/>
      <c r="I307" s="309"/>
      <c r="J307" s="309"/>
      <c r="K307" s="309"/>
      <c r="L307" s="308"/>
      <c r="M307" s="308"/>
      <c r="N307" s="309"/>
    </row>
    <row r="308" spans="1:14" s="294" customFormat="1">
      <c r="A308" s="297" t="s">
        <v>1515</v>
      </c>
      <c r="B308" s="298"/>
      <c r="C308" s="299" t="s">
        <v>1516</v>
      </c>
      <c r="D308" s="299">
        <v>1</v>
      </c>
      <c r="E308" s="300">
        <v>3</v>
      </c>
      <c r="F308" s="300">
        <f>E308*D308</f>
        <v>3</v>
      </c>
      <c r="G308" s="299">
        <f>(5.75)+17*0.012*2</f>
        <v>6.1580000000000004</v>
      </c>
      <c r="H308" s="310" t="str">
        <f t="shared" ref="H308:H314" si="312">IF(C308="T6",G308*F308,"")</f>
        <v/>
      </c>
      <c r="I308" s="311" t="str">
        <f t="shared" ref="I308:I314" si="313">IF(C308="T8",F308*G308,"")</f>
        <v/>
      </c>
      <c r="J308" s="311" t="str">
        <f t="shared" ref="J308:J314" si="314">IF(C308="T10",F308*G308,"")</f>
        <v/>
      </c>
      <c r="K308" s="311">
        <f t="shared" ref="K308:K314" si="315">IF(C308="T12",F308*G308,"")</f>
        <v>18.47</v>
      </c>
      <c r="L308" s="310" t="str">
        <f t="shared" ref="L308:L314" si="316">IF(C308="T14",F308*G308,"")</f>
        <v/>
      </c>
      <c r="M308" s="310" t="str">
        <f t="shared" ref="M308:M314" si="317">IF(C308="T16",G308*F308,"")</f>
        <v/>
      </c>
      <c r="N308" s="311" t="str">
        <f t="shared" ref="N308:N314" si="318">IF(C308="T20",G308*F308,"")</f>
        <v/>
      </c>
    </row>
    <row r="309" spans="1:14" s="294" customFormat="1">
      <c r="A309" s="297" t="s">
        <v>1515</v>
      </c>
      <c r="B309" s="298"/>
      <c r="C309" s="299" t="s">
        <v>1492</v>
      </c>
      <c r="D309" s="299">
        <v>1</v>
      </c>
      <c r="E309" s="300">
        <v>3</v>
      </c>
      <c r="F309" s="300">
        <f>E309*D309</f>
        <v>3</v>
      </c>
      <c r="G309" s="299">
        <f>(5.75)+17*0.014*2</f>
        <v>6.226</v>
      </c>
      <c r="H309" s="310" t="str">
        <f t="shared" si="312"/>
        <v/>
      </c>
      <c r="I309" s="311" t="str">
        <f t="shared" si="313"/>
        <v/>
      </c>
      <c r="J309" s="311" t="str">
        <f t="shared" si="314"/>
        <v/>
      </c>
      <c r="K309" s="311" t="str">
        <f t="shared" si="315"/>
        <v/>
      </c>
      <c r="L309" s="310">
        <f t="shared" si="316"/>
        <v>18.68</v>
      </c>
      <c r="M309" s="310" t="str">
        <f t="shared" si="317"/>
        <v/>
      </c>
      <c r="N309" s="311" t="str">
        <f t="shared" si="318"/>
        <v/>
      </c>
    </row>
    <row r="310" spans="1:14" s="294" customFormat="1">
      <c r="A310" s="297"/>
      <c r="B310" s="298"/>
      <c r="C310" s="299" t="s">
        <v>1519</v>
      </c>
      <c r="D310" s="299">
        <v>1</v>
      </c>
      <c r="E310" s="300">
        <v>2</v>
      </c>
      <c r="F310" s="300">
        <f>E310*D310</f>
        <v>2</v>
      </c>
      <c r="G310" s="299">
        <v>5.75</v>
      </c>
      <c r="H310" s="310" t="str">
        <f t="shared" si="312"/>
        <v/>
      </c>
      <c r="I310" s="311" t="str">
        <f t="shared" si="313"/>
        <v/>
      </c>
      <c r="J310" s="311">
        <f t="shared" si="314"/>
        <v>11.5</v>
      </c>
      <c r="K310" s="311" t="str">
        <f t="shared" si="315"/>
        <v/>
      </c>
      <c r="L310" s="310" t="str">
        <f t="shared" si="316"/>
        <v/>
      </c>
      <c r="M310" s="310" t="str">
        <f t="shared" si="317"/>
        <v/>
      </c>
      <c r="N310" s="311" t="str">
        <f t="shared" si="318"/>
        <v/>
      </c>
    </row>
    <row r="311" spans="1:14" s="294" customFormat="1">
      <c r="A311" s="297" t="s">
        <v>1494</v>
      </c>
      <c r="B311" s="301"/>
      <c r="C311" s="299" t="s">
        <v>1496</v>
      </c>
      <c r="D311" s="299">
        <v>1</v>
      </c>
      <c r="E311" s="300">
        <f>16+12+16</f>
        <v>44</v>
      </c>
      <c r="F311" s="300">
        <f t="shared" ref="F311:F312" si="319">E311*D311</f>
        <v>44</v>
      </c>
      <c r="G311" s="302">
        <f>(0.2+0.45)*2+17*0.008*2</f>
        <v>1.57</v>
      </c>
      <c r="H311" s="310" t="str">
        <f t="shared" si="312"/>
        <v/>
      </c>
      <c r="I311" s="311">
        <f t="shared" si="313"/>
        <v>69.08</v>
      </c>
      <c r="J311" s="311" t="str">
        <f t="shared" si="314"/>
        <v/>
      </c>
      <c r="K311" s="311" t="str">
        <f t="shared" si="315"/>
        <v/>
      </c>
      <c r="L311" s="310" t="str">
        <f t="shared" si="316"/>
        <v/>
      </c>
      <c r="M311" s="310" t="str">
        <f t="shared" si="317"/>
        <v/>
      </c>
      <c r="N311" s="311" t="str">
        <f t="shared" si="318"/>
        <v/>
      </c>
    </row>
    <row r="312" spans="1:14" s="294" customFormat="1">
      <c r="A312" s="297" t="s">
        <v>1517</v>
      </c>
      <c r="B312" s="301"/>
      <c r="C312" s="299" t="s">
        <v>1496</v>
      </c>
      <c r="D312" s="299">
        <v>1</v>
      </c>
      <c r="E312" s="300">
        <f>16+12+16</f>
        <v>44</v>
      </c>
      <c r="F312" s="300">
        <f t="shared" si="319"/>
        <v>44</v>
      </c>
      <c r="G312" s="302">
        <f>(0.45*2)+17*0.008*2</f>
        <v>1.17</v>
      </c>
      <c r="H312" s="310" t="str">
        <f t="shared" si="312"/>
        <v/>
      </c>
      <c r="I312" s="311">
        <f t="shared" si="313"/>
        <v>51.48</v>
      </c>
      <c r="J312" s="311" t="str">
        <f t="shared" si="314"/>
        <v/>
      </c>
      <c r="K312" s="311" t="str">
        <f t="shared" si="315"/>
        <v/>
      </c>
      <c r="L312" s="310" t="str">
        <f t="shared" si="316"/>
        <v/>
      </c>
      <c r="M312" s="310" t="str">
        <f t="shared" si="317"/>
        <v/>
      </c>
      <c r="N312" s="311" t="str">
        <f t="shared" si="318"/>
        <v/>
      </c>
    </row>
    <row r="313" spans="1:14" s="294" customFormat="1">
      <c r="A313" s="297" t="s">
        <v>1518</v>
      </c>
      <c r="B313" s="301"/>
      <c r="C313" s="299" t="s">
        <v>1492</v>
      </c>
      <c r="D313" s="299">
        <v>1</v>
      </c>
      <c r="E313" s="300">
        <v>6</v>
      </c>
      <c r="F313" s="300">
        <f>E313*D313</f>
        <v>6</v>
      </c>
      <c r="G313" s="299">
        <v>2.8</v>
      </c>
      <c r="H313" s="310" t="str">
        <f t="shared" si="312"/>
        <v/>
      </c>
      <c r="I313" s="311" t="str">
        <f t="shared" si="313"/>
        <v/>
      </c>
      <c r="J313" s="311" t="str">
        <f t="shared" si="314"/>
        <v/>
      </c>
      <c r="K313" s="311" t="str">
        <f t="shared" si="315"/>
        <v/>
      </c>
      <c r="L313" s="310">
        <f t="shared" si="316"/>
        <v>16.8</v>
      </c>
      <c r="M313" s="310" t="str">
        <f t="shared" si="317"/>
        <v/>
      </c>
      <c r="N313" s="311" t="str">
        <f t="shared" si="318"/>
        <v/>
      </c>
    </row>
    <row r="314" spans="1:14">
      <c r="A314" s="297" t="s">
        <v>1520</v>
      </c>
      <c r="B314" s="254"/>
      <c r="C314" s="299" t="s">
        <v>1516</v>
      </c>
      <c r="D314" s="299">
        <v>1</v>
      </c>
      <c r="E314" s="300">
        <v>3</v>
      </c>
      <c r="F314" s="300">
        <f>E314*D314</f>
        <v>3</v>
      </c>
      <c r="G314" s="299">
        <v>5.7</v>
      </c>
      <c r="H314" s="310" t="str">
        <f t="shared" si="312"/>
        <v/>
      </c>
      <c r="I314" s="311" t="str">
        <f t="shared" si="313"/>
        <v/>
      </c>
      <c r="J314" s="311" t="str">
        <f t="shared" si="314"/>
        <v/>
      </c>
      <c r="K314" s="311">
        <f t="shared" si="315"/>
        <v>17.100000000000001</v>
      </c>
      <c r="L314" s="310" t="str">
        <f t="shared" si="316"/>
        <v/>
      </c>
      <c r="M314" s="310" t="str">
        <f t="shared" si="317"/>
        <v/>
      </c>
      <c r="N314" s="311" t="str">
        <f t="shared" si="318"/>
        <v/>
      </c>
    </row>
    <row r="315" spans="1:14">
      <c r="A315" s="253"/>
      <c r="B315" s="254"/>
      <c r="C315" s="254"/>
      <c r="D315" s="254"/>
      <c r="E315" s="259"/>
      <c r="F315" s="259"/>
      <c r="G315" s="255"/>
      <c r="H315" s="308"/>
      <c r="I315" s="309"/>
      <c r="J315" s="309"/>
      <c r="K315" s="309"/>
      <c r="L315" s="308"/>
      <c r="M315" s="308"/>
      <c r="N315" s="309"/>
    </row>
    <row r="316" spans="1:14" ht="16.5">
      <c r="A316" s="303" t="s">
        <v>1542</v>
      </c>
      <c r="B316" s="254"/>
      <c r="C316" s="254"/>
      <c r="D316" s="254"/>
      <c r="E316" s="259"/>
      <c r="F316" s="259"/>
      <c r="G316" s="255"/>
      <c r="H316" s="308"/>
      <c r="I316" s="309"/>
      <c r="J316" s="309"/>
      <c r="K316" s="309"/>
      <c r="L316" s="308"/>
      <c r="M316" s="308"/>
      <c r="N316" s="309"/>
    </row>
    <row r="317" spans="1:14" s="294" customFormat="1">
      <c r="A317" s="297" t="s">
        <v>1515</v>
      </c>
      <c r="B317" s="298"/>
      <c r="C317" s="299" t="s">
        <v>1516</v>
      </c>
      <c r="D317" s="299">
        <v>1</v>
      </c>
      <c r="E317" s="300">
        <v>3</v>
      </c>
      <c r="F317" s="300">
        <f>E317*D317</f>
        <v>3</v>
      </c>
      <c r="G317" s="299">
        <f>(5.75)+17*0.012*2</f>
        <v>6.1580000000000004</v>
      </c>
      <c r="H317" s="310" t="str">
        <f t="shared" ref="H317:H323" si="320">IF(C317="T6",G317*F317,"")</f>
        <v/>
      </c>
      <c r="I317" s="311" t="str">
        <f t="shared" ref="I317:I323" si="321">IF(C317="T8",F317*G317,"")</f>
        <v/>
      </c>
      <c r="J317" s="311" t="str">
        <f t="shared" ref="J317:J323" si="322">IF(C317="T10",F317*G317,"")</f>
        <v/>
      </c>
      <c r="K317" s="311">
        <f t="shared" ref="K317:K323" si="323">IF(C317="T12",F317*G317,"")</f>
        <v>18.47</v>
      </c>
      <c r="L317" s="310" t="str">
        <f t="shared" ref="L317:L323" si="324">IF(C317="T14",F317*G317,"")</f>
        <v/>
      </c>
      <c r="M317" s="310" t="str">
        <f t="shared" ref="M317:M323" si="325">IF(C317="T16",G317*F317,"")</f>
        <v/>
      </c>
      <c r="N317" s="311" t="str">
        <f t="shared" ref="N317:N323" si="326">IF(C317="T20",G317*F317,"")</f>
        <v/>
      </c>
    </row>
    <row r="318" spans="1:14" s="294" customFormat="1">
      <c r="A318" s="297" t="s">
        <v>1515</v>
      </c>
      <c r="B318" s="298"/>
      <c r="C318" s="299" t="s">
        <v>1492</v>
      </c>
      <c r="D318" s="299">
        <v>1</v>
      </c>
      <c r="E318" s="300">
        <v>3</v>
      </c>
      <c r="F318" s="300">
        <f>E318*D318</f>
        <v>3</v>
      </c>
      <c r="G318" s="299">
        <f>(5.75)+17*0.014*2</f>
        <v>6.226</v>
      </c>
      <c r="H318" s="310" t="str">
        <f t="shared" si="320"/>
        <v/>
      </c>
      <c r="I318" s="311" t="str">
        <f t="shared" si="321"/>
        <v/>
      </c>
      <c r="J318" s="311" t="str">
        <f t="shared" si="322"/>
        <v/>
      </c>
      <c r="K318" s="311" t="str">
        <f t="shared" si="323"/>
        <v/>
      </c>
      <c r="L318" s="310">
        <f t="shared" si="324"/>
        <v>18.68</v>
      </c>
      <c r="M318" s="310" t="str">
        <f t="shared" si="325"/>
        <v/>
      </c>
      <c r="N318" s="311" t="str">
        <f t="shared" si="326"/>
        <v/>
      </c>
    </row>
    <row r="319" spans="1:14" s="294" customFormat="1">
      <c r="A319" s="297"/>
      <c r="B319" s="298"/>
      <c r="C319" s="299" t="s">
        <v>1519</v>
      </c>
      <c r="D319" s="299">
        <v>1</v>
      </c>
      <c r="E319" s="300">
        <v>2</v>
      </c>
      <c r="F319" s="300">
        <f>E319*D319</f>
        <v>2</v>
      </c>
      <c r="G319" s="299">
        <v>5.75</v>
      </c>
      <c r="H319" s="310" t="str">
        <f t="shared" si="320"/>
        <v/>
      </c>
      <c r="I319" s="311" t="str">
        <f t="shared" si="321"/>
        <v/>
      </c>
      <c r="J319" s="311">
        <f t="shared" si="322"/>
        <v>11.5</v>
      </c>
      <c r="K319" s="311" t="str">
        <f t="shared" si="323"/>
        <v/>
      </c>
      <c r="L319" s="310" t="str">
        <f t="shared" si="324"/>
        <v/>
      </c>
      <c r="M319" s="310" t="str">
        <f t="shared" si="325"/>
        <v/>
      </c>
      <c r="N319" s="311" t="str">
        <f t="shared" si="326"/>
        <v/>
      </c>
    </row>
    <row r="320" spans="1:14" s="294" customFormat="1">
      <c r="A320" s="297" t="s">
        <v>1494</v>
      </c>
      <c r="B320" s="301"/>
      <c r="C320" s="299" t="s">
        <v>1496</v>
      </c>
      <c r="D320" s="299">
        <v>1</v>
      </c>
      <c r="E320" s="300">
        <f>16+12+16</f>
        <v>44</v>
      </c>
      <c r="F320" s="300">
        <f t="shared" ref="F320:F321" si="327">E320*D320</f>
        <v>44</v>
      </c>
      <c r="G320" s="302">
        <f>(0.2+0.45)*2+17*0.008*2</f>
        <v>1.57</v>
      </c>
      <c r="H320" s="310" t="str">
        <f t="shared" si="320"/>
        <v/>
      </c>
      <c r="I320" s="311">
        <f t="shared" si="321"/>
        <v>69.08</v>
      </c>
      <c r="J320" s="311" t="str">
        <f t="shared" si="322"/>
        <v/>
      </c>
      <c r="K320" s="311" t="str">
        <f t="shared" si="323"/>
        <v/>
      </c>
      <c r="L320" s="310" t="str">
        <f t="shared" si="324"/>
        <v/>
      </c>
      <c r="M320" s="310" t="str">
        <f t="shared" si="325"/>
        <v/>
      </c>
      <c r="N320" s="311" t="str">
        <f t="shared" si="326"/>
        <v/>
      </c>
    </row>
    <row r="321" spans="1:14" s="294" customFormat="1">
      <c r="A321" s="297" t="s">
        <v>1517</v>
      </c>
      <c r="B321" s="301"/>
      <c r="C321" s="299" t="s">
        <v>1496</v>
      </c>
      <c r="D321" s="299">
        <v>1</v>
      </c>
      <c r="E321" s="300">
        <f>16+12+16</f>
        <v>44</v>
      </c>
      <c r="F321" s="300">
        <f t="shared" si="327"/>
        <v>44</v>
      </c>
      <c r="G321" s="302">
        <f>(0.45*2)+17*0.008*2</f>
        <v>1.17</v>
      </c>
      <c r="H321" s="310" t="str">
        <f t="shared" si="320"/>
        <v/>
      </c>
      <c r="I321" s="311">
        <f t="shared" si="321"/>
        <v>51.48</v>
      </c>
      <c r="J321" s="311" t="str">
        <f t="shared" si="322"/>
        <v/>
      </c>
      <c r="K321" s="311" t="str">
        <f t="shared" si="323"/>
        <v/>
      </c>
      <c r="L321" s="310" t="str">
        <f t="shared" si="324"/>
        <v/>
      </c>
      <c r="M321" s="310" t="str">
        <f t="shared" si="325"/>
        <v/>
      </c>
      <c r="N321" s="311" t="str">
        <f t="shared" si="326"/>
        <v/>
      </c>
    </row>
    <row r="322" spans="1:14" s="294" customFormat="1">
      <c r="A322" s="297" t="s">
        <v>1518</v>
      </c>
      <c r="B322" s="301"/>
      <c r="C322" s="299" t="s">
        <v>1492</v>
      </c>
      <c r="D322" s="299">
        <v>1</v>
      </c>
      <c r="E322" s="300">
        <v>6</v>
      </c>
      <c r="F322" s="300">
        <f>E322*D322</f>
        <v>6</v>
      </c>
      <c r="G322" s="299">
        <v>2.8</v>
      </c>
      <c r="H322" s="310" t="str">
        <f t="shared" si="320"/>
        <v/>
      </c>
      <c r="I322" s="311" t="str">
        <f t="shared" si="321"/>
        <v/>
      </c>
      <c r="J322" s="311" t="str">
        <f t="shared" si="322"/>
        <v/>
      </c>
      <c r="K322" s="311" t="str">
        <f t="shared" si="323"/>
        <v/>
      </c>
      <c r="L322" s="310">
        <f t="shared" si="324"/>
        <v>16.8</v>
      </c>
      <c r="M322" s="310" t="str">
        <f t="shared" si="325"/>
        <v/>
      </c>
      <c r="N322" s="311" t="str">
        <f t="shared" si="326"/>
        <v/>
      </c>
    </row>
    <row r="323" spans="1:14">
      <c r="A323" s="297" t="s">
        <v>1520</v>
      </c>
      <c r="B323" s="254"/>
      <c r="C323" s="299" t="s">
        <v>1516</v>
      </c>
      <c r="D323" s="299">
        <v>1</v>
      </c>
      <c r="E323" s="300">
        <v>3</v>
      </c>
      <c r="F323" s="300">
        <f>E323*D323</f>
        <v>3</v>
      </c>
      <c r="G323" s="299">
        <v>5.7</v>
      </c>
      <c r="H323" s="310" t="str">
        <f t="shared" si="320"/>
        <v/>
      </c>
      <c r="I323" s="311" t="str">
        <f t="shared" si="321"/>
        <v/>
      </c>
      <c r="J323" s="311" t="str">
        <f t="shared" si="322"/>
        <v/>
      </c>
      <c r="K323" s="311">
        <f t="shared" si="323"/>
        <v>17.100000000000001</v>
      </c>
      <c r="L323" s="310" t="str">
        <f t="shared" si="324"/>
        <v/>
      </c>
      <c r="M323" s="310" t="str">
        <f t="shared" si="325"/>
        <v/>
      </c>
      <c r="N323" s="311" t="str">
        <f t="shared" si="326"/>
        <v/>
      </c>
    </row>
    <row r="324" spans="1:14">
      <c r="A324" s="253"/>
      <c r="B324" s="254"/>
      <c r="C324" s="254"/>
      <c r="D324" s="254"/>
      <c r="E324" s="259"/>
      <c r="F324" s="259"/>
      <c r="G324" s="255"/>
      <c r="H324" s="308"/>
      <c r="I324" s="309"/>
      <c r="J324" s="309"/>
      <c r="K324" s="309"/>
      <c r="L324" s="308"/>
      <c r="M324" s="308"/>
      <c r="N324" s="309"/>
    </row>
    <row r="325" spans="1:14" ht="16.5">
      <c r="A325" s="303" t="s">
        <v>1543</v>
      </c>
      <c r="B325" s="254"/>
      <c r="C325" s="254"/>
      <c r="D325" s="254"/>
      <c r="E325" s="259"/>
      <c r="F325" s="259"/>
      <c r="G325" s="255"/>
      <c r="H325" s="308"/>
      <c r="I325" s="309"/>
      <c r="J325" s="309"/>
      <c r="K325" s="309"/>
      <c r="L325" s="308"/>
      <c r="M325" s="308"/>
      <c r="N325" s="309"/>
    </row>
    <row r="326" spans="1:14" s="294" customFormat="1">
      <c r="A326" s="297" t="s">
        <v>1515</v>
      </c>
      <c r="B326" s="298"/>
      <c r="C326" s="299" t="s">
        <v>1492</v>
      </c>
      <c r="D326" s="299">
        <v>1</v>
      </c>
      <c r="E326" s="300">
        <v>4</v>
      </c>
      <c r="F326" s="300">
        <f>E326*D326</f>
        <v>4</v>
      </c>
      <c r="G326" s="299">
        <f>(8.45)+17*0.014*2</f>
        <v>8.9260000000000002</v>
      </c>
      <c r="H326" s="310" t="str">
        <f t="shared" ref="H326:H332" si="328">IF(C326="T6",G326*F326,"")</f>
        <v/>
      </c>
      <c r="I326" s="311" t="str">
        <f t="shared" ref="I326:I332" si="329">IF(C326="T8",F326*G326,"")</f>
        <v/>
      </c>
      <c r="J326" s="311" t="str">
        <f t="shared" ref="J326:J332" si="330">IF(C326="T10",F326*G326,"")</f>
        <v/>
      </c>
      <c r="K326" s="311" t="str">
        <f t="shared" ref="K326:K332" si="331">IF(C326="T12",F326*G326,"")</f>
        <v/>
      </c>
      <c r="L326" s="310">
        <f t="shared" ref="L326:L332" si="332">IF(C326="T14",F326*G326,"")</f>
        <v>35.700000000000003</v>
      </c>
      <c r="M326" s="310" t="str">
        <f t="shared" ref="M326:M332" si="333">IF(C326="T16",G326*F326,"")</f>
        <v/>
      </c>
      <c r="N326" s="311" t="str">
        <f t="shared" ref="N326:N332" si="334">IF(C326="T20",G326*F326,"")</f>
        <v/>
      </c>
    </row>
    <row r="327" spans="1:14" s="294" customFormat="1">
      <c r="A327" s="297" t="s">
        <v>1515</v>
      </c>
      <c r="B327" s="298"/>
      <c r="C327" s="299" t="s">
        <v>1521</v>
      </c>
      <c r="D327" s="299">
        <v>1</v>
      </c>
      <c r="E327" s="300">
        <v>8</v>
      </c>
      <c r="F327" s="300">
        <f>E327*D327</f>
        <v>8</v>
      </c>
      <c r="G327" s="299">
        <f>(8.45)+17*0.014*2</f>
        <v>8.9260000000000002</v>
      </c>
      <c r="H327" s="310" t="str">
        <f t="shared" si="328"/>
        <v/>
      </c>
      <c r="I327" s="311" t="str">
        <f t="shared" si="329"/>
        <v/>
      </c>
      <c r="J327" s="311" t="str">
        <f t="shared" si="330"/>
        <v/>
      </c>
      <c r="K327" s="311" t="str">
        <f t="shared" si="331"/>
        <v/>
      </c>
      <c r="L327" s="310" t="str">
        <f t="shared" si="332"/>
        <v/>
      </c>
      <c r="M327" s="310" t="str">
        <f t="shared" si="333"/>
        <v/>
      </c>
      <c r="N327" s="311">
        <f t="shared" si="334"/>
        <v>71.41</v>
      </c>
    </row>
    <row r="328" spans="1:14" s="294" customFormat="1">
      <c r="A328" s="297"/>
      <c r="B328" s="298"/>
      <c r="C328" s="299" t="s">
        <v>1516</v>
      </c>
      <c r="D328" s="299">
        <v>1</v>
      </c>
      <c r="E328" s="300">
        <v>4</v>
      </c>
      <c r="F328" s="300">
        <f>E328*D328</f>
        <v>4</v>
      </c>
      <c r="G328" s="299">
        <v>8.4499999999999993</v>
      </c>
      <c r="H328" s="310" t="str">
        <f t="shared" si="328"/>
        <v/>
      </c>
      <c r="I328" s="311" t="str">
        <f t="shared" si="329"/>
        <v/>
      </c>
      <c r="J328" s="311" t="str">
        <f t="shared" si="330"/>
        <v/>
      </c>
      <c r="K328" s="311">
        <f t="shared" si="331"/>
        <v>33.799999999999997</v>
      </c>
      <c r="L328" s="310" t="str">
        <f t="shared" si="332"/>
        <v/>
      </c>
      <c r="M328" s="310" t="str">
        <f t="shared" si="333"/>
        <v/>
      </c>
      <c r="N328" s="311" t="str">
        <f t="shared" si="334"/>
        <v/>
      </c>
    </row>
    <row r="329" spans="1:14" s="294" customFormat="1">
      <c r="A329" s="297" t="s">
        <v>1494</v>
      </c>
      <c r="B329" s="301"/>
      <c r="C329" s="299" t="s">
        <v>1496</v>
      </c>
      <c r="D329" s="299">
        <v>1</v>
      </c>
      <c r="E329" s="300">
        <f>27+20+27</f>
        <v>74</v>
      </c>
      <c r="F329" s="300">
        <f t="shared" ref="F329:F330" si="335">E329*D329</f>
        <v>74</v>
      </c>
      <c r="G329" s="302">
        <f>(0.2+0.85)*2+17*0.008*2</f>
        <v>2.37</v>
      </c>
      <c r="H329" s="310" t="str">
        <f t="shared" si="328"/>
        <v/>
      </c>
      <c r="I329" s="311">
        <f t="shared" si="329"/>
        <v>175.38</v>
      </c>
      <c r="J329" s="311" t="str">
        <f t="shared" si="330"/>
        <v/>
      </c>
      <c r="K329" s="311" t="str">
        <f t="shared" si="331"/>
        <v/>
      </c>
      <c r="L329" s="310" t="str">
        <f t="shared" si="332"/>
        <v/>
      </c>
      <c r="M329" s="310" t="str">
        <f t="shared" si="333"/>
        <v/>
      </c>
      <c r="N329" s="311" t="str">
        <f t="shared" si="334"/>
        <v/>
      </c>
    </row>
    <row r="330" spans="1:14" s="294" customFormat="1">
      <c r="A330" s="297" t="s">
        <v>1517</v>
      </c>
      <c r="B330" s="301"/>
      <c r="C330" s="299" t="s">
        <v>1496</v>
      </c>
      <c r="D330" s="299">
        <v>1</v>
      </c>
      <c r="E330" s="300">
        <f>27+20+27</f>
        <v>74</v>
      </c>
      <c r="F330" s="300">
        <f t="shared" si="335"/>
        <v>74</v>
      </c>
      <c r="G330" s="302">
        <f>(0.85*2)+17*0.008*2</f>
        <v>1.97</v>
      </c>
      <c r="H330" s="310" t="str">
        <f t="shared" si="328"/>
        <v/>
      </c>
      <c r="I330" s="311">
        <f t="shared" si="329"/>
        <v>145.78</v>
      </c>
      <c r="J330" s="311" t="str">
        <f t="shared" si="330"/>
        <v/>
      </c>
      <c r="K330" s="311" t="str">
        <f t="shared" si="331"/>
        <v/>
      </c>
      <c r="L330" s="310" t="str">
        <f t="shared" si="332"/>
        <v/>
      </c>
      <c r="M330" s="310" t="str">
        <f t="shared" si="333"/>
        <v/>
      </c>
      <c r="N330" s="311" t="str">
        <f t="shared" si="334"/>
        <v/>
      </c>
    </row>
    <row r="331" spans="1:14" s="294" customFormat="1">
      <c r="A331" s="297" t="s">
        <v>1518</v>
      </c>
      <c r="B331" s="301"/>
      <c r="C331" s="299" t="s">
        <v>1498</v>
      </c>
      <c r="D331" s="299">
        <v>1</v>
      </c>
      <c r="E331" s="300">
        <v>16</v>
      </c>
      <c r="F331" s="300">
        <f>E331*D331</f>
        <v>16</v>
      </c>
      <c r="G331" s="299">
        <v>4.2</v>
      </c>
      <c r="H331" s="310" t="str">
        <f t="shared" si="328"/>
        <v/>
      </c>
      <c r="I331" s="311" t="str">
        <f t="shared" si="329"/>
        <v/>
      </c>
      <c r="J331" s="311" t="str">
        <f t="shared" si="330"/>
        <v/>
      </c>
      <c r="K331" s="311" t="str">
        <f t="shared" si="331"/>
        <v/>
      </c>
      <c r="L331" s="310" t="str">
        <f t="shared" si="332"/>
        <v/>
      </c>
      <c r="M331" s="310">
        <f t="shared" si="333"/>
        <v>67.2</v>
      </c>
      <c r="N331" s="311" t="str">
        <f t="shared" si="334"/>
        <v/>
      </c>
    </row>
    <row r="332" spans="1:14">
      <c r="A332" s="297" t="s">
        <v>1520</v>
      </c>
      <c r="B332" s="254"/>
      <c r="C332" s="299" t="s">
        <v>1498</v>
      </c>
      <c r="D332" s="299">
        <v>1</v>
      </c>
      <c r="E332" s="300">
        <v>4</v>
      </c>
      <c r="F332" s="300">
        <f>E332*D332</f>
        <v>4</v>
      </c>
      <c r="G332" s="299">
        <v>8</v>
      </c>
      <c r="H332" s="310" t="str">
        <f t="shared" si="328"/>
        <v/>
      </c>
      <c r="I332" s="311" t="str">
        <f t="shared" si="329"/>
        <v/>
      </c>
      <c r="J332" s="311" t="str">
        <f t="shared" si="330"/>
        <v/>
      </c>
      <c r="K332" s="311" t="str">
        <f t="shared" si="331"/>
        <v/>
      </c>
      <c r="L332" s="310" t="str">
        <f t="shared" si="332"/>
        <v/>
      </c>
      <c r="M332" s="310">
        <f t="shared" si="333"/>
        <v>32</v>
      </c>
      <c r="N332" s="311" t="str">
        <f t="shared" si="334"/>
        <v/>
      </c>
    </row>
    <row r="333" spans="1:14">
      <c r="A333" s="253"/>
      <c r="B333" s="254"/>
      <c r="C333" s="254"/>
      <c r="D333" s="254"/>
      <c r="E333" s="259"/>
      <c r="F333" s="259"/>
      <c r="G333" s="255"/>
      <c r="H333" s="308"/>
      <c r="I333" s="309"/>
      <c r="J333" s="309"/>
      <c r="K333" s="309"/>
      <c r="L333" s="308"/>
      <c r="M333" s="308"/>
      <c r="N333" s="309"/>
    </row>
    <row r="334" spans="1:14" ht="16.5">
      <c r="A334" s="303" t="s">
        <v>1544</v>
      </c>
      <c r="B334" s="254"/>
      <c r="C334" s="254"/>
      <c r="D334" s="254"/>
      <c r="E334" s="259"/>
      <c r="F334" s="259"/>
      <c r="G334" s="255"/>
      <c r="H334" s="308"/>
      <c r="I334" s="309"/>
      <c r="J334" s="309"/>
      <c r="K334" s="309"/>
      <c r="L334" s="308"/>
      <c r="M334" s="308"/>
      <c r="N334" s="309"/>
    </row>
    <row r="335" spans="1:14" s="294" customFormat="1">
      <c r="A335" s="297" t="s">
        <v>1515</v>
      </c>
      <c r="B335" s="298"/>
      <c r="C335" s="299" t="s">
        <v>1519</v>
      </c>
      <c r="D335" s="299">
        <v>1</v>
      </c>
      <c r="E335" s="300">
        <v>3</v>
      </c>
      <c r="F335" s="300">
        <f>E335*D335</f>
        <v>3</v>
      </c>
      <c r="G335" s="299">
        <f>(2.75)+17*0.012*2</f>
        <v>3.1579999999999999</v>
      </c>
      <c r="H335" s="310" t="str">
        <f t="shared" ref="H335:H340" si="336">IF(C335="T6",G335*F335,"")</f>
        <v/>
      </c>
      <c r="I335" s="311" t="str">
        <f t="shared" ref="I335:I340" si="337">IF(C335="T8",F335*G335,"")</f>
        <v/>
      </c>
      <c r="J335" s="311">
        <f t="shared" ref="J335:J340" si="338">IF(C335="T10",F335*G335,"")</f>
        <v>9.4700000000000006</v>
      </c>
      <c r="K335" s="311" t="str">
        <f t="shared" ref="K335:K340" si="339">IF(C335="T12",F335*G335,"")</f>
        <v/>
      </c>
      <c r="L335" s="310" t="str">
        <f t="shared" ref="L335:L340" si="340">IF(C335="T14",F335*G335,"")</f>
        <v/>
      </c>
      <c r="M335" s="310" t="str">
        <f t="shared" ref="M335:M340" si="341">IF(C335="T16",G335*F335,"")</f>
        <v/>
      </c>
      <c r="N335" s="311" t="str">
        <f t="shared" ref="N335:N340" si="342">IF(C335="T20",G335*F335,"")</f>
        <v/>
      </c>
    </row>
    <row r="336" spans="1:14" s="294" customFormat="1">
      <c r="A336" s="297" t="s">
        <v>1515</v>
      </c>
      <c r="B336" s="298"/>
      <c r="C336" s="299" t="s">
        <v>1492</v>
      </c>
      <c r="D336" s="299">
        <v>1</v>
      </c>
      <c r="E336" s="300">
        <v>3</v>
      </c>
      <c r="F336" s="300">
        <f>E336*D336</f>
        <v>3</v>
      </c>
      <c r="G336" s="299">
        <f>(2.75)+17*0.014*2</f>
        <v>3.226</v>
      </c>
      <c r="H336" s="310" t="str">
        <f t="shared" si="336"/>
        <v/>
      </c>
      <c r="I336" s="311" t="str">
        <f t="shared" si="337"/>
        <v/>
      </c>
      <c r="J336" s="311" t="str">
        <f t="shared" si="338"/>
        <v/>
      </c>
      <c r="K336" s="311" t="str">
        <f t="shared" si="339"/>
        <v/>
      </c>
      <c r="L336" s="310">
        <f t="shared" si="340"/>
        <v>9.68</v>
      </c>
      <c r="M336" s="310" t="str">
        <f t="shared" si="341"/>
        <v/>
      </c>
      <c r="N336" s="311" t="str">
        <f t="shared" si="342"/>
        <v/>
      </c>
    </row>
    <row r="337" spans="1:14" s="294" customFormat="1">
      <c r="A337" s="297" t="s">
        <v>1494</v>
      </c>
      <c r="B337" s="301"/>
      <c r="C337" s="299" t="s">
        <v>1496</v>
      </c>
      <c r="D337" s="299">
        <v>1</v>
      </c>
      <c r="E337" s="300">
        <f>9+10+9</f>
        <v>28</v>
      </c>
      <c r="F337" s="300">
        <f t="shared" ref="F337:F338" si="343">E337*D337</f>
        <v>28</v>
      </c>
      <c r="G337" s="302">
        <f>(0.2+0.35)*2+17*0.008*2</f>
        <v>1.37</v>
      </c>
      <c r="H337" s="310" t="str">
        <f t="shared" si="336"/>
        <v/>
      </c>
      <c r="I337" s="311">
        <f t="shared" si="337"/>
        <v>38.36</v>
      </c>
      <c r="J337" s="311" t="str">
        <f t="shared" si="338"/>
        <v/>
      </c>
      <c r="K337" s="311" t="str">
        <f t="shared" si="339"/>
        <v/>
      </c>
      <c r="L337" s="310" t="str">
        <f t="shared" si="340"/>
        <v/>
      </c>
      <c r="M337" s="310" t="str">
        <f t="shared" si="341"/>
        <v/>
      </c>
      <c r="N337" s="311" t="str">
        <f t="shared" si="342"/>
        <v/>
      </c>
    </row>
    <row r="338" spans="1:14" s="294" customFormat="1">
      <c r="A338" s="297" t="s">
        <v>1517</v>
      </c>
      <c r="B338" s="301"/>
      <c r="C338" s="299" t="s">
        <v>1496</v>
      </c>
      <c r="D338" s="299">
        <v>1</v>
      </c>
      <c r="E338" s="300">
        <f>9+10+9</f>
        <v>28</v>
      </c>
      <c r="F338" s="300">
        <f t="shared" si="343"/>
        <v>28</v>
      </c>
      <c r="G338" s="302">
        <f>(0.35*2)+17*0.008*2</f>
        <v>0.97</v>
      </c>
      <c r="H338" s="310" t="str">
        <f t="shared" si="336"/>
        <v/>
      </c>
      <c r="I338" s="311">
        <f t="shared" si="337"/>
        <v>27.16</v>
      </c>
      <c r="J338" s="311" t="str">
        <f t="shared" si="338"/>
        <v/>
      </c>
      <c r="K338" s="311" t="str">
        <f t="shared" si="339"/>
        <v/>
      </c>
      <c r="L338" s="310" t="str">
        <f t="shared" si="340"/>
        <v/>
      </c>
      <c r="M338" s="310" t="str">
        <f t="shared" si="341"/>
        <v/>
      </c>
      <c r="N338" s="311" t="str">
        <f t="shared" si="342"/>
        <v/>
      </c>
    </row>
    <row r="339" spans="1:14" s="294" customFormat="1">
      <c r="A339" s="297" t="s">
        <v>1518</v>
      </c>
      <c r="B339" s="301"/>
      <c r="C339" s="299" t="s">
        <v>1516</v>
      </c>
      <c r="D339" s="299">
        <v>1</v>
      </c>
      <c r="E339" s="300">
        <v>3</v>
      </c>
      <c r="F339" s="300">
        <f>E339*D339</f>
        <v>3</v>
      </c>
      <c r="G339" s="299">
        <v>1</v>
      </c>
      <c r="H339" s="310" t="str">
        <f t="shared" si="336"/>
        <v/>
      </c>
      <c r="I339" s="311" t="str">
        <f t="shared" si="337"/>
        <v/>
      </c>
      <c r="J339" s="311" t="str">
        <f t="shared" si="338"/>
        <v/>
      </c>
      <c r="K339" s="311">
        <f t="shared" si="339"/>
        <v>3</v>
      </c>
      <c r="L339" s="310" t="str">
        <f t="shared" si="340"/>
        <v/>
      </c>
      <c r="M339" s="310" t="str">
        <f t="shared" si="341"/>
        <v/>
      </c>
      <c r="N339" s="311" t="str">
        <f t="shared" si="342"/>
        <v/>
      </c>
    </row>
    <row r="340" spans="1:14">
      <c r="A340" s="253"/>
      <c r="B340" s="254"/>
      <c r="C340" s="299" t="s">
        <v>1492</v>
      </c>
      <c r="D340" s="299">
        <v>1</v>
      </c>
      <c r="E340" s="300">
        <v>3</v>
      </c>
      <c r="F340" s="300">
        <f>E340*D340</f>
        <v>3</v>
      </c>
      <c r="G340" s="299">
        <v>3.5</v>
      </c>
      <c r="H340" s="310" t="str">
        <f t="shared" si="336"/>
        <v/>
      </c>
      <c r="I340" s="311" t="str">
        <f t="shared" si="337"/>
        <v/>
      </c>
      <c r="J340" s="311" t="str">
        <f t="shared" si="338"/>
        <v/>
      </c>
      <c r="K340" s="311" t="str">
        <f t="shared" si="339"/>
        <v/>
      </c>
      <c r="L340" s="310">
        <f t="shared" si="340"/>
        <v>10.5</v>
      </c>
      <c r="M340" s="310" t="str">
        <f t="shared" si="341"/>
        <v/>
      </c>
      <c r="N340" s="311" t="str">
        <f t="shared" si="342"/>
        <v/>
      </c>
    </row>
    <row r="341" spans="1:14">
      <c r="A341" s="253"/>
      <c r="B341" s="254"/>
      <c r="C341" s="254"/>
      <c r="D341" s="254"/>
      <c r="E341" s="259"/>
      <c r="F341" s="259"/>
      <c r="G341" s="255"/>
      <c r="H341" s="308"/>
      <c r="I341" s="309"/>
      <c r="J341" s="309"/>
      <c r="K341" s="309"/>
      <c r="L341" s="308"/>
      <c r="M341" s="308"/>
      <c r="N341" s="309"/>
    </row>
    <row r="342" spans="1:14" ht="16.5">
      <c r="A342" s="303" t="s">
        <v>1559</v>
      </c>
      <c r="B342" s="254"/>
      <c r="C342" s="254"/>
      <c r="D342" s="254"/>
      <c r="E342" s="259"/>
      <c r="F342" s="259"/>
      <c r="G342" s="255"/>
      <c r="H342" s="308"/>
      <c r="I342" s="309"/>
      <c r="J342" s="309"/>
      <c r="K342" s="309"/>
      <c r="L342" s="308"/>
      <c r="M342" s="308"/>
      <c r="N342" s="309"/>
    </row>
    <row r="343" spans="1:14" s="294" customFormat="1">
      <c r="A343" s="297" t="s">
        <v>1515</v>
      </c>
      <c r="B343" s="298"/>
      <c r="C343" s="299" t="s">
        <v>1519</v>
      </c>
      <c r="D343" s="299">
        <v>1</v>
      </c>
      <c r="E343" s="300">
        <v>3</v>
      </c>
      <c r="F343" s="300">
        <f>E343*D343</f>
        <v>3</v>
      </c>
      <c r="G343" s="299">
        <f>(5.1)+17*0.012*2</f>
        <v>5.508</v>
      </c>
      <c r="H343" s="310" t="str">
        <f t="shared" ref="H343:H349" si="344">IF(C343="T6",G343*F343,"")</f>
        <v/>
      </c>
      <c r="I343" s="311" t="str">
        <f t="shared" ref="I343:I349" si="345">IF(C343="T8",F343*G343,"")</f>
        <v/>
      </c>
      <c r="J343" s="311">
        <f t="shared" ref="J343:J349" si="346">IF(C343="T10",F343*G343,"")</f>
        <v>16.52</v>
      </c>
      <c r="K343" s="311" t="str">
        <f t="shared" ref="K343:K349" si="347">IF(C343="T12",F343*G343,"")</f>
        <v/>
      </c>
      <c r="L343" s="310" t="str">
        <f t="shared" ref="L343:L349" si="348">IF(C343="T14",F343*G343,"")</f>
        <v/>
      </c>
      <c r="M343" s="310" t="str">
        <f t="shared" ref="M343:M349" si="349">IF(C343="T16",G343*F343,"")</f>
        <v/>
      </c>
      <c r="N343" s="311" t="str">
        <f t="shared" ref="N343:N349" si="350">IF(C343="T20",G343*F343,"")</f>
        <v/>
      </c>
    </row>
    <row r="344" spans="1:14" s="294" customFormat="1">
      <c r="A344" s="297" t="s">
        <v>1515</v>
      </c>
      <c r="B344" s="298"/>
      <c r="C344" s="299" t="s">
        <v>1516</v>
      </c>
      <c r="D344" s="299">
        <v>1</v>
      </c>
      <c r="E344" s="300">
        <v>3</v>
      </c>
      <c r="F344" s="300">
        <f>E344*D344</f>
        <v>3</v>
      </c>
      <c r="G344" s="299">
        <f>(5.1)+17*0.012*2</f>
        <v>5.508</v>
      </c>
      <c r="H344" s="310" t="str">
        <f t="shared" si="344"/>
        <v/>
      </c>
      <c r="I344" s="311" t="str">
        <f t="shared" si="345"/>
        <v/>
      </c>
      <c r="J344" s="311" t="str">
        <f t="shared" si="346"/>
        <v/>
      </c>
      <c r="K344" s="311">
        <f t="shared" si="347"/>
        <v>16.52</v>
      </c>
      <c r="L344" s="310" t="str">
        <f t="shared" si="348"/>
        <v/>
      </c>
      <c r="M344" s="310" t="str">
        <f t="shared" si="349"/>
        <v/>
      </c>
      <c r="N344" s="311" t="str">
        <f t="shared" si="350"/>
        <v/>
      </c>
    </row>
    <row r="345" spans="1:14" s="294" customFormat="1">
      <c r="A345" s="297"/>
      <c r="B345" s="298"/>
      <c r="C345" s="299" t="s">
        <v>1519</v>
      </c>
      <c r="D345" s="299">
        <v>1</v>
      </c>
      <c r="E345" s="300">
        <v>2</v>
      </c>
      <c r="F345" s="300">
        <f>E345*D345</f>
        <v>2</v>
      </c>
      <c r="G345" s="299">
        <v>5.0999999999999996</v>
      </c>
      <c r="H345" s="310" t="str">
        <f t="shared" si="344"/>
        <v/>
      </c>
      <c r="I345" s="311" t="str">
        <f t="shared" si="345"/>
        <v/>
      </c>
      <c r="J345" s="311">
        <f t="shared" si="346"/>
        <v>10.199999999999999</v>
      </c>
      <c r="K345" s="311" t="str">
        <f t="shared" si="347"/>
        <v/>
      </c>
      <c r="L345" s="310" t="str">
        <f t="shared" si="348"/>
        <v/>
      </c>
      <c r="M345" s="310" t="str">
        <f t="shared" si="349"/>
        <v/>
      </c>
      <c r="N345" s="311" t="str">
        <f t="shared" si="350"/>
        <v/>
      </c>
    </row>
    <row r="346" spans="1:14" s="294" customFormat="1">
      <c r="A346" s="297" t="s">
        <v>1494</v>
      </c>
      <c r="B346" s="301"/>
      <c r="C346" s="299" t="s">
        <v>1496</v>
      </c>
      <c r="D346" s="299">
        <v>1</v>
      </c>
      <c r="E346" s="300">
        <f>15+16+15</f>
        <v>46</v>
      </c>
      <c r="F346" s="300">
        <f t="shared" ref="F346:F347" si="351">E346*D346</f>
        <v>46</v>
      </c>
      <c r="G346" s="302">
        <f>(0.2+0.45)*2+17*0.008*2</f>
        <v>1.57</v>
      </c>
      <c r="H346" s="310" t="str">
        <f t="shared" si="344"/>
        <v/>
      </c>
      <c r="I346" s="311">
        <f t="shared" si="345"/>
        <v>72.22</v>
      </c>
      <c r="J346" s="311" t="str">
        <f t="shared" si="346"/>
        <v/>
      </c>
      <c r="K346" s="311" t="str">
        <f t="shared" si="347"/>
        <v/>
      </c>
      <c r="L346" s="310" t="str">
        <f t="shared" si="348"/>
        <v/>
      </c>
      <c r="M346" s="310" t="str">
        <f t="shared" si="349"/>
        <v/>
      </c>
      <c r="N346" s="311" t="str">
        <f t="shared" si="350"/>
        <v/>
      </c>
    </row>
    <row r="347" spans="1:14" s="294" customFormat="1">
      <c r="A347" s="297" t="s">
        <v>1517</v>
      </c>
      <c r="B347" s="301"/>
      <c r="C347" s="299" t="s">
        <v>1496</v>
      </c>
      <c r="D347" s="299">
        <v>1</v>
      </c>
      <c r="E347" s="300">
        <f>15+16+15</f>
        <v>46</v>
      </c>
      <c r="F347" s="300">
        <f t="shared" si="351"/>
        <v>46</v>
      </c>
      <c r="G347" s="302">
        <f>(0.45*2)+17*0.008*2</f>
        <v>1.17</v>
      </c>
      <c r="H347" s="310" t="str">
        <f t="shared" si="344"/>
        <v/>
      </c>
      <c r="I347" s="311">
        <f t="shared" si="345"/>
        <v>53.82</v>
      </c>
      <c r="J347" s="311" t="str">
        <f t="shared" si="346"/>
        <v/>
      </c>
      <c r="K347" s="311" t="str">
        <f t="shared" si="347"/>
        <v/>
      </c>
      <c r="L347" s="310" t="str">
        <f t="shared" si="348"/>
        <v/>
      </c>
      <c r="M347" s="310" t="str">
        <f t="shared" si="349"/>
        <v/>
      </c>
      <c r="N347" s="311" t="str">
        <f t="shared" si="350"/>
        <v/>
      </c>
    </row>
    <row r="348" spans="1:14" s="294" customFormat="1">
      <c r="A348" s="297" t="s">
        <v>1518</v>
      </c>
      <c r="B348" s="301"/>
      <c r="C348" s="299" t="s">
        <v>1492</v>
      </c>
      <c r="D348" s="299">
        <v>1</v>
      </c>
      <c r="E348" s="300">
        <v>3</v>
      </c>
      <c r="F348" s="300">
        <f>E348*D348</f>
        <v>3</v>
      </c>
      <c r="G348" s="299">
        <v>2.2999999999999998</v>
      </c>
      <c r="H348" s="310" t="str">
        <f t="shared" si="344"/>
        <v/>
      </c>
      <c r="I348" s="311" t="str">
        <f t="shared" si="345"/>
        <v/>
      </c>
      <c r="J348" s="311" t="str">
        <f t="shared" si="346"/>
        <v/>
      </c>
      <c r="K348" s="311" t="str">
        <f t="shared" si="347"/>
        <v/>
      </c>
      <c r="L348" s="310">
        <f t="shared" si="348"/>
        <v>6.9</v>
      </c>
      <c r="M348" s="310" t="str">
        <f t="shared" si="349"/>
        <v/>
      </c>
      <c r="N348" s="311" t="str">
        <f t="shared" si="350"/>
        <v/>
      </c>
    </row>
    <row r="349" spans="1:14">
      <c r="A349" s="297" t="s">
        <v>1520</v>
      </c>
      <c r="B349" s="254"/>
      <c r="C349" s="299" t="s">
        <v>1492</v>
      </c>
      <c r="D349" s="299">
        <v>1</v>
      </c>
      <c r="E349" s="300">
        <v>3</v>
      </c>
      <c r="F349" s="300">
        <f>E349*D349</f>
        <v>3</v>
      </c>
      <c r="G349" s="299">
        <v>3.3</v>
      </c>
      <c r="H349" s="310" t="str">
        <f t="shared" si="344"/>
        <v/>
      </c>
      <c r="I349" s="311" t="str">
        <f t="shared" si="345"/>
        <v/>
      </c>
      <c r="J349" s="311" t="str">
        <f t="shared" si="346"/>
        <v/>
      </c>
      <c r="K349" s="311" t="str">
        <f t="shared" si="347"/>
        <v/>
      </c>
      <c r="L349" s="310">
        <f t="shared" si="348"/>
        <v>9.9</v>
      </c>
      <c r="M349" s="310" t="str">
        <f t="shared" si="349"/>
        <v/>
      </c>
      <c r="N349" s="311" t="str">
        <f t="shared" si="350"/>
        <v/>
      </c>
    </row>
    <row r="350" spans="1:14">
      <c r="A350" s="253"/>
      <c r="B350" s="254"/>
      <c r="C350" s="299" t="s">
        <v>1492</v>
      </c>
      <c r="D350" s="299">
        <v>1</v>
      </c>
      <c r="E350" s="300">
        <v>3</v>
      </c>
      <c r="F350" s="300">
        <f>E350*D350</f>
        <v>3</v>
      </c>
      <c r="G350" s="299">
        <v>4.5999999999999996</v>
      </c>
      <c r="H350" s="310" t="str">
        <f t="shared" ref="H350" si="352">IF(C350="T6",G350*F350,"")</f>
        <v/>
      </c>
      <c r="I350" s="311" t="str">
        <f t="shared" ref="I350" si="353">IF(C350="T8",F350*G350,"")</f>
        <v/>
      </c>
      <c r="J350" s="311" t="str">
        <f t="shared" ref="J350" si="354">IF(C350="T10",F350*G350,"")</f>
        <v/>
      </c>
      <c r="K350" s="311" t="str">
        <f t="shared" ref="K350" si="355">IF(C350="T12",F350*G350,"")</f>
        <v/>
      </c>
      <c r="L350" s="310">
        <f t="shared" ref="L350" si="356">IF(C350="T14",F350*G350,"")</f>
        <v>13.8</v>
      </c>
      <c r="M350" s="310" t="str">
        <f t="shared" ref="M350" si="357">IF(C350="T16",G350*F350,"")</f>
        <v/>
      </c>
      <c r="N350" s="311" t="str">
        <f t="shared" ref="N350" si="358">IF(C350="T20",G350*F350,"")</f>
        <v/>
      </c>
    </row>
    <row r="351" spans="1:14">
      <c r="A351" s="253"/>
      <c r="B351" s="254"/>
      <c r="C351" s="254"/>
      <c r="D351" s="254"/>
      <c r="E351" s="259"/>
      <c r="F351" s="259"/>
      <c r="G351" s="255"/>
      <c r="H351" s="308"/>
      <c r="I351" s="309"/>
      <c r="J351" s="309"/>
      <c r="K351" s="309"/>
      <c r="L351" s="308"/>
      <c r="M351" s="308"/>
      <c r="N351" s="309"/>
    </row>
    <row r="352" spans="1:14" ht="18" customHeight="1">
      <c r="A352" s="326" t="s">
        <v>1375</v>
      </c>
      <c r="B352" s="254"/>
      <c r="C352" s="254"/>
      <c r="D352" s="254"/>
      <c r="E352" s="259"/>
      <c r="F352" s="259"/>
      <c r="G352" s="255"/>
      <c r="H352" s="308"/>
      <c r="I352" s="309"/>
      <c r="J352" s="309"/>
      <c r="K352" s="309"/>
      <c r="L352" s="308"/>
      <c r="M352" s="308"/>
      <c r="N352" s="309"/>
    </row>
    <row r="353" spans="1:14" ht="16.5">
      <c r="A353" s="303" t="s">
        <v>1665</v>
      </c>
      <c r="B353" s="254"/>
      <c r="C353" s="254"/>
      <c r="D353" s="254"/>
      <c r="E353" s="259"/>
      <c r="F353" s="259"/>
      <c r="G353" s="255"/>
      <c r="H353" s="308"/>
      <c r="I353" s="309"/>
      <c r="J353" s="309"/>
      <c r="K353" s="309"/>
      <c r="L353" s="308"/>
      <c r="M353" s="308"/>
      <c r="N353" s="309"/>
    </row>
    <row r="354" spans="1:14" s="294" customFormat="1">
      <c r="A354" s="297" t="s">
        <v>1515</v>
      </c>
      <c r="B354" s="298"/>
      <c r="C354" s="299" t="s">
        <v>1492</v>
      </c>
      <c r="D354" s="299">
        <v>1</v>
      </c>
      <c r="E354" s="300">
        <v>3</v>
      </c>
      <c r="F354" s="300">
        <f>E354*D354</f>
        <v>3</v>
      </c>
      <c r="G354" s="299">
        <f>(7.15)+17*0.014*2</f>
        <v>7.6260000000000003</v>
      </c>
      <c r="H354" s="310" t="str">
        <f t="shared" ref="H354:H361" si="359">IF(C354="T6",G354*F354,"")</f>
        <v/>
      </c>
      <c r="I354" s="311" t="str">
        <f t="shared" ref="I354:I361" si="360">IF(C354="T8",F354*G354,"")</f>
        <v/>
      </c>
      <c r="J354" s="311" t="str">
        <f t="shared" ref="J354:J361" si="361">IF(C354="T10",F354*G354,"")</f>
        <v/>
      </c>
      <c r="K354" s="311" t="str">
        <f t="shared" ref="K354:K361" si="362">IF(C354="T12",F354*G354,"")</f>
        <v/>
      </c>
      <c r="L354" s="310">
        <f t="shared" ref="L354:L361" si="363">IF(C354="T14",F354*G354,"")</f>
        <v>22.88</v>
      </c>
      <c r="M354" s="310" t="str">
        <f t="shared" ref="M354:M361" si="364">IF(C354="T16",G354*F354,"")</f>
        <v/>
      </c>
      <c r="N354" s="311" t="str">
        <f t="shared" ref="N354:N361" si="365">IF(C354="T20",G354*F354,"")</f>
        <v/>
      </c>
    </row>
    <row r="355" spans="1:14" s="294" customFormat="1">
      <c r="A355" s="297" t="s">
        <v>1515</v>
      </c>
      <c r="B355" s="298"/>
      <c r="C355" s="299" t="s">
        <v>1516</v>
      </c>
      <c r="D355" s="299">
        <v>1</v>
      </c>
      <c r="E355" s="300">
        <v>3</v>
      </c>
      <c r="F355" s="300">
        <f>E355*D355</f>
        <v>3</v>
      </c>
      <c r="G355" s="299">
        <f>(7.15)+17*0.012*2</f>
        <v>7.5579999999999998</v>
      </c>
      <c r="H355" s="310" t="str">
        <f t="shared" si="359"/>
        <v/>
      </c>
      <c r="I355" s="311" t="str">
        <f t="shared" si="360"/>
        <v/>
      </c>
      <c r="J355" s="311" t="str">
        <f t="shared" si="361"/>
        <v/>
      </c>
      <c r="K355" s="311">
        <f t="shared" si="362"/>
        <v>22.67</v>
      </c>
      <c r="L355" s="310" t="str">
        <f t="shared" si="363"/>
        <v/>
      </c>
      <c r="M355" s="310" t="str">
        <f t="shared" si="364"/>
        <v/>
      </c>
      <c r="N355" s="311" t="str">
        <f t="shared" si="365"/>
        <v/>
      </c>
    </row>
    <row r="356" spans="1:14" s="294" customFormat="1">
      <c r="A356" s="297"/>
      <c r="B356" s="298"/>
      <c r="C356" s="299" t="s">
        <v>1519</v>
      </c>
      <c r="D356" s="299">
        <v>1</v>
      </c>
      <c r="E356" s="300">
        <v>2</v>
      </c>
      <c r="F356" s="300">
        <f>E356*D356</f>
        <v>2</v>
      </c>
      <c r="G356" s="299">
        <v>7.15</v>
      </c>
      <c r="H356" s="310" t="str">
        <f t="shared" si="359"/>
        <v/>
      </c>
      <c r="I356" s="311" t="str">
        <f t="shared" si="360"/>
        <v/>
      </c>
      <c r="J356" s="311">
        <f t="shared" si="361"/>
        <v>14.3</v>
      </c>
      <c r="K356" s="311" t="str">
        <f t="shared" si="362"/>
        <v/>
      </c>
      <c r="L356" s="310" t="str">
        <f t="shared" si="363"/>
        <v/>
      </c>
      <c r="M356" s="310" t="str">
        <f t="shared" si="364"/>
        <v/>
      </c>
      <c r="N356" s="311" t="str">
        <f t="shared" si="365"/>
        <v/>
      </c>
    </row>
    <row r="357" spans="1:14" s="294" customFormat="1">
      <c r="A357" s="297" t="s">
        <v>1494</v>
      </c>
      <c r="B357" s="301"/>
      <c r="C357" s="299" t="s">
        <v>1496</v>
      </c>
      <c r="D357" s="299">
        <v>1</v>
      </c>
      <c r="E357" s="300">
        <f>21+17+21</f>
        <v>59</v>
      </c>
      <c r="F357" s="300">
        <f t="shared" ref="F357:F358" si="366">E357*D357</f>
        <v>59</v>
      </c>
      <c r="G357" s="302">
        <f>(0.2+0.55)*2+17*0.008*2</f>
        <v>1.77</v>
      </c>
      <c r="H357" s="310" t="str">
        <f t="shared" si="359"/>
        <v/>
      </c>
      <c r="I357" s="311">
        <f t="shared" si="360"/>
        <v>104.43</v>
      </c>
      <c r="J357" s="311" t="str">
        <f t="shared" si="361"/>
        <v/>
      </c>
      <c r="K357" s="311" t="str">
        <f t="shared" si="362"/>
        <v/>
      </c>
      <c r="L357" s="310" t="str">
        <f t="shared" si="363"/>
        <v/>
      </c>
      <c r="M357" s="310" t="str">
        <f t="shared" si="364"/>
        <v/>
      </c>
      <c r="N357" s="311" t="str">
        <f t="shared" si="365"/>
        <v/>
      </c>
    </row>
    <row r="358" spans="1:14" s="294" customFormat="1">
      <c r="A358" s="297" t="s">
        <v>1517</v>
      </c>
      <c r="B358" s="301"/>
      <c r="C358" s="299" t="s">
        <v>1496</v>
      </c>
      <c r="D358" s="299">
        <v>1</v>
      </c>
      <c r="E358" s="300">
        <f>21+17+21</f>
        <v>59</v>
      </c>
      <c r="F358" s="300">
        <f t="shared" si="366"/>
        <v>59</v>
      </c>
      <c r="G358" s="302">
        <f>(0.55*2)+17*0.008*2</f>
        <v>1.37</v>
      </c>
      <c r="H358" s="310" t="str">
        <f t="shared" si="359"/>
        <v/>
      </c>
      <c r="I358" s="311">
        <f t="shared" si="360"/>
        <v>80.83</v>
      </c>
      <c r="J358" s="311" t="str">
        <f t="shared" si="361"/>
        <v/>
      </c>
      <c r="K358" s="311" t="str">
        <f t="shared" si="362"/>
        <v/>
      </c>
      <c r="L358" s="310" t="str">
        <f t="shared" si="363"/>
        <v/>
      </c>
      <c r="M358" s="310" t="str">
        <f t="shared" si="364"/>
        <v/>
      </c>
      <c r="N358" s="311" t="str">
        <f t="shared" si="365"/>
        <v/>
      </c>
    </row>
    <row r="359" spans="1:14" s="294" customFormat="1">
      <c r="A359" s="297" t="s">
        <v>1518</v>
      </c>
      <c r="B359" s="301"/>
      <c r="C359" s="299" t="s">
        <v>1492</v>
      </c>
      <c r="D359" s="299">
        <v>1</v>
      </c>
      <c r="E359" s="300">
        <v>3</v>
      </c>
      <c r="F359" s="300">
        <f>E359*D359</f>
        <v>3</v>
      </c>
      <c r="G359" s="299">
        <v>3.1</v>
      </c>
      <c r="H359" s="310" t="str">
        <f t="shared" si="359"/>
        <v/>
      </c>
      <c r="I359" s="311" t="str">
        <f t="shared" si="360"/>
        <v/>
      </c>
      <c r="J359" s="311" t="str">
        <f t="shared" si="361"/>
        <v/>
      </c>
      <c r="K359" s="311" t="str">
        <f t="shared" si="362"/>
        <v/>
      </c>
      <c r="L359" s="310">
        <f t="shared" si="363"/>
        <v>9.3000000000000007</v>
      </c>
      <c r="M359" s="310" t="str">
        <f t="shared" si="364"/>
        <v/>
      </c>
      <c r="N359" s="311" t="str">
        <f t="shared" si="365"/>
        <v/>
      </c>
    </row>
    <row r="360" spans="1:14">
      <c r="A360" s="297" t="s">
        <v>1520</v>
      </c>
      <c r="B360" s="254"/>
      <c r="C360" s="299" t="s">
        <v>1492</v>
      </c>
      <c r="D360" s="299">
        <v>1</v>
      </c>
      <c r="E360" s="300">
        <v>6</v>
      </c>
      <c r="F360" s="300">
        <f>E360*D360</f>
        <v>6</v>
      </c>
      <c r="G360" s="299">
        <v>4.5</v>
      </c>
      <c r="H360" s="310" t="str">
        <f t="shared" si="359"/>
        <v/>
      </c>
      <c r="I360" s="311" t="str">
        <f t="shared" si="360"/>
        <v/>
      </c>
      <c r="J360" s="311" t="str">
        <f t="shared" si="361"/>
        <v/>
      </c>
      <c r="K360" s="311" t="str">
        <f t="shared" si="362"/>
        <v/>
      </c>
      <c r="L360" s="310">
        <f t="shared" si="363"/>
        <v>27</v>
      </c>
      <c r="M360" s="310" t="str">
        <f t="shared" si="364"/>
        <v/>
      </c>
      <c r="N360" s="311" t="str">
        <f t="shared" si="365"/>
        <v/>
      </c>
    </row>
    <row r="361" spans="1:14">
      <c r="A361" s="253"/>
      <c r="B361" s="254"/>
      <c r="C361" s="299" t="s">
        <v>1516</v>
      </c>
      <c r="D361" s="299">
        <v>1</v>
      </c>
      <c r="E361" s="300">
        <v>3</v>
      </c>
      <c r="F361" s="300">
        <f>E361*D361</f>
        <v>3</v>
      </c>
      <c r="G361" s="299">
        <v>6.6</v>
      </c>
      <c r="H361" s="310" t="str">
        <f t="shared" si="359"/>
        <v/>
      </c>
      <c r="I361" s="311" t="str">
        <f t="shared" si="360"/>
        <v/>
      </c>
      <c r="J361" s="311" t="str">
        <f t="shared" si="361"/>
        <v/>
      </c>
      <c r="K361" s="311">
        <f t="shared" si="362"/>
        <v>19.8</v>
      </c>
      <c r="L361" s="310" t="str">
        <f t="shared" si="363"/>
        <v/>
      </c>
      <c r="M361" s="310" t="str">
        <f t="shared" si="364"/>
        <v/>
      </c>
      <c r="N361" s="311" t="str">
        <f t="shared" si="365"/>
        <v/>
      </c>
    </row>
    <row r="362" spans="1:14">
      <c r="A362" s="253"/>
      <c r="B362" s="254"/>
      <c r="C362" s="254"/>
      <c r="D362" s="254"/>
      <c r="E362" s="259"/>
      <c r="F362" s="259"/>
      <c r="G362" s="255"/>
      <c r="H362" s="308"/>
      <c r="I362" s="309"/>
      <c r="J362" s="309"/>
      <c r="K362" s="309"/>
      <c r="L362" s="308"/>
      <c r="M362" s="308"/>
      <c r="N362" s="309"/>
    </row>
    <row r="363" spans="1:14" ht="16.5">
      <c r="A363" s="303" t="s">
        <v>1664</v>
      </c>
      <c r="B363" s="254"/>
      <c r="C363" s="254"/>
      <c r="D363" s="254"/>
      <c r="E363" s="259"/>
      <c r="F363" s="259"/>
      <c r="G363" s="255"/>
      <c r="H363" s="308"/>
      <c r="I363" s="309"/>
      <c r="J363" s="309"/>
      <c r="K363" s="309"/>
      <c r="L363" s="308"/>
      <c r="M363" s="308"/>
      <c r="N363" s="309"/>
    </row>
    <row r="364" spans="1:14" s="294" customFormat="1">
      <c r="A364" s="297" t="s">
        <v>1515</v>
      </c>
      <c r="B364" s="298"/>
      <c r="C364" s="299" t="s">
        <v>1492</v>
      </c>
      <c r="D364" s="299">
        <v>1</v>
      </c>
      <c r="E364" s="300">
        <v>3</v>
      </c>
      <c r="F364" s="300">
        <f>E364*D364</f>
        <v>3</v>
      </c>
      <c r="G364" s="299">
        <f>(7.15)+17*0.014*2</f>
        <v>7.6260000000000003</v>
      </c>
      <c r="H364" s="310" t="str">
        <f t="shared" ref="H364:H370" si="367">IF(C364="T6",G364*F364,"")</f>
        <v/>
      </c>
      <c r="I364" s="311" t="str">
        <f t="shared" ref="I364:I370" si="368">IF(C364="T8",F364*G364,"")</f>
        <v/>
      </c>
      <c r="J364" s="311" t="str">
        <f t="shared" ref="J364:J370" si="369">IF(C364="T10",F364*G364,"")</f>
        <v/>
      </c>
      <c r="K364" s="311" t="str">
        <f t="shared" ref="K364:K370" si="370">IF(C364="T12",F364*G364,"")</f>
        <v/>
      </c>
      <c r="L364" s="310">
        <f t="shared" ref="L364:L370" si="371">IF(C364="T14",F364*G364,"")</f>
        <v>22.88</v>
      </c>
      <c r="M364" s="310" t="str">
        <f t="shared" ref="M364:M370" si="372">IF(C364="T16",G364*F364,"")</f>
        <v/>
      </c>
      <c r="N364" s="311" t="str">
        <f t="shared" ref="N364:N370" si="373">IF(C364="T20",G364*F364,"")</f>
        <v/>
      </c>
    </row>
    <row r="365" spans="1:14" s="294" customFormat="1">
      <c r="A365" s="297" t="s">
        <v>1515</v>
      </c>
      <c r="B365" s="298"/>
      <c r="C365" s="299" t="s">
        <v>1516</v>
      </c>
      <c r="D365" s="299">
        <v>1</v>
      </c>
      <c r="E365" s="300">
        <v>3</v>
      </c>
      <c r="F365" s="300">
        <f>E365*D365</f>
        <v>3</v>
      </c>
      <c r="G365" s="299">
        <f>(7.15)+17*0.012*2</f>
        <v>7.5579999999999998</v>
      </c>
      <c r="H365" s="310" t="str">
        <f t="shared" si="367"/>
        <v/>
      </c>
      <c r="I365" s="311" t="str">
        <f t="shared" si="368"/>
        <v/>
      </c>
      <c r="J365" s="311" t="str">
        <f t="shared" si="369"/>
        <v/>
      </c>
      <c r="K365" s="311">
        <f t="shared" si="370"/>
        <v>22.67</v>
      </c>
      <c r="L365" s="310" t="str">
        <f t="shared" si="371"/>
        <v/>
      </c>
      <c r="M365" s="310" t="str">
        <f t="shared" si="372"/>
        <v/>
      </c>
      <c r="N365" s="311" t="str">
        <f t="shared" si="373"/>
        <v/>
      </c>
    </row>
    <row r="366" spans="1:14" s="294" customFormat="1">
      <c r="A366" s="297"/>
      <c r="B366" s="298"/>
      <c r="C366" s="299" t="s">
        <v>1519</v>
      </c>
      <c r="D366" s="299">
        <v>1</v>
      </c>
      <c r="E366" s="300">
        <v>2</v>
      </c>
      <c r="F366" s="300">
        <f>E366*D366</f>
        <v>2</v>
      </c>
      <c r="G366" s="299">
        <v>7.1</v>
      </c>
      <c r="H366" s="310" t="str">
        <f t="shared" si="367"/>
        <v/>
      </c>
      <c r="I366" s="311" t="str">
        <f t="shared" si="368"/>
        <v/>
      </c>
      <c r="J366" s="311">
        <f t="shared" si="369"/>
        <v>14.2</v>
      </c>
      <c r="K366" s="311" t="str">
        <f t="shared" si="370"/>
        <v/>
      </c>
      <c r="L366" s="310" t="str">
        <f t="shared" si="371"/>
        <v/>
      </c>
      <c r="M366" s="310" t="str">
        <f t="shared" si="372"/>
        <v/>
      </c>
      <c r="N366" s="311" t="str">
        <f t="shared" si="373"/>
        <v/>
      </c>
    </row>
    <row r="367" spans="1:14" s="294" customFormat="1">
      <c r="A367" s="297" t="s">
        <v>1494</v>
      </c>
      <c r="B367" s="301"/>
      <c r="C367" s="299" t="s">
        <v>1496</v>
      </c>
      <c r="D367" s="299">
        <v>1</v>
      </c>
      <c r="E367" s="300">
        <f>21+17+21</f>
        <v>59</v>
      </c>
      <c r="F367" s="300">
        <f t="shared" ref="F367:F368" si="374">E367*D367</f>
        <v>59</v>
      </c>
      <c r="G367" s="302">
        <f>(0.2+0.55)*2+17*0.008*2</f>
        <v>1.77</v>
      </c>
      <c r="H367" s="310" t="str">
        <f t="shared" si="367"/>
        <v/>
      </c>
      <c r="I367" s="311">
        <f t="shared" si="368"/>
        <v>104.43</v>
      </c>
      <c r="J367" s="311" t="str">
        <f t="shared" si="369"/>
        <v/>
      </c>
      <c r="K367" s="311" t="str">
        <f t="shared" si="370"/>
        <v/>
      </c>
      <c r="L367" s="310" t="str">
        <f t="shared" si="371"/>
        <v/>
      </c>
      <c r="M367" s="310" t="str">
        <f t="shared" si="372"/>
        <v/>
      </c>
      <c r="N367" s="311" t="str">
        <f t="shared" si="373"/>
        <v/>
      </c>
    </row>
    <row r="368" spans="1:14" s="294" customFormat="1">
      <c r="A368" s="297" t="s">
        <v>1517</v>
      </c>
      <c r="B368" s="301"/>
      <c r="C368" s="299" t="s">
        <v>1496</v>
      </c>
      <c r="D368" s="299">
        <v>1</v>
      </c>
      <c r="E368" s="300">
        <f>21+17+21</f>
        <v>59</v>
      </c>
      <c r="F368" s="300">
        <f t="shared" si="374"/>
        <v>59</v>
      </c>
      <c r="G368" s="302">
        <f>(0.55*2)+17*0.008*2</f>
        <v>1.37</v>
      </c>
      <c r="H368" s="310" t="str">
        <f t="shared" si="367"/>
        <v/>
      </c>
      <c r="I368" s="311">
        <f t="shared" si="368"/>
        <v>80.83</v>
      </c>
      <c r="J368" s="311" t="str">
        <f t="shared" si="369"/>
        <v/>
      </c>
      <c r="K368" s="311" t="str">
        <f t="shared" si="370"/>
        <v/>
      </c>
      <c r="L368" s="310" t="str">
        <f t="shared" si="371"/>
        <v/>
      </c>
      <c r="M368" s="310" t="str">
        <f t="shared" si="372"/>
        <v/>
      </c>
      <c r="N368" s="311" t="str">
        <f t="shared" si="373"/>
        <v/>
      </c>
    </row>
    <row r="369" spans="1:14">
      <c r="A369" s="297" t="s">
        <v>1520</v>
      </c>
      <c r="B369" s="254"/>
      <c r="C369" s="299" t="s">
        <v>1492</v>
      </c>
      <c r="D369" s="299">
        <v>1</v>
      </c>
      <c r="E369" s="300">
        <v>12</v>
      </c>
      <c r="F369" s="300">
        <f>E369*D369</f>
        <v>12</v>
      </c>
      <c r="G369" s="299">
        <v>4.5</v>
      </c>
      <c r="H369" s="310" t="str">
        <f t="shared" si="367"/>
        <v/>
      </c>
      <c r="I369" s="311" t="str">
        <f t="shared" si="368"/>
        <v/>
      </c>
      <c r="J369" s="311" t="str">
        <f t="shared" si="369"/>
        <v/>
      </c>
      <c r="K369" s="311" t="str">
        <f t="shared" si="370"/>
        <v/>
      </c>
      <c r="L369" s="310">
        <f t="shared" si="371"/>
        <v>54</v>
      </c>
      <c r="M369" s="310" t="str">
        <f t="shared" si="372"/>
        <v/>
      </c>
      <c r="N369" s="311" t="str">
        <f t="shared" si="373"/>
        <v/>
      </c>
    </row>
    <row r="370" spans="1:14">
      <c r="A370" s="253"/>
      <c r="B370" s="254"/>
      <c r="C370" s="299" t="s">
        <v>1516</v>
      </c>
      <c r="D370" s="299">
        <v>1</v>
      </c>
      <c r="E370" s="300">
        <v>3</v>
      </c>
      <c r="F370" s="300">
        <f>E370*D370</f>
        <v>3</v>
      </c>
      <c r="G370" s="299">
        <v>4.8</v>
      </c>
      <c r="H370" s="310" t="str">
        <f t="shared" si="367"/>
        <v/>
      </c>
      <c r="I370" s="311" t="str">
        <f t="shared" si="368"/>
        <v/>
      </c>
      <c r="J370" s="311" t="str">
        <f t="shared" si="369"/>
        <v/>
      </c>
      <c r="K370" s="311">
        <f t="shared" si="370"/>
        <v>14.4</v>
      </c>
      <c r="L370" s="310" t="str">
        <f t="shared" si="371"/>
        <v/>
      </c>
      <c r="M370" s="310" t="str">
        <f t="shared" si="372"/>
        <v/>
      </c>
      <c r="N370" s="311" t="str">
        <f t="shared" si="373"/>
        <v/>
      </c>
    </row>
    <row r="371" spans="1:14">
      <c r="A371" s="253"/>
      <c r="B371" s="254"/>
      <c r="C371" s="299"/>
      <c r="D371" s="299"/>
      <c r="E371" s="300"/>
      <c r="F371" s="300"/>
      <c r="G371" s="299"/>
      <c r="H371" s="310"/>
      <c r="I371" s="311"/>
      <c r="J371" s="311"/>
      <c r="K371" s="311"/>
      <c r="L371" s="310"/>
      <c r="M371" s="310"/>
      <c r="N371" s="311"/>
    </row>
    <row r="372" spans="1:14" ht="16.5">
      <c r="A372" s="303" t="s">
        <v>1663</v>
      </c>
      <c r="B372" s="254"/>
      <c r="C372" s="299"/>
      <c r="D372" s="299"/>
      <c r="E372" s="300"/>
      <c r="F372" s="300"/>
      <c r="G372" s="299"/>
      <c r="H372" s="310"/>
      <c r="I372" s="311"/>
      <c r="J372" s="311"/>
      <c r="K372" s="311"/>
      <c r="L372" s="310"/>
      <c r="M372" s="310"/>
      <c r="N372" s="311"/>
    </row>
    <row r="373" spans="1:14" s="294" customFormat="1">
      <c r="A373" s="297" t="s">
        <v>1515</v>
      </c>
      <c r="B373" s="298"/>
      <c r="C373" s="299" t="s">
        <v>1492</v>
      </c>
      <c r="D373" s="299">
        <v>1</v>
      </c>
      <c r="E373" s="300">
        <v>3</v>
      </c>
      <c r="F373" s="300">
        <f>E373*D373</f>
        <v>3</v>
      </c>
      <c r="G373" s="299">
        <f>(1.85)+17*0.014*2</f>
        <v>2.3260000000000001</v>
      </c>
      <c r="H373" s="310" t="str">
        <f t="shared" ref="H373:H379" si="375">IF(C373="T6",G373*F373,"")</f>
        <v/>
      </c>
      <c r="I373" s="311" t="str">
        <f t="shared" ref="I373:I379" si="376">IF(C373="T8",F373*G373,"")</f>
        <v/>
      </c>
      <c r="J373" s="311" t="str">
        <f t="shared" ref="J373:J379" si="377">IF(C373="T10",F373*G373,"")</f>
        <v/>
      </c>
      <c r="K373" s="311" t="str">
        <f t="shared" ref="K373:K379" si="378">IF(C373="T12",F373*G373,"")</f>
        <v/>
      </c>
      <c r="L373" s="310">
        <f t="shared" ref="L373:L379" si="379">IF(C373="T14",F373*G373,"")</f>
        <v>6.98</v>
      </c>
      <c r="M373" s="310" t="str">
        <f t="shared" ref="M373:M379" si="380">IF(C373="T16",G373*F373,"")</f>
        <v/>
      </c>
      <c r="N373" s="311" t="str">
        <f t="shared" ref="N373:N379" si="381">IF(C373="T20",G373*F373,"")</f>
        <v/>
      </c>
    </row>
    <row r="374" spans="1:14" s="294" customFormat="1">
      <c r="A374" s="297" t="s">
        <v>1515</v>
      </c>
      <c r="B374" s="298"/>
      <c r="C374" s="299" t="s">
        <v>1516</v>
      </c>
      <c r="D374" s="299">
        <v>1</v>
      </c>
      <c r="E374" s="300">
        <v>3</v>
      </c>
      <c r="F374" s="300">
        <f>E374*D374</f>
        <v>3</v>
      </c>
      <c r="G374" s="299">
        <f>(1.85)+17*0.012*2</f>
        <v>2.258</v>
      </c>
      <c r="H374" s="310" t="str">
        <f t="shared" si="375"/>
        <v/>
      </c>
      <c r="I374" s="311" t="str">
        <f t="shared" si="376"/>
        <v/>
      </c>
      <c r="J374" s="311" t="str">
        <f t="shared" si="377"/>
        <v/>
      </c>
      <c r="K374" s="311">
        <f t="shared" si="378"/>
        <v>6.77</v>
      </c>
      <c r="L374" s="310" t="str">
        <f t="shared" si="379"/>
        <v/>
      </c>
      <c r="M374" s="310" t="str">
        <f t="shared" si="380"/>
        <v/>
      </c>
      <c r="N374" s="311" t="str">
        <f t="shared" si="381"/>
        <v/>
      </c>
    </row>
    <row r="375" spans="1:14" s="294" customFormat="1">
      <c r="A375" s="297"/>
      <c r="B375" s="298"/>
      <c r="C375" s="299" t="s">
        <v>1519</v>
      </c>
      <c r="D375" s="299">
        <v>1</v>
      </c>
      <c r="E375" s="300">
        <v>2</v>
      </c>
      <c r="F375" s="300">
        <f>E375*D375</f>
        <v>2</v>
      </c>
      <c r="G375" s="299">
        <v>1.85</v>
      </c>
      <c r="H375" s="310" t="str">
        <f t="shared" si="375"/>
        <v/>
      </c>
      <c r="I375" s="311" t="str">
        <f t="shared" si="376"/>
        <v/>
      </c>
      <c r="J375" s="311">
        <f t="shared" si="377"/>
        <v>3.7</v>
      </c>
      <c r="K375" s="311" t="str">
        <f t="shared" si="378"/>
        <v/>
      </c>
      <c r="L375" s="310" t="str">
        <f t="shared" si="379"/>
        <v/>
      </c>
      <c r="M375" s="310" t="str">
        <f t="shared" si="380"/>
        <v/>
      </c>
      <c r="N375" s="311" t="str">
        <f t="shared" si="381"/>
        <v/>
      </c>
    </row>
    <row r="376" spans="1:14" s="294" customFormat="1">
      <c r="A376" s="297" t="s">
        <v>1494</v>
      </c>
      <c r="B376" s="301"/>
      <c r="C376" s="299" t="s">
        <v>1496</v>
      </c>
      <c r="D376" s="299">
        <v>1</v>
      </c>
      <c r="E376" s="300">
        <f>21+17+21</f>
        <v>59</v>
      </c>
      <c r="F376" s="300">
        <f t="shared" ref="F376:F377" si="382">E376*D376</f>
        <v>59</v>
      </c>
      <c r="G376" s="302">
        <f>(0.2+0.55)*2+17*0.008*2</f>
        <v>1.77</v>
      </c>
      <c r="H376" s="310" t="str">
        <f t="shared" si="375"/>
        <v/>
      </c>
      <c r="I376" s="311">
        <f t="shared" si="376"/>
        <v>104.43</v>
      </c>
      <c r="J376" s="311" t="str">
        <f t="shared" si="377"/>
        <v/>
      </c>
      <c r="K376" s="311" t="str">
        <f t="shared" si="378"/>
        <v/>
      </c>
      <c r="L376" s="310" t="str">
        <f t="shared" si="379"/>
        <v/>
      </c>
      <c r="M376" s="310" t="str">
        <f t="shared" si="380"/>
        <v/>
      </c>
      <c r="N376" s="311" t="str">
        <f t="shared" si="381"/>
        <v/>
      </c>
    </row>
    <row r="377" spans="1:14" s="294" customFormat="1">
      <c r="A377" s="297" t="s">
        <v>1517</v>
      </c>
      <c r="B377" s="301"/>
      <c r="C377" s="299" t="s">
        <v>1496</v>
      </c>
      <c r="D377" s="299">
        <v>1</v>
      </c>
      <c r="E377" s="300">
        <f>21+17+21</f>
        <v>59</v>
      </c>
      <c r="F377" s="300">
        <f t="shared" si="382"/>
        <v>59</v>
      </c>
      <c r="G377" s="302">
        <f>(0.55*2)+17*0.008*2</f>
        <v>1.37</v>
      </c>
      <c r="H377" s="310" t="str">
        <f t="shared" si="375"/>
        <v/>
      </c>
      <c r="I377" s="311">
        <f t="shared" si="376"/>
        <v>80.83</v>
      </c>
      <c r="J377" s="311" t="str">
        <f t="shared" si="377"/>
        <v/>
      </c>
      <c r="K377" s="311" t="str">
        <f t="shared" si="378"/>
        <v/>
      </c>
      <c r="L377" s="310" t="str">
        <f t="shared" si="379"/>
        <v/>
      </c>
      <c r="M377" s="310" t="str">
        <f t="shared" si="380"/>
        <v/>
      </c>
      <c r="N377" s="311" t="str">
        <f t="shared" si="381"/>
        <v/>
      </c>
    </row>
    <row r="378" spans="1:14">
      <c r="A378" s="297" t="s">
        <v>1520</v>
      </c>
      <c r="B378" s="254"/>
      <c r="C378" s="299" t="s">
        <v>1492</v>
      </c>
      <c r="D378" s="299">
        <v>1</v>
      </c>
      <c r="E378" s="300">
        <v>12</v>
      </c>
      <c r="F378" s="300">
        <f>E378*D378</f>
        <v>12</v>
      </c>
      <c r="G378" s="299">
        <v>4.5</v>
      </c>
      <c r="H378" s="310" t="str">
        <f t="shared" si="375"/>
        <v/>
      </c>
      <c r="I378" s="311" t="str">
        <f t="shared" si="376"/>
        <v/>
      </c>
      <c r="J378" s="311" t="str">
        <f t="shared" si="377"/>
        <v/>
      </c>
      <c r="K378" s="311" t="str">
        <f t="shared" si="378"/>
        <v/>
      </c>
      <c r="L378" s="310">
        <f t="shared" si="379"/>
        <v>54</v>
      </c>
      <c r="M378" s="310" t="str">
        <f t="shared" si="380"/>
        <v/>
      </c>
      <c r="N378" s="311" t="str">
        <f t="shared" si="381"/>
        <v/>
      </c>
    </row>
    <row r="379" spans="1:14">
      <c r="A379" s="253"/>
      <c r="B379" s="254"/>
      <c r="C379" s="299" t="s">
        <v>1516</v>
      </c>
      <c r="D379" s="299">
        <v>1</v>
      </c>
      <c r="E379" s="300">
        <v>3</v>
      </c>
      <c r="F379" s="300">
        <f>E379*D379</f>
        <v>3</v>
      </c>
      <c r="G379" s="299">
        <v>4.8</v>
      </c>
      <c r="H379" s="310" t="str">
        <f t="shared" si="375"/>
        <v/>
      </c>
      <c r="I379" s="311" t="str">
        <f t="shared" si="376"/>
        <v/>
      </c>
      <c r="J379" s="311" t="str">
        <f t="shared" si="377"/>
        <v/>
      </c>
      <c r="K379" s="311">
        <f t="shared" si="378"/>
        <v>14.4</v>
      </c>
      <c r="L379" s="310" t="str">
        <f t="shared" si="379"/>
        <v/>
      </c>
      <c r="M379" s="310" t="str">
        <f t="shared" si="380"/>
        <v/>
      </c>
      <c r="N379" s="311" t="str">
        <f t="shared" si="381"/>
        <v/>
      </c>
    </row>
    <row r="380" spans="1:14">
      <c r="A380" s="253"/>
      <c r="B380" s="254"/>
      <c r="C380" s="299"/>
      <c r="D380" s="299"/>
      <c r="E380" s="300"/>
      <c r="F380" s="300"/>
      <c r="G380" s="299"/>
      <c r="H380" s="310"/>
      <c r="I380" s="311"/>
      <c r="J380" s="311"/>
      <c r="K380" s="311"/>
      <c r="L380" s="310"/>
      <c r="M380" s="310"/>
      <c r="N380" s="311"/>
    </row>
    <row r="381" spans="1:14" ht="16.5">
      <c r="A381" s="303" t="s">
        <v>1662</v>
      </c>
      <c r="B381" s="254"/>
      <c r="C381" s="299"/>
      <c r="D381" s="299"/>
      <c r="E381" s="300"/>
      <c r="F381" s="300"/>
      <c r="G381" s="299"/>
      <c r="H381" s="310"/>
      <c r="I381" s="311"/>
      <c r="J381" s="311"/>
      <c r="K381" s="311"/>
      <c r="L381" s="310"/>
      <c r="M381" s="310"/>
      <c r="N381" s="311"/>
    </row>
    <row r="382" spans="1:14" s="294" customFormat="1">
      <c r="A382" s="297" t="s">
        <v>1515</v>
      </c>
      <c r="B382" s="298"/>
      <c r="C382" s="299" t="s">
        <v>1519</v>
      </c>
      <c r="D382" s="299">
        <v>1</v>
      </c>
      <c r="E382" s="300">
        <v>3</v>
      </c>
      <c r="F382" s="300">
        <f>E382*D382</f>
        <v>3</v>
      </c>
      <c r="G382" s="299">
        <f>(5.65)+17*0.014*2</f>
        <v>6.1260000000000003</v>
      </c>
      <c r="H382" s="310" t="str">
        <f t="shared" ref="H382:H388" si="383">IF(C382="T6",G382*F382,"")</f>
        <v/>
      </c>
      <c r="I382" s="311" t="str">
        <f t="shared" ref="I382:I388" si="384">IF(C382="T8",F382*G382,"")</f>
        <v/>
      </c>
      <c r="J382" s="311">
        <f t="shared" ref="J382:J388" si="385">IF(C382="T10",F382*G382,"")</f>
        <v>18.38</v>
      </c>
      <c r="K382" s="311" t="str">
        <f t="shared" ref="K382:K388" si="386">IF(C382="T12",F382*G382,"")</f>
        <v/>
      </c>
      <c r="L382" s="310" t="str">
        <f t="shared" ref="L382:L388" si="387">IF(C382="T14",F382*G382,"")</f>
        <v/>
      </c>
      <c r="M382" s="310" t="str">
        <f t="shared" ref="M382:M388" si="388">IF(C382="T16",G382*F382,"")</f>
        <v/>
      </c>
      <c r="N382" s="311" t="str">
        <f t="shared" ref="N382:N388" si="389">IF(C382="T20",G382*F382,"")</f>
        <v/>
      </c>
    </row>
    <row r="383" spans="1:14" s="294" customFormat="1">
      <c r="A383" s="297" t="s">
        <v>1515</v>
      </c>
      <c r="B383" s="298"/>
      <c r="C383" s="299" t="s">
        <v>1516</v>
      </c>
      <c r="D383" s="299">
        <v>1</v>
      </c>
      <c r="E383" s="300">
        <v>3</v>
      </c>
      <c r="F383" s="300">
        <f>E383*D383</f>
        <v>3</v>
      </c>
      <c r="G383" s="299">
        <f>(5.65)+17*0.012*2</f>
        <v>6.0579999999999998</v>
      </c>
      <c r="H383" s="310" t="str">
        <f t="shared" si="383"/>
        <v/>
      </c>
      <c r="I383" s="311" t="str">
        <f t="shared" si="384"/>
        <v/>
      </c>
      <c r="J383" s="311" t="str">
        <f t="shared" si="385"/>
        <v/>
      </c>
      <c r="K383" s="311">
        <f t="shared" si="386"/>
        <v>18.170000000000002</v>
      </c>
      <c r="L383" s="310" t="str">
        <f t="shared" si="387"/>
        <v/>
      </c>
      <c r="M383" s="310" t="str">
        <f t="shared" si="388"/>
        <v/>
      </c>
      <c r="N383" s="311" t="str">
        <f t="shared" si="389"/>
        <v/>
      </c>
    </row>
    <row r="384" spans="1:14" s="294" customFormat="1">
      <c r="A384" s="297"/>
      <c r="B384" s="298"/>
      <c r="C384" s="299" t="s">
        <v>1519</v>
      </c>
      <c r="D384" s="299">
        <v>1</v>
      </c>
      <c r="E384" s="300">
        <v>2</v>
      </c>
      <c r="F384" s="300">
        <f>E384*D384</f>
        <v>2</v>
      </c>
      <c r="G384" s="299">
        <v>5.65</v>
      </c>
      <c r="H384" s="310" t="str">
        <f t="shared" si="383"/>
        <v/>
      </c>
      <c r="I384" s="311" t="str">
        <f t="shared" si="384"/>
        <v/>
      </c>
      <c r="J384" s="311">
        <f t="shared" si="385"/>
        <v>11.3</v>
      </c>
      <c r="K384" s="311" t="str">
        <f t="shared" si="386"/>
        <v/>
      </c>
      <c r="L384" s="310" t="str">
        <f t="shared" si="387"/>
        <v/>
      </c>
      <c r="M384" s="310" t="str">
        <f t="shared" si="388"/>
        <v/>
      </c>
      <c r="N384" s="311" t="str">
        <f t="shared" si="389"/>
        <v/>
      </c>
    </row>
    <row r="385" spans="1:14" s="294" customFormat="1">
      <c r="A385" s="297" t="s">
        <v>1494</v>
      </c>
      <c r="B385" s="301"/>
      <c r="C385" s="299" t="s">
        <v>1496</v>
      </c>
      <c r="D385" s="299">
        <v>1</v>
      </c>
      <c r="E385" s="300">
        <f>17+15+17</f>
        <v>49</v>
      </c>
      <c r="F385" s="300">
        <f t="shared" ref="F385:F386" si="390">E385*D385</f>
        <v>49</v>
      </c>
      <c r="G385" s="302">
        <f>(0.2+0.55)*2+17*0.008*2</f>
        <v>1.77</v>
      </c>
      <c r="H385" s="310" t="str">
        <f t="shared" si="383"/>
        <v/>
      </c>
      <c r="I385" s="311">
        <f t="shared" si="384"/>
        <v>86.73</v>
      </c>
      <c r="J385" s="311" t="str">
        <f t="shared" si="385"/>
        <v/>
      </c>
      <c r="K385" s="311" t="str">
        <f t="shared" si="386"/>
        <v/>
      </c>
      <c r="L385" s="310" t="str">
        <f t="shared" si="387"/>
        <v/>
      </c>
      <c r="M385" s="310" t="str">
        <f t="shared" si="388"/>
        <v/>
      </c>
      <c r="N385" s="311" t="str">
        <f t="shared" si="389"/>
        <v/>
      </c>
    </row>
    <row r="386" spans="1:14" s="294" customFormat="1">
      <c r="A386" s="297" t="s">
        <v>1517</v>
      </c>
      <c r="B386" s="301"/>
      <c r="C386" s="299" t="s">
        <v>1496</v>
      </c>
      <c r="D386" s="299">
        <v>1</v>
      </c>
      <c r="E386" s="300">
        <f>17+15+17</f>
        <v>49</v>
      </c>
      <c r="F386" s="300">
        <f t="shared" si="390"/>
        <v>49</v>
      </c>
      <c r="G386" s="302">
        <f>(0.55*2)+17*0.008*2</f>
        <v>1.37</v>
      </c>
      <c r="H386" s="310" t="str">
        <f t="shared" si="383"/>
        <v/>
      </c>
      <c r="I386" s="311">
        <f t="shared" si="384"/>
        <v>67.13</v>
      </c>
      <c r="J386" s="311" t="str">
        <f t="shared" si="385"/>
        <v/>
      </c>
      <c r="K386" s="311" t="str">
        <f t="shared" si="386"/>
        <v/>
      </c>
      <c r="L386" s="310" t="str">
        <f t="shared" si="387"/>
        <v/>
      </c>
      <c r="M386" s="310" t="str">
        <f t="shared" si="388"/>
        <v/>
      </c>
      <c r="N386" s="311" t="str">
        <f t="shared" si="389"/>
        <v/>
      </c>
    </row>
    <row r="387" spans="1:14">
      <c r="A387" s="297" t="s">
        <v>1520</v>
      </c>
      <c r="B387" s="254"/>
      <c r="C387" s="299" t="s">
        <v>1492</v>
      </c>
      <c r="D387" s="299">
        <v>1</v>
      </c>
      <c r="E387" s="300">
        <v>3</v>
      </c>
      <c r="F387" s="300">
        <f>E387*D387</f>
        <v>3</v>
      </c>
      <c r="G387" s="299">
        <v>3.2</v>
      </c>
      <c r="H387" s="310" t="str">
        <f t="shared" si="383"/>
        <v/>
      </c>
      <c r="I387" s="311" t="str">
        <f t="shared" si="384"/>
        <v/>
      </c>
      <c r="J387" s="311" t="str">
        <f t="shared" si="385"/>
        <v/>
      </c>
      <c r="K387" s="311" t="str">
        <f t="shared" si="386"/>
        <v/>
      </c>
      <c r="L387" s="310">
        <f t="shared" si="387"/>
        <v>9.6</v>
      </c>
      <c r="M387" s="310" t="str">
        <f t="shared" si="388"/>
        <v/>
      </c>
      <c r="N387" s="311" t="str">
        <f t="shared" si="389"/>
        <v/>
      </c>
    </row>
    <row r="388" spans="1:14">
      <c r="A388" s="253"/>
      <c r="B388" s="254"/>
      <c r="C388" s="299" t="s">
        <v>1492</v>
      </c>
      <c r="D388" s="299">
        <v>1</v>
      </c>
      <c r="E388" s="300">
        <v>3</v>
      </c>
      <c r="F388" s="300">
        <f>E388*D388</f>
        <v>3</v>
      </c>
      <c r="G388" s="299">
        <v>5.15</v>
      </c>
      <c r="H388" s="310" t="str">
        <f t="shared" si="383"/>
        <v/>
      </c>
      <c r="I388" s="311" t="str">
        <f t="shared" si="384"/>
        <v/>
      </c>
      <c r="J388" s="311" t="str">
        <f t="shared" si="385"/>
        <v/>
      </c>
      <c r="K388" s="311" t="str">
        <f t="shared" si="386"/>
        <v/>
      </c>
      <c r="L388" s="310">
        <f t="shared" si="387"/>
        <v>15.45</v>
      </c>
      <c r="M388" s="310" t="str">
        <f t="shared" si="388"/>
        <v/>
      </c>
      <c r="N388" s="311" t="str">
        <f t="shared" si="389"/>
        <v/>
      </c>
    </row>
    <row r="389" spans="1:14">
      <c r="A389" s="253"/>
      <c r="B389" s="254"/>
      <c r="C389" s="299"/>
      <c r="D389" s="299"/>
      <c r="E389" s="300"/>
      <c r="F389" s="300"/>
      <c r="G389" s="299"/>
      <c r="H389" s="310"/>
      <c r="I389" s="311"/>
      <c r="J389" s="311"/>
      <c r="K389" s="311"/>
      <c r="L389" s="310"/>
      <c r="M389" s="310"/>
      <c r="N389" s="311"/>
    </row>
    <row r="390" spans="1:14" ht="16.5">
      <c r="A390" s="303" t="s">
        <v>1661</v>
      </c>
      <c r="B390" s="254"/>
      <c r="C390" s="299"/>
      <c r="D390" s="299"/>
      <c r="E390" s="300"/>
      <c r="F390" s="300"/>
      <c r="G390" s="299"/>
      <c r="H390" s="310"/>
      <c r="I390" s="311"/>
      <c r="J390" s="311"/>
      <c r="K390" s="311"/>
      <c r="L390" s="310"/>
      <c r="M390" s="310"/>
      <c r="N390" s="311"/>
    </row>
    <row r="391" spans="1:14" s="294" customFormat="1">
      <c r="A391" s="297" t="s">
        <v>1515</v>
      </c>
      <c r="B391" s="298"/>
      <c r="C391" s="299" t="s">
        <v>1516</v>
      </c>
      <c r="D391" s="299">
        <v>1</v>
      </c>
      <c r="E391" s="300">
        <v>3</v>
      </c>
      <c r="F391" s="300">
        <f>E391*D391</f>
        <v>3</v>
      </c>
      <c r="G391" s="299">
        <f>(7.1)+17*0.012*2</f>
        <v>7.508</v>
      </c>
      <c r="H391" s="310" t="str">
        <f t="shared" ref="H391:H398" si="391">IF(C391="T6",G391*F391,"")</f>
        <v/>
      </c>
      <c r="I391" s="311" t="str">
        <f t="shared" ref="I391:I398" si="392">IF(C391="T8",F391*G391,"")</f>
        <v/>
      </c>
      <c r="J391" s="311" t="str">
        <f t="shared" ref="J391:J398" si="393">IF(C391="T10",F391*G391,"")</f>
        <v/>
      </c>
      <c r="K391" s="311">
        <f t="shared" ref="K391:K398" si="394">IF(C391="T12",F391*G391,"")</f>
        <v>22.52</v>
      </c>
      <c r="L391" s="310" t="str">
        <f t="shared" ref="L391:L398" si="395">IF(C391="T14",F391*G391,"")</f>
        <v/>
      </c>
      <c r="M391" s="310" t="str">
        <f t="shared" ref="M391:M398" si="396">IF(C391="T16",G391*F391,"")</f>
        <v/>
      </c>
      <c r="N391" s="311" t="str">
        <f t="shared" ref="N391:N398" si="397">IF(C391="T20",G391*F391,"")</f>
        <v/>
      </c>
    </row>
    <row r="392" spans="1:14" s="294" customFormat="1">
      <c r="A392" s="297" t="s">
        <v>1515</v>
      </c>
      <c r="B392" s="298"/>
      <c r="C392" s="299" t="s">
        <v>1498</v>
      </c>
      <c r="D392" s="299">
        <v>1</v>
      </c>
      <c r="E392" s="300">
        <v>3</v>
      </c>
      <c r="F392" s="300">
        <f>E392*D392</f>
        <v>3</v>
      </c>
      <c r="G392" s="299">
        <f>(7.1)+17*0.016*2</f>
        <v>7.6440000000000001</v>
      </c>
      <c r="H392" s="310" t="str">
        <f t="shared" si="391"/>
        <v/>
      </c>
      <c r="I392" s="311" t="str">
        <f t="shared" si="392"/>
        <v/>
      </c>
      <c r="J392" s="311" t="str">
        <f t="shared" si="393"/>
        <v/>
      </c>
      <c r="K392" s="311" t="str">
        <f t="shared" si="394"/>
        <v/>
      </c>
      <c r="L392" s="310" t="str">
        <f t="shared" si="395"/>
        <v/>
      </c>
      <c r="M392" s="310">
        <f t="shared" si="396"/>
        <v>22.93</v>
      </c>
      <c r="N392" s="311" t="str">
        <f t="shared" si="397"/>
        <v/>
      </c>
    </row>
    <row r="393" spans="1:14" s="294" customFormat="1">
      <c r="A393" s="297"/>
      <c r="B393" s="298"/>
      <c r="C393" s="299" t="s">
        <v>1519</v>
      </c>
      <c r="D393" s="299">
        <v>1</v>
      </c>
      <c r="E393" s="300">
        <v>2</v>
      </c>
      <c r="F393" s="300">
        <f>E393*D393</f>
        <v>2</v>
      </c>
      <c r="G393" s="299">
        <v>7.1</v>
      </c>
      <c r="H393" s="310" t="str">
        <f t="shared" si="391"/>
        <v/>
      </c>
      <c r="I393" s="311" t="str">
        <f t="shared" si="392"/>
        <v/>
      </c>
      <c r="J393" s="311">
        <f t="shared" si="393"/>
        <v>14.2</v>
      </c>
      <c r="K393" s="311" t="str">
        <f t="shared" si="394"/>
        <v/>
      </c>
      <c r="L393" s="310" t="str">
        <f t="shared" si="395"/>
        <v/>
      </c>
      <c r="M393" s="310" t="str">
        <f t="shared" si="396"/>
        <v/>
      </c>
      <c r="N393" s="311" t="str">
        <f t="shared" si="397"/>
        <v/>
      </c>
    </row>
    <row r="394" spans="1:14" s="294" customFormat="1">
      <c r="A394" s="297" t="s">
        <v>1494</v>
      </c>
      <c r="B394" s="301"/>
      <c r="C394" s="299" t="s">
        <v>1496</v>
      </c>
      <c r="D394" s="299">
        <v>1</v>
      </c>
      <c r="E394" s="300">
        <f>21+17+21</f>
        <v>59</v>
      </c>
      <c r="F394" s="300">
        <f t="shared" ref="F394:F395" si="398">E394*D394</f>
        <v>59</v>
      </c>
      <c r="G394" s="302">
        <f>(0.2+0.65)*2+17*0.008*2</f>
        <v>1.97</v>
      </c>
      <c r="H394" s="310" t="str">
        <f t="shared" si="391"/>
        <v/>
      </c>
      <c r="I394" s="311">
        <f t="shared" si="392"/>
        <v>116.23</v>
      </c>
      <c r="J394" s="311" t="str">
        <f t="shared" si="393"/>
        <v/>
      </c>
      <c r="K394" s="311" t="str">
        <f t="shared" si="394"/>
        <v/>
      </c>
      <c r="L394" s="310" t="str">
        <f t="shared" si="395"/>
        <v/>
      </c>
      <c r="M394" s="310" t="str">
        <f t="shared" si="396"/>
        <v/>
      </c>
      <c r="N394" s="311" t="str">
        <f t="shared" si="397"/>
        <v/>
      </c>
    </row>
    <row r="395" spans="1:14" s="294" customFormat="1">
      <c r="A395" s="297" t="s">
        <v>1517</v>
      </c>
      <c r="B395" s="301"/>
      <c r="C395" s="299" t="s">
        <v>1496</v>
      </c>
      <c r="D395" s="299">
        <v>1</v>
      </c>
      <c r="E395" s="300">
        <f>21+17+21</f>
        <v>59</v>
      </c>
      <c r="F395" s="300">
        <f t="shared" si="398"/>
        <v>59</v>
      </c>
      <c r="G395" s="302">
        <f>(0.65*2)+17*0.008*2</f>
        <v>1.57</v>
      </c>
      <c r="H395" s="310" t="str">
        <f t="shared" si="391"/>
        <v/>
      </c>
      <c r="I395" s="311">
        <f t="shared" si="392"/>
        <v>92.63</v>
      </c>
      <c r="J395" s="311" t="str">
        <f t="shared" si="393"/>
        <v/>
      </c>
      <c r="K395" s="311" t="str">
        <f t="shared" si="394"/>
        <v/>
      </c>
      <c r="L395" s="310" t="str">
        <f t="shared" si="395"/>
        <v/>
      </c>
      <c r="M395" s="310" t="str">
        <f t="shared" si="396"/>
        <v/>
      </c>
      <c r="N395" s="311" t="str">
        <f t="shared" si="397"/>
        <v/>
      </c>
    </row>
    <row r="396" spans="1:14" s="294" customFormat="1">
      <c r="A396" s="297" t="s">
        <v>1518</v>
      </c>
      <c r="B396" s="301"/>
      <c r="C396" s="299" t="s">
        <v>1492</v>
      </c>
      <c r="D396" s="299">
        <v>1</v>
      </c>
      <c r="E396" s="300">
        <v>3</v>
      </c>
      <c r="F396" s="300">
        <f>E396*D396</f>
        <v>3</v>
      </c>
      <c r="G396" s="299">
        <v>3.1</v>
      </c>
      <c r="H396" s="310" t="str">
        <f t="shared" si="391"/>
        <v/>
      </c>
      <c r="I396" s="311" t="str">
        <f t="shared" si="392"/>
        <v/>
      </c>
      <c r="J396" s="311" t="str">
        <f t="shared" si="393"/>
        <v/>
      </c>
      <c r="K396" s="311" t="str">
        <f t="shared" si="394"/>
        <v/>
      </c>
      <c r="L396" s="310">
        <f t="shared" si="395"/>
        <v>9.3000000000000007</v>
      </c>
      <c r="M396" s="310" t="str">
        <f t="shared" si="396"/>
        <v/>
      </c>
      <c r="N396" s="311" t="str">
        <f t="shared" si="397"/>
        <v/>
      </c>
    </row>
    <row r="397" spans="1:14">
      <c r="A397" s="297" t="s">
        <v>1520</v>
      </c>
      <c r="B397" s="254"/>
      <c r="C397" s="299" t="s">
        <v>1492</v>
      </c>
      <c r="D397" s="299">
        <v>1</v>
      </c>
      <c r="E397" s="300">
        <v>6</v>
      </c>
      <c r="F397" s="300">
        <f>E397*D397</f>
        <v>6</v>
      </c>
      <c r="G397" s="299">
        <v>4.5</v>
      </c>
      <c r="H397" s="310" t="str">
        <f t="shared" si="391"/>
        <v/>
      </c>
      <c r="I397" s="311" t="str">
        <f t="shared" si="392"/>
        <v/>
      </c>
      <c r="J397" s="311" t="str">
        <f t="shared" si="393"/>
        <v/>
      </c>
      <c r="K397" s="311" t="str">
        <f t="shared" si="394"/>
        <v/>
      </c>
      <c r="L397" s="310">
        <f t="shared" si="395"/>
        <v>27</v>
      </c>
      <c r="M397" s="310" t="str">
        <f t="shared" si="396"/>
        <v/>
      </c>
      <c r="N397" s="311" t="str">
        <f t="shared" si="397"/>
        <v/>
      </c>
    </row>
    <row r="398" spans="1:14">
      <c r="A398" s="253"/>
      <c r="B398" s="254"/>
      <c r="C398" s="299" t="s">
        <v>1492</v>
      </c>
      <c r="D398" s="299">
        <v>1</v>
      </c>
      <c r="E398" s="300">
        <v>3</v>
      </c>
      <c r="F398" s="300">
        <f>E398*D398</f>
        <v>3</v>
      </c>
      <c r="G398" s="299">
        <v>6.6</v>
      </c>
      <c r="H398" s="310" t="str">
        <f t="shared" si="391"/>
        <v/>
      </c>
      <c r="I398" s="311" t="str">
        <f t="shared" si="392"/>
        <v/>
      </c>
      <c r="J398" s="311" t="str">
        <f t="shared" si="393"/>
        <v/>
      </c>
      <c r="K398" s="311" t="str">
        <f t="shared" si="394"/>
        <v/>
      </c>
      <c r="L398" s="310">
        <f t="shared" si="395"/>
        <v>19.8</v>
      </c>
      <c r="M398" s="310" t="str">
        <f t="shared" si="396"/>
        <v/>
      </c>
      <c r="N398" s="311" t="str">
        <f t="shared" si="397"/>
        <v/>
      </c>
    </row>
    <row r="399" spans="1:14">
      <c r="A399" s="253"/>
      <c r="B399" s="254"/>
      <c r="C399" s="299"/>
      <c r="D399" s="299"/>
      <c r="E399" s="300"/>
      <c r="F399" s="300"/>
      <c r="G399" s="299"/>
      <c r="H399" s="310"/>
      <c r="I399" s="311"/>
      <c r="J399" s="311"/>
      <c r="K399" s="311"/>
      <c r="L399" s="310"/>
      <c r="M399" s="310"/>
      <c r="N399" s="311"/>
    </row>
    <row r="400" spans="1:14" ht="16.5">
      <c r="A400" s="303" t="s">
        <v>1660</v>
      </c>
      <c r="B400" s="254"/>
      <c r="C400" s="299"/>
      <c r="D400" s="299"/>
      <c r="E400" s="300"/>
      <c r="F400" s="300"/>
      <c r="G400" s="299"/>
      <c r="H400" s="310"/>
      <c r="I400" s="311"/>
      <c r="J400" s="311"/>
      <c r="K400" s="311"/>
      <c r="L400" s="310"/>
      <c r="M400" s="310"/>
      <c r="N400" s="311"/>
    </row>
    <row r="401" spans="1:14" s="294" customFormat="1">
      <c r="A401" s="297" t="s">
        <v>1515</v>
      </c>
      <c r="B401" s="298"/>
      <c r="C401" s="299" t="s">
        <v>1519</v>
      </c>
      <c r="D401" s="299">
        <v>1</v>
      </c>
      <c r="E401" s="300">
        <v>3</v>
      </c>
      <c r="F401" s="300">
        <f>E401*D401</f>
        <v>3</v>
      </c>
      <c r="G401" s="299">
        <f>(4)+17*0.01*2</f>
        <v>4.34</v>
      </c>
      <c r="H401" s="310" t="str">
        <f t="shared" ref="H401:H406" si="399">IF(C401="T6",G401*F401,"")</f>
        <v/>
      </c>
      <c r="I401" s="311" t="str">
        <f t="shared" ref="I401:I406" si="400">IF(C401="T8",F401*G401,"")</f>
        <v/>
      </c>
      <c r="J401" s="311">
        <f t="shared" ref="J401:J406" si="401">IF(C401="T10",F401*G401,"")</f>
        <v>13.02</v>
      </c>
      <c r="K401" s="311" t="str">
        <f t="shared" ref="K401:K406" si="402">IF(C401="T12",F401*G401,"")</f>
        <v/>
      </c>
      <c r="L401" s="310" t="str">
        <f t="shared" ref="L401:L406" si="403">IF(C401="T14",F401*G401,"")</f>
        <v/>
      </c>
      <c r="M401" s="310" t="str">
        <f t="shared" ref="M401:M406" si="404">IF(C401="T16",G401*F401,"")</f>
        <v/>
      </c>
      <c r="N401" s="311" t="str">
        <f t="shared" ref="N401:N406" si="405">IF(C401="T20",G401*F401,"")</f>
        <v/>
      </c>
    </row>
    <row r="402" spans="1:14" s="294" customFormat="1">
      <c r="A402" s="297" t="s">
        <v>1515</v>
      </c>
      <c r="B402" s="298"/>
      <c r="C402" s="299" t="s">
        <v>1516</v>
      </c>
      <c r="D402" s="299">
        <v>1</v>
      </c>
      <c r="E402" s="300">
        <v>3</v>
      </c>
      <c r="F402" s="300">
        <f>E402*D402</f>
        <v>3</v>
      </c>
      <c r="G402" s="299">
        <f>(4)+17*0.012*2</f>
        <v>4.4080000000000004</v>
      </c>
      <c r="H402" s="310" t="str">
        <f t="shared" si="399"/>
        <v/>
      </c>
      <c r="I402" s="311" t="str">
        <f t="shared" si="400"/>
        <v/>
      </c>
      <c r="J402" s="311" t="str">
        <f t="shared" si="401"/>
        <v/>
      </c>
      <c r="K402" s="311">
        <f t="shared" si="402"/>
        <v>13.22</v>
      </c>
      <c r="L402" s="310" t="str">
        <f t="shared" si="403"/>
        <v/>
      </c>
      <c r="M402" s="310" t="str">
        <f t="shared" si="404"/>
        <v/>
      </c>
      <c r="N402" s="311" t="str">
        <f t="shared" si="405"/>
        <v/>
      </c>
    </row>
    <row r="403" spans="1:14" s="294" customFormat="1">
      <c r="A403" s="297" t="s">
        <v>1494</v>
      </c>
      <c r="B403" s="301"/>
      <c r="C403" s="299" t="s">
        <v>1496</v>
      </c>
      <c r="D403" s="299">
        <v>1</v>
      </c>
      <c r="E403" s="300">
        <f>12+15+12</f>
        <v>39</v>
      </c>
      <c r="F403" s="300">
        <f t="shared" ref="F403:F404" si="406">E403*D403</f>
        <v>39</v>
      </c>
      <c r="G403" s="302">
        <f>(0.2+0.35)*2+17*0.008*2</f>
        <v>1.37</v>
      </c>
      <c r="H403" s="310" t="str">
        <f t="shared" si="399"/>
        <v/>
      </c>
      <c r="I403" s="311">
        <f t="shared" si="400"/>
        <v>53.43</v>
      </c>
      <c r="J403" s="311" t="str">
        <f t="shared" si="401"/>
        <v/>
      </c>
      <c r="K403" s="311" t="str">
        <f t="shared" si="402"/>
        <v/>
      </c>
      <c r="L403" s="310" t="str">
        <f t="shared" si="403"/>
        <v/>
      </c>
      <c r="M403" s="310" t="str">
        <f t="shared" si="404"/>
        <v/>
      </c>
      <c r="N403" s="311" t="str">
        <f t="shared" si="405"/>
        <v/>
      </c>
    </row>
    <row r="404" spans="1:14" s="294" customFormat="1">
      <c r="A404" s="297" t="s">
        <v>1517</v>
      </c>
      <c r="B404" s="301"/>
      <c r="C404" s="299" t="s">
        <v>1496</v>
      </c>
      <c r="D404" s="299">
        <v>1</v>
      </c>
      <c r="E404" s="300">
        <f>12+15+12</f>
        <v>39</v>
      </c>
      <c r="F404" s="300">
        <f t="shared" si="406"/>
        <v>39</v>
      </c>
      <c r="G404" s="302">
        <f>(0.35*2)+17*0.008*2</f>
        <v>0.97</v>
      </c>
      <c r="H404" s="310" t="str">
        <f t="shared" si="399"/>
        <v/>
      </c>
      <c r="I404" s="311">
        <f t="shared" si="400"/>
        <v>37.83</v>
      </c>
      <c r="J404" s="311" t="str">
        <f t="shared" si="401"/>
        <v/>
      </c>
      <c r="K404" s="311" t="str">
        <f t="shared" si="402"/>
        <v/>
      </c>
      <c r="L404" s="310" t="str">
        <f t="shared" si="403"/>
        <v/>
      </c>
      <c r="M404" s="310" t="str">
        <f t="shared" si="404"/>
        <v/>
      </c>
      <c r="N404" s="311" t="str">
        <f t="shared" si="405"/>
        <v/>
      </c>
    </row>
    <row r="405" spans="1:14">
      <c r="A405" s="297" t="s">
        <v>1520</v>
      </c>
      <c r="B405" s="254"/>
      <c r="C405" s="299" t="s">
        <v>1492</v>
      </c>
      <c r="D405" s="299">
        <v>1</v>
      </c>
      <c r="E405" s="300">
        <v>6</v>
      </c>
      <c r="F405" s="300">
        <f>E405*D405</f>
        <v>6</v>
      </c>
      <c r="G405" s="299">
        <v>3.8</v>
      </c>
      <c r="H405" s="310" t="str">
        <f t="shared" si="399"/>
        <v/>
      </c>
      <c r="I405" s="311" t="str">
        <f t="shared" si="400"/>
        <v/>
      </c>
      <c r="J405" s="311" t="str">
        <f t="shared" si="401"/>
        <v/>
      </c>
      <c r="K405" s="311" t="str">
        <f t="shared" si="402"/>
        <v/>
      </c>
      <c r="L405" s="310">
        <f t="shared" si="403"/>
        <v>22.8</v>
      </c>
      <c r="M405" s="310" t="str">
        <f t="shared" si="404"/>
        <v/>
      </c>
      <c r="N405" s="311" t="str">
        <f t="shared" si="405"/>
        <v/>
      </c>
    </row>
    <row r="406" spans="1:14">
      <c r="A406" s="253"/>
      <c r="B406" s="254"/>
      <c r="C406" s="299" t="s">
        <v>1492</v>
      </c>
      <c r="D406" s="299">
        <v>1</v>
      </c>
      <c r="E406" s="300">
        <v>3</v>
      </c>
      <c r="F406" s="300">
        <f>E406*D406</f>
        <v>3</v>
      </c>
      <c r="G406" s="299">
        <v>2.8</v>
      </c>
      <c r="H406" s="310" t="str">
        <f t="shared" si="399"/>
        <v/>
      </c>
      <c r="I406" s="311" t="str">
        <f t="shared" si="400"/>
        <v/>
      </c>
      <c r="J406" s="311" t="str">
        <f t="shared" si="401"/>
        <v/>
      </c>
      <c r="K406" s="311" t="str">
        <f t="shared" si="402"/>
        <v/>
      </c>
      <c r="L406" s="310">
        <f t="shared" si="403"/>
        <v>8.4</v>
      </c>
      <c r="M406" s="310" t="str">
        <f t="shared" si="404"/>
        <v/>
      </c>
      <c r="N406" s="311" t="str">
        <f t="shared" si="405"/>
        <v/>
      </c>
    </row>
    <row r="407" spans="1:14">
      <c r="A407" s="253"/>
      <c r="B407" s="254"/>
      <c r="C407" s="299" t="s">
        <v>1519</v>
      </c>
      <c r="D407" s="299">
        <v>1</v>
      </c>
      <c r="E407" s="300">
        <v>3</v>
      </c>
      <c r="F407" s="300">
        <f>E407*D407</f>
        <v>3</v>
      </c>
      <c r="G407" s="299">
        <v>3.5</v>
      </c>
      <c r="H407" s="310" t="str">
        <f t="shared" ref="H407" si="407">IF(C407="T6",G407*F407,"")</f>
        <v/>
      </c>
      <c r="I407" s="311" t="str">
        <f t="shared" ref="I407" si="408">IF(C407="T8",F407*G407,"")</f>
        <v/>
      </c>
      <c r="J407" s="311">
        <f t="shared" ref="J407" si="409">IF(C407="T10",F407*G407,"")</f>
        <v>10.5</v>
      </c>
      <c r="K407" s="311" t="str">
        <f t="shared" ref="K407" si="410">IF(C407="T12",F407*G407,"")</f>
        <v/>
      </c>
      <c r="L407" s="310" t="str">
        <f t="shared" ref="L407" si="411">IF(C407="T14",F407*G407,"")</f>
        <v/>
      </c>
      <c r="M407" s="310" t="str">
        <f t="shared" ref="M407" si="412">IF(C407="T16",G407*F407,"")</f>
        <v/>
      </c>
      <c r="N407" s="311" t="str">
        <f t="shared" ref="N407" si="413">IF(C407="T20",G407*F407,"")</f>
        <v/>
      </c>
    </row>
    <row r="408" spans="1:14">
      <c r="A408" s="253"/>
      <c r="B408" s="254"/>
      <c r="C408" s="299"/>
      <c r="D408" s="299"/>
      <c r="E408" s="300"/>
      <c r="F408" s="300"/>
      <c r="G408" s="299"/>
      <c r="H408" s="310"/>
      <c r="I408" s="311"/>
      <c r="J408" s="311"/>
      <c r="K408" s="311"/>
      <c r="L408" s="310"/>
      <c r="M408" s="310"/>
      <c r="N408" s="311"/>
    </row>
    <row r="409" spans="1:14" ht="16.5">
      <c r="A409" s="303" t="s">
        <v>1659</v>
      </c>
      <c r="B409" s="254"/>
      <c r="C409" s="299"/>
      <c r="D409" s="299"/>
      <c r="E409" s="300"/>
      <c r="F409" s="300"/>
      <c r="G409" s="299"/>
      <c r="H409" s="310"/>
      <c r="I409" s="311"/>
      <c r="J409" s="311"/>
      <c r="K409" s="311"/>
      <c r="L409" s="310"/>
      <c r="M409" s="310"/>
      <c r="N409" s="311"/>
    </row>
    <row r="410" spans="1:14" s="294" customFormat="1">
      <c r="A410" s="297" t="s">
        <v>1515</v>
      </c>
      <c r="B410" s="298"/>
      <c r="C410" s="299" t="s">
        <v>1519</v>
      </c>
      <c r="D410" s="299">
        <v>1</v>
      </c>
      <c r="E410" s="300">
        <v>3</v>
      </c>
      <c r="F410" s="300">
        <f>E410*D410</f>
        <v>3</v>
      </c>
      <c r="G410" s="299">
        <f>(2.7)+17*0.01*2</f>
        <v>3.04</v>
      </c>
      <c r="H410" s="310" t="str">
        <f t="shared" ref="H410:H415" si="414">IF(C410="T6",G410*F410,"")</f>
        <v/>
      </c>
      <c r="I410" s="311" t="str">
        <f t="shared" ref="I410:I415" si="415">IF(C410="T8",F410*G410,"")</f>
        <v/>
      </c>
      <c r="J410" s="311">
        <f t="shared" ref="J410:J415" si="416">IF(C410="T10",F410*G410,"")</f>
        <v>9.1199999999999992</v>
      </c>
      <c r="K410" s="311" t="str">
        <f t="shared" ref="K410:K415" si="417">IF(C410="T12",F410*G410,"")</f>
        <v/>
      </c>
      <c r="L410" s="310" t="str">
        <f t="shared" ref="L410:L415" si="418">IF(C410="T14",F410*G410,"")</f>
        <v/>
      </c>
      <c r="M410" s="310" t="str">
        <f t="shared" ref="M410:M415" si="419">IF(C410="T16",G410*F410,"")</f>
        <v/>
      </c>
      <c r="N410" s="311" t="str">
        <f t="shared" ref="N410:N415" si="420">IF(C410="T20",G410*F410,"")</f>
        <v/>
      </c>
    </row>
    <row r="411" spans="1:14" s="294" customFormat="1">
      <c r="A411" s="297" t="s">
        <v>1515</v>
      </c>
      <c r="B411" s="298"/>
      <c r="C411" s="299" t="s">
        <v>1516</v>
      </c>
      <c r="D411" s="299">
        <v>1</v>
      </c>
      <c r="E411" s="300">
        <v>3</v>
      </c>
      <c r="F411" s="300">
        <f>E411*D411</f>
        <v>3</v>
      </c>
      <c r="G411" s="299">
        <f>(2.7)+17*0.012*2</f>
        <v>3.1080000000000001</v>
      </c>
      <c r="H411" s="310" t="str">
        <f t="shared" si="414"/>
        <v/>
      </c>
      <c r="I411" s="311" t="str">
        <f t="shared" si="415"/>
        <v/>
      </c>
      <c r="J411" s="311" t="str">
        <f t="shared" si="416"/>
        <v/>
      </c>
      <c r="K411" s="311">
        <f t="shared" si="417"/>
        <v>9.32</v>
      </c>
      <c r="L411" s="310" t="str">
        <f t="shared" si="418"/>
        <v/>
      </c>
      <c r="M411" s="310" t="str">
        <f t="shared" si="419"/>
        <v/>
      </c>
      <c r="N411" s="311" t="str">
        <f t="shared" si="420"/>
        <v/>
      </c>
    </row>
    <row r="412" spans="1:14" s="294" customFormat="1">
      <c r="A412" s="297" t="s">
        <v>1494</v>
      </c>
      <c r="B412" s="301"/>
      <c r="C412" s="299" t="s">
        <v>1496</v>
      </c>
      <c r="D412" s="299">
        <v>1</v>
      </c>
      <c r="E412" s="300">
        <f>9+7+9</f>
        <v>25</v>
      </c>
      <c r="F412" s="300">
        <f t="shared" ref="F412:F413" si="421">E412*D412</f>
        <v>25</v>
      </c>
      <c r="G412" s="302">
        <f>(0.2+0.35)*2+17*0.008*2</f>
        <v>1.37</v>
      </c>
      <c r="H412" s="310" t="str">
        <f t="shared" si="414"/>
        <v/>
      </c>
      <c r="I412" s="311">
        <f t="shared" si="415"/>
        <v>34.25</v>
      </c>
      <c r="J412" s="311" t="str">
        <f t="shared" si="416"/>
        <v/>
      </c>
      <c r="K412" s="311" t="str">
        <f t="shared" si="417"/>
        <v/>
      </c>
      <c r="L412" s="310" t="str">
        <f t="shared" si="418"/>
        <v/>
      </c>
      <c r="M412" s="310" t="str">
        <f t="shared" si="419"/>
        <v/>
      </c>
      <c r="N412" s="311" t="str">
        <f t="shared" si="420"/>
        <v/>
      </c>
    </row>
    <row r="413" spans="1:14" s="294" customFormat="1">
      <c r="A413" s="297" t="s">
        <v>1517</v>
      </c>
      <c r="B413" s="301"/>
      <c r="C413" s="299" t="s">
        <v>1496</v>
      </c>
      <c r="D413" s="299">
        <v>1</v>
      </c>
      <c r="E413" s="300">
        <f>9+7+9</f>
        <v>25</v>
      </c>
      <c r="F413" s="300">
        <f t="shared" si="421"/>
        <v>25</v>
      </c>
      <c r="G413" s="302">
        <f>(0.35*2)+17*0.008*2</f>
        <v>0.97</v>
      </c>
      <c r="H413" s="310" t="str">
        <f t="shared" si="414"/>
        <v/>
      </c>
      <c r="I413" s="311">
        <f t="shared" si="415"/>
        <v>24.25</v>
      </c>
      <c r="J413" s="311" t="str">
        <f t="shared" si="416"/>
        <v/>
      </c>
      <c r="K413" s="311" t="str">
        <f t="shared" si="417"/>
        <v/>
      </c>
      <c r="L413" s="310" t="str">
        <f t="shared" si="418"/>
        <v/>
      </c>
      <c r="M413" s="310" t="str">
        <f t="shared" si="419"/>
        <v/>
      </c>
      <c r="N413" s="311" t="str">
        <f t="shared" si="420"/>
        <v/>
      </c>
    </row>
    <row r="414" spans="1:14">
      <c r="A414" s="297" t="s">
        <v>1520</v>
      </c>
      <c r="B414" s="254"/>
      <c r="C414" s="299" t="s">
        <v>1492</v>
      </c>
      <c r="D414" s="299">
        <v>1</v>
      </c>
      <c r="E414" s="300">
        <v>6</v>
      </c>
      <c r="F414" s="300">
        <f>E414*D414</f>
        <v>6</v>
      </c>
      <c r="G414" s="299">
        <v>3.2</v>
      </c>
      <c r="H414" s="310" t="str">
        <f t="shared" si="414"/>
        <v/>
      </c>
      <c r="I414" s="311" t="str">
        <f t="shared" si="415"/>
        <v/>
      </c>
      <c r="J414" s="311" t="str">
        <f t="shared" si="416"/>
        <v/>
      </c>
      <c r="K414" s="311" t="str">
        <f t="shared" si="417"/>
        <v/>
      </c>
      <c r="L414" s="310">
        <f t="shared" si="418"/>
        <v>19.2</v>
      </c>
      <c r="M414" s="310" t="str">
        <f t="shared" si="419"/>
        <v/>
      </c>
      <c r="N414" s="311" t="str">
        <f t="shared" si="420"/>
        <v/>
      </c>
    </row>
    <row r="415" spans="1:14">
      <c r="A415" s="253"/>
      <c r="B415" s="254"/>
      <c r="C415" s="299" t="s">
        <v>1492</v>
      </c>
      <c r="D415" s="299">
        <v>1</v>
      </c>
      <c r="E415" s="300">
        <v>3</v>
      </c>
      <c r="F415" s="300">
        <f>E415*D415</f>
        <v>3</v>
      </c>
      <c r="G415" s="299">
        <v>2.8</v>
      </c>
      <c r="H415" s="310" t="str">
        <f t="shared" si="414"/>
        <v/>
      </c>
      <c r="I415" s="311" t="str">
        <f t="shared" si="415"/>
        <v/>
      </c>
      <c r="J415" s="311" t="str">
        <f t="shared" si="416"/>
        <v/>
      </c>
      <c r="K415" s="311" t="str">
        <f t="shared" si="417"/>
        <v/>
      </c>
      <c r="L415" s="310">
        <f t="shared" si="418"/>
        <v>8.4</v>
      </c>
      <c r="M415" s="310" t="str">
        <f t="shared" si="419"/>
        <v/>
      </c>
      <c r="N415" s="311" t="str">
        <f t="shared" si="420"/>
        <v/>
      </c>
    </row>
    <row r="416" spans="1:14">
      <c r="A416" s="253"/>
      <c r="B416" s="254"/>
      <c r="C416" s="299"/>
      <c r="D416" s="299"/>
      <c r="E416" s="300"/>
      <c r="F416" s="300"/>
      <c r="G416" s="299"/>
      <c r="H416" s="312"/>
      <c r="I416" s="313"/>
      <c r="J416" s="313"/>
      <c r="K416" s="313"/>
      <c r="L416" s="312"/>
      <c r="M416" s="312"/>
      <c r="N416" s="313"/>
    </row>
    <row r="417" spans="1:14" ht="16.5">
      <c r="A417" s="303" t="s">
        <v>1658</v>
      </c>
      <c r="B417" s="254"/>
      <c r="C417" s="299"/>
      <c r="D417" s="299"/>
      <c r="E417" s="300"/>
      <c r="F417" s="300"/>
      <c r="G417" s="299"/>
      <c r="H417" s="312"/>
      <c r="I417" s="313"/>
      <c r="J417" s="313"/>
      <c r="K417" s="313"/>
      <c r="L417" s="312"/>
      <c r="M417" s="312"/>
      <c r="N417" s="313"/>
    </row>
    <row r="418" spans="1:14" s="294" customFormat="1">
      <c r="A418" s="297" t="s">
        <v>1515</v>
      </c>
      <c r="B418" s="298"/>
      <c r="C418" s="299" t="s">
        <v>1516</v>
      </c>
      <c r="D418" s="299">
        <v>1</v>
      </c>
      <c r="E418" s="300">
        <v>3</v>
      </c>
      <c r="F418" s="300">
        <f>E418*D418</f>
        <v>3</v>
      </c>
      <c r="G418" s="299">
        <f>(7.1)+17*0.012*2</f>
        <v>7.508</v>
      </c>
      <c r="H418" s="310" t="str">
        <f t="shared" ref="H418:H425" si="422">IF(C418="T6",G418*F418,"")</f>
        <v/>
      </c>
      <c r="I418" s="311" t="str">
        <f t="shared" ref="I418:I425" si="423">IF(C418="T8",F418*G418,"")</f>
        <v/>
      </c>
      <c r="J418" s="311" t="str">
        <f t="shared" ref="J418:J425" si="424">IF(C418="T10",F418*G418,"")</f>
        <v/>
      </c>
      <c r="K418" s="311">
        <f t="shared" ref="K418:K425" si="425">IF(C418="T12",F418*G418,"")</f>
        <v>22.52</v>
      </c>
      <c r="L418" s="310" t="str">
        <f t="shared" ref="L418:L425" si="426">IF(C418="T14",F418*G418,"")</f>
        <v/>
      </c>
      <c r="M418" s="310" t="str">
        <f t="shared" ref="M418:M425" si="427">IF(C418="T16",G418*F418,"")</f>
        <v/>
      </c>
      <c r="N418" s="311" t="str">
        <f t="shared" ref="N418:N425" si="428">IF(C418="T20",G418*F418,"")</f>
        <v/>
      </c>
    </row>
    <row r="419" spans="1:14" s="294" customFormat="1">
      <c r="A419" s="297" t="s">
        <v>1515</v>
      </c>
      <c r="B419" s="298"/>
      <c r="C419" s="299" t="s">
        <v>1498</v>
      </c>
      <c r="D419" s="299">
        <v>1</v>
      </c>
      <c r="E419" s="300">
        <v>3</v>
      </c>
      <c r="F419" s="300">
        <f>E419*D419</f>
        <v>3</v>
      </c>
      <c r="G419" s="299">
        <f>(7.1)+17*0.016*2</f>
        <v>7.6440000000000001</v>
      </c>
      <c r="H419" s="310" t="str">
        <f t="shared" si="422"/>
        <v/>
      </c>
      <c r="I419" s="311" t="str">
        <f t="shared" si="423"/>
        <v/>
      </c>
      <c r="J419" s="311" t="str">
        <f t="shared" si="424"/>
        <v/>
      </c>
      <c r="K419" s="311" t="str">
        <f t="shared" si="425"/>
        <v/>
      </c>
      <c r="L419" s="310" t="str">
        <f t="shared" si="426"/>
        <v/>
      </c>
      <c r="M419" s="310">
        <f t="shared" si="427"/>
        <v>22.93</v>
      </c>
      <c r="N419" s="311" t="str">
        <f t="shared" si="428"/>
        <v/>
      </c>
    </row>
    <row r="420" spans="1:14" s="294" customFormat="1">
      <c r="A420" s="297"/>
      <c r="B420" s="298"/>
      <c r="C420" s="299" t="s">
        <v>1519</v>
      </c>
      <c r="D420" s="299">
        <v>1</v>
      </c>
      <c r="E420" s="300">
        <v>2</v>
      </c>
      <c r="F420" s="300">
        <f>E420*D420</f>
        <v>2</v>
      </c>
      <c r="G420" s="299">
        <v>7.1</v>
      </c>
      <c r="H420" s="310" t="str">
        <f t="shared" si="422"/>
        <v/>
      </c>
      <c r="I420" s="311" t="str">
        <f t="shared" si="423"/>
        <v/>
      </c>
      <c r="J420" s="311">
        <f t="shared" si="424"/>
        <v>14.2</v>
      </c>
      <c r="K420" s="311" t="str">
        <f t="shared" si="425"/>
        <v/>
      </c>
      <c r="L420" s="310" t="str">
        <f t="shared" si="426"/>
        <v/>
      </c>
      <c r="M420" s="310" t="str">
        <f t="shared" si="427"/>
        <v/>
      </c>
      <c r="N420" s="311" t="str">
        <f t="shared" si="428"/>
        <v/>
      </c>
    </row>
    <row r="421" spans="1:14" s="294" customFormat="1">
      <c r="A421" s="297" t="s">
        <v>1494</v>
      </c>
      <c r="B421" s="301"/>
      <c r="C421" s="299" t="s">
        <v>1496</v>
      </c>
      <c r="D421" s="299">
        <v>1</v>
      </c>
      <c r="E421" s="300">
        <f>21+17+21</f>
        <v>59</v>
      </c>
      <c r="F421" s="300">
        <f t="shared" ref="F421:F422" si="429">E421*D421</f>
        <v>59</v>
      </c>
      <c r="G421" s="302">
        <f>(0.2+0.65)*2+17*0.008*2</f>
        <v>1.97</v>
      </c>
      <c r="H421" s="310" t="str">
        <f t="shared" si="422"/>
        <v/>
      </c>
      <c r="I421" s="311">
        <f t="shared" si="423"/>
        <v>116.23</v>
      </c>
      <c r="J421" s="311" t="str">
        <f t="shared" si="424"/>
        <v/>
      </c>
      <c r="K421" s="311" t="str">
        <f t="shared" si="425"/>
        <v/>
      </c>
      <c r="L421" s="310" t="str">
        <f t="shared" si="426"/>
        <v/>
      </c>
      <c r="M421" s="310" t="str">
        <f t="shared" si="427"/>
        <v/>
      </c>
      <c r="N421" s="311" t="str">
        <f t="shared" si="428"/>
        <v/>
      </c>
    </row>
    <row r="422" spans="1:14" s="294" customFormat="1">
      <c r="A422" s="297" t="s">
        <v>1517</v>
      </c>
      <c r="B422" s="301"/>
      <c r="C422" s="299" t="s">
        <v>1496</v>
      </c>
      <c r="D422" s="299">
        <v>1</v>
      </c>
      <c r="E422" s="300">
        <f>21+17+21</f>
        <v>59</v>
      </c>
      <c r="F422" s="300">
        <f t="shared" si="429"/>
        <v>59</v>
      </c>
      <c r="G422" s="302">
        <f>(0.65*2)+17*0.008*2</f>
        <v>1.57</v>
      </c>
      <c r="H422" s="310" t="str">
        <f t="shared" si="422"/>
        <v/>
      </c>
      <c r="I422" s="311">
        <f t="shared" si="423"/>
        <v>92.63</v>
      </c>
      <c r="J422" s="311" t="str">
        <f t="shared" si="424"/>
        <v/>
      </c>
      <c r="K422" s="311" t="str">
        <f t="shared" si="425"/>
        <v/>
      </c>
      <c r="L422" s="310" t="str">
        <f t="shared" si="426"/>
        <v/>
      </c>
      <c r="M422" s="310" t="str">
        <f t="shared" si="427"/>
        <v/>
      </c>
      <c r="N422" s="311" t="str">
        <f t="shared" si="428"/>
        <v/>
      </c>
    </row>
    <row r="423" spans="1:14" s="294" customFormat="1">
      <c r="A423" s="297" t="s">
        <v>1518</v>
      </c>
      <c r="B423" s="301"/>
      <c r="C423" s="299" t="s">
        <v>1492</v>
      </c>
      <c r="D423" s="299">
        <v>1</v>
      </c>
      <c r="E423" s="300">
        <v>3</v>
      </c>
      <c r="F423" s="300">
        <f>E423*D423</f>
        <v>3</v>
      </c>
      <c r="G423" s="299">
        <v>3.1</v>
      </c>
      <c r="H423" s="310" t="str">
        <f t="shared" si="422"/>
        <v/>
      </c>
      <c r="I423" s="311" t="str">
        <f t="shared" si="423"/>
        <v/>
      </c>
      <c r="J423" s="311" t="str">
        <f t="shared" si="424"/>
        <v/>
      </c>
      <c r="K423" s="311" t="str">
        <f t="shared" si="425"/>
        <v/>
      </c>
      <c r="L423" s="310">
        <f t="shared" si="426"/>
        <v>9.3000000000000007</v>
      </c>
      <c r="M423" s="310" t="str">
        <f t="shared" si="427"/>
        <v/>
      </c>
      <c r="N423" s="311" t="str">
        <f t="shared" si="428"/>
        <v/>
      </c>
    </row>
    <row r="424" spans="1:14">
      <c r="A424" s="297" t="s">
        <v>1520</v>
      </c>
      <c r="B424" s="254"/>
      <c r="C424" s="299" t="s">
        <v>1492</v>
      </c>
      <c r="D424" s="299">
        <v>1</v>
      </c>
      <c r="E424" s="300">
        <v>6</v>
      </c>
      <c r="F424" s="300">
        <f>E424*D424</f>
        <v>6</v>
      </c>
      <c r="G424" s="299">
        <v>4.5</v>
      </c>
      <c r="H424" s="310" t="str">
        <f t="shared" si="422"/>
        <v/>
      </c>
      <c r="I424" s="311" t="str">
        <f t="shared" si="423"/>
        <v/>
      </c>
      <c r="J424" s="311" t="str">
        <f t="shared" si="424"/>
        <v/>
      </c>
      <c r="K424" s="311" t="str">
        <f t="shared" si="425"/>
        <v/>
      </c>
      <c r="L424" s="310">
        <f t="shared" si="426"/>
        <v>27</v>
      </c>
      <c r="M424" s="310" t="str">
        <f t="shared" si="427"/>
        <v/>
      </c>
      <c r="N424" s="311" t="str">
        <f t="shared" si="428"/>
        <v/>
      </c>
    </row>
    <row r="425" spans="1:14">
      <c r="A425" s="253"/>
      <c r="B425" s="254"/>
      <c r="C425" s="299" t="s">
        <v>1492</v>
      </c>
      <c r="D425" s="299">
        <v>1</v>
      </c>
      <c r="E425" s="300">
        <v>3</v>
      </c>
      <c r="F425" s="300">
        <f>E425*D425</f>
        <v>3</v>
      </c>
      <c r="G425" s="299">
        <v>6.6</v>
      </c>
      <c r="H425" s="310" t="str">
        <f t="shared" si="422"/>
        <v/>
      </c>
      <c r="I425" s="311" t="str">
        <f t="shared" si="423"/>
        <v/>
      </c>
      <c r="J425" s="311" t="str">
        <f t="shared" si="424"/>
        <v/>
      </c>
      <c r="K425" s="311" t="str">
        <f t="shared" si="425"/>
        <v/>
      </c>
      <c r="L425" s="310">
        <f t="shared" si="426"/>
        <v>19.8</v>
      </c>
      <c r="M425" s="310" t="str">
        <f t="shared" si="427"/>
        <v/>
      </c>
      <c r="N425" s="311" t="str">
        <f t="shared" si="428"/>
        <v/>
      </c>
    </row>
    <row r="426" spans="1:14">
      <c r="A426" s="253"/>
      <c r="B426" s="254"/>
      <c r="C426" s="299"/>
      <c r="D426" s="299"/>
      <c r="E426" s="300"/>
      <c r="F426" s="300"/>
      <c r="G426" s="299"/>
      <c r="H426" s="312"/>
      <c r="I426" s="313"/>
      <c r="J426" s="313"/>
      <c r="K426" s="313"/>
      <c r="L426" s="312"/>
      <c r="M426" s="312"/>
      <c r="N426" s="313"/>
    </row>
    <row r="427" spans="1:14" ht="16.5">
      <c r="A427" s="303" t="s">
        <v>1657</v>
      </c>
      <c r="B427" s="254"/>
      <c r="C427" s="299"/>
      <c r="D427" s="299"/>
      <c r="E427" s="300"/>
      <c r="F427" s="300"/>
      <c r="G427" s="299"/>
      <c r="H427" s="312"/>
      <c r="I427" s="313"/>
      <c r="J427" s="313"/>
      <c r="K427" s="313"/>
      <c r="L427" s="312"/>
      <c r="M427" s="312"/>
      <c r="N427" s="313"/>
    </row>
    <row r="428" spans="1:14" s="294" customFormat="1">
      <c r="A428" s="297" t="s">
        <v>1515</v>
      </c>
      <c r="B428" s="298"/>
      <c r="C428" s="299" t="s">
        <v>1498</v>
      </c>
      <c r="D428" s="299">
        <v>1</v>
      </c>
      <c r="E428" s="300">
        <v>3</v>
      </c>
      <c r="F428" s="300">
        <f>E428*D428</f>
        <v>3</v>
      </c>
      <c r="G428" s="299">
        <f>(7.15)+17*0.016*2</f>
        <v>7.694</v>
      </c>
      <c r="H428" s="310" t="str">
        <f t="shared" ref="H428:H435" si="430">IF(C428="T6",G428*F428,"")</f>
        <v/>
      </c>
      <c r="I428" s="311" t="str">
        <f t="shared" ref="I428:I435" si="431">IF(C428="T8",F428*G428,"")</f>
        <v/>
      </c>
      <c r="J428" s="311" t="str">
        <f t="shared" ref="J428:J435" si="432">IF(C428="T10",F428*G428,"")</f>
        <v/>
      </c>
      <c r="K428" s="311" t="str">
        <f t="shared" ref="K428:K435" si="433">IF(C428="T12",F428*G428,"")</f>
        <v/>
      </c>
      <c r="L428" s="310" t="str">
        <f t="shared" ref="L428:L435" si="434">IF(C428="T14",F428*G428,"")</f>
        <v/>
      </c>
      <c r="M428" s="310">
        <f t="shared" ref="M428:M435" si="435">IF(C428="T16",G428*F428,"")</f>
        <v>23.08</v>
      </c>
      <c r="N428" s="311" t="str">
        <f t="shared" ref="N428:N435" si="436">IF(C428="T20",G428*F428,"")</f>
        <v/>
      </c>
    </row>
    <row r="429" spans="1:14" s="294" customFormat="1">
      <c r="A429" s="297" t="s">
        <v>1515</v>
      </c>
      <c r="B429" s="298"/>
      <c r="C429" s="299" t="s">
        <v>1516</v>
      </c>
      <c r="D429" s="299">
        <v>1</v>
      </c>
      <c r="E429" s="300">
        <v>3</v>
      </c>
      <c r="F429" s="300">
        <f>E429*D429</f>
        <v>3</v>
      </c>
      <c r="G429" s="299">
        <f>(7.15)+17*0.012*2</f>
        <v>7.5579999999999998</v>
      </c>
      <c r="H429" s="310" t="str">
        <f t="shared" si="430"/>
        <v/>
      </c>
      <c r="I429" s="311" t="str">
        <f t="shared" si="431"/>
        <v/>
      </c>
      <c r="J429" s="311" t="str">
        <f t="shared" si="432"/>
        <v/>
      </c>
      <c r="K429" s="311">
        <f t="shared" si="433"/>
        <v>22.67</v>
      </c>
      <c r="L429" s="310" t="str">
        <f t="shared" si="434"/>
        <v/>
      </c>
      <c r="M429" s="310" t="str">
        <f t="shared" si="435"/>
        <v/>
      </c>
      <c r="N429" s="311" t="str">
        <f t="shared" si="436"/>
        <v/>
      </c>
    </row>
    <row r="430" spans="1:14" s="294" customFormat="1">
      <c r="A430" s="297"/>
      <c r="B430" s="298"/>
      <c r="C430" s="299" t="s">
        <v>1519</v>
      </c>
      <c r="D430" s="299">
        <v>1</v>
      </c>
      <c r="E430" s="300">
        <v>2</v>
      </c>
      <c r="F430" s="300">
        <f>E430*D430</f>
        <v>2</v>
      </c>
      <c r="G430" s="299">
        <v>7.1</v>
      </c>
      <c r="H430" s="310" t="str">
        <f t="shared" si="430"/>
        <v/>
      </c>
      <c r="I430" s="311" t="str">
        <f t="shared" si="431"/>
        <v/>
      </c>
      <c r="J430" s="311">
        <f t="shared" si="432"/>
        <v>14.2</v>
      </c>
      <c r="K430" s="311" t="str">
        <f t="shared" si="433"/>
        <v/>
      </c>
      <c r="L430" s="310" t="str">
        <f t="shared" si="434"/>
        <v/>
      </c>
      <c r="M430" s="310" t="str">
        <f t="shared" si="435"/>
        <v/>
      </c>
      <c r="N430" s="311" t="str">
        <f t="shared" si="436"/>
        <v/>
      </c>
    </row>
    <row r="431" spans="1:14" s="294" customFormat="1">
      <c r="A431" s="297" t="s">
        <v>1494</v>
      </c>
      <c r="B431" s="301"/>
      <c r="C431" s="299" t="s">
        <v>1496</v>
      </c>
      <c r="D431" s="299">
        <v>1</v>
      </c>
      <c r="E431" s="300">
        <f>21+17+21</f>
        <v>59</v>
      </c>
      <c r="F431" s="300">
        <f t="shared" ref="F431:F432" si="437">E431*D431</f>
        <v>59</v>
      </c>
      <c r="G431" s="302">
        <f>(0.2+0.55)*2+17*0.008*2</f>
        <v>1.77</v>
      </c>
      <c r="H431" s="310" t="str">
        <f t="shared" si="430"/>
        <v/>
      </c>
      <c r="I431" s="311">
        <f t="shared" si="431"/>
        <v>104.43</v>
      </c>
      <c r="J431" s="311" t="str">
        <f t="shared" si="432"/>
        <v/>
      </c>
      <c r="K431" s="311" t="str">
        <f t="shared" si="433"/>
        <v/>
      </c>
      <c r="L431" s="310" t="str">
        <f t="shared" si="434"/>
        <v/>
      </c>
      <c r="M431" s="310" t="str">
        <f t="shared" si="435"/>
        <v/>
      </c>
      <c r="N431" s="311" t="str">
        <f t="shared" si="436"/>
        <v/>
      </c>
    </row>
    <row r="432" spans="1:14" s="294" customFormat="1">
      <c r="A432" s="297" t="s">
        <v>1517</v>
      </c>
      <c r="B432" s="301"/>
      <c r="C432" s="299" t="s">
        <v>1496</v>
      </c>
      <c r="D432" s="299">
        <v>1</v>
      </c>
      <c r="E432" s="300">
        <f>21+17+21</f>
        <v>59</v>
      </c>
      <c r="F432" s="300">
        <f t="shared" si="437"/>
        <v>59</v>
      </c>
      <c r="G432" s="302">
        <f>(0.55*2)+17*0.008*2</f>
        <v>1.37</v>
      </c>
      <c r="H432" s="310" t="str">
        <f t="shared" si="430"/>
        <v/>
      </c>
      <c r="I432" s="311">
        <f t="shared" si="431"/>
        <v>80.83</v>
      </c>
      <c r="J432" s="311" t="str">
        <f t="shared" si="432"/>
        <v/>
      </c>
      <c r="K432" s="311" t="str">
        <f t="shared" si="433"/>
        <v/>
      </c>
      <c r="L432" s="310" t="str">
        <f t="shared" si="434"/>
        <v/>
      </c>
      <c r="M432" s="310" t="str">
        <f t="shared" si="435"/>
        <v/>
      </c>
      <c r="N432" s="311" t="str">
        <f t="shared" si="436"/>
        <v/>
      </c>
    </row>
    <row r="433" spans="1:14" s="294" customFormat="1">
      <c r="A433" s="297" t="s">
        <v>1518</v>
      </c>
      <c r="B433" s="301"/>
      <c r="C433" s="299" t="s">
        <v>1492</v>
      </c>
      <c r="D433" s="299">
        <v>1</v>
      </c>
      <c r="E433" s="300">
        <v>3</v>
      </c>
      <c r="F433" s="300">
        <f>E433*D433</f>
        <v>3</v>
      </c>
      <c r="G433" s="299">
        <v>3.1</v>
      </c>
      <c r="H433" s="310" t="str">
        <f t="shared" si="430"/>
        <v/>
      </c>
      <c r="I433" s="311" t="str">
        <f t="shared" si="431"/>
        <v/>
      </c>
      <c r="J433" s="311" t="str">
        <f t="shared" si="432"/>
        <v/>
      </c>
      <c r="K433" s="311" t="str">
        <f t="shared" si="433"/>
        <v/>
      </c>
      <c r="L433" s="310">
        <f t="shared" si="434"/>
        <v>9.3000000000000007</v>
      </c>
      <c r="M433" s="310" t="str">
        <f t="shared" si="435"/>
        <v/>
      </c>
      <c r="N433" s="311" t="str">
        <f t="shared" si="436"/>
        <v/>
      </c>
    </row>
    <row r="434" spans="1:14">
      <c r="A434" s="297" t="s">
        <v>1520</v>
      </c>
      <c r="B434" s="254"/>
      <c r="C434" s="299" t="s">
        <v>1492</v>
      </c>
      <c r="D434" s="299">
        <v>1</v>
      </c>
      <c r="E434" s="300">
        <v>6</v>
      </c>
      <c r="F434" s="300">
        <f>E434*D434</f>
        <v>6</v>
      </c>
      <c r="G434" s="299">
        <v>4.5</v>
      </c>
      <c r="H434" s="310" t="str">
        <f t="shared" si="430"/>
        <v/>
      </c>
      <c r="I434" s="311" t="str">
        <f t="shared" si="431"/>
        <v/>
      </c>
      <c r="J434" s="311" t="str">
        <f t="shared" si="432"/>
        <v/>
      </c>
      <c r="K434" s="311" t="str">
        <f t="shared" si="433"/>
        <v/>
      </c>
      <c r="L434" s="310">
        <f t="shared" si="434"/>
        <v>27</v>
      </c>
      <c r="M434" s="310" t="str">
        <f t="shared" si="435"/>
        <v/>
      </c>
      <c r="N434" s="311" t="str">
        <f t="shared" si="436"/>
        <v/>
      </c>
    </row>
    <row r="435" spans="1:14">
      <c r="A435" s="253"/>
      <c r="B435" s="254"/>
      <c r="C435" s="299" t="s">
        <v>1492</v>
      </c>
      <c r="D435" s="299">
        <v>1</v>
      </c>
      <c r="E435" s="300">
        <v>3</v>
      </c>
      <c r="F435" s="300">
        <f>E435*D435</f>
        <v>3</v>
      </c>
      <c r="G435" s="299">
        <v>6.6</v>
      </c>
      <c r="H435" s="310" t="str">
        <f t="shared" si="430"/>
        <v/>
      </c>
      <c r="I435" s="311" t="str">
        <f t="shared" si="431"/>
        <v/>
      </c>
      <c r="J435" s="311" t="str">
        <f t="shared" si="432"/>
        <v/>
      </c>
      <c r="K435" s="311" t="str">
        <f t="shared" si="433"/>
        <v/>
      </c>
      <c r="L435" s="310">
        <f t="shared" si="434"/>
        <v>19.8</v>
      </c>
      <c r="M435" s="310" t="str">
        <f t="shared" si="435"/>
        <v/>
      </c>
      <c r="N435" s="311" t="str">
        <f t="shared" si="436"/>
        <v/>
      </c>
    </row>
    <row r="436" spans="1:14">
      <c r="A436" s="253"/>
      <c r="B436" s="254"/>
      <c r="C436" s="299"/>
      <c r="D436" s="299"/>
      <c r="E436" s="300"/>
      <c r="F436" s="300"/>
      <c r="G436" s="299"/>
      <c r="H436" s="312"/>
      <c r="I436" s="313"/>
      <c r="J436" s="313"/>
      <c r="K436" s="313"/>
      <c r="L436" s="312"/>
      <c r="M436" s="312"/>
      <c r="N436" s="313"/>
    </row>
    <row r="437" spans="1:14" ht="16.5">
      <c r="A437" s="303" t="s">
        <v>1656</v>
      </c>
      <c r="B437" s="254"/>
      <c r="C437" s="299"/>
      <c r="D437" s="299"/>
      <c r="E437" s="300"/>
      <c r="F437" s="300"/>
      <c r="G437" s="299"/>
      <c r="H437" s="312"/>
      <c r="I437" s="313"/>
      <c r="J437" s="313"/>
      <c r="K437" s="313"/>
      <c r="L437" s="312"/>
      <c r="M437" s="312"/>
      <c r="N437" s="313"/>
    </row>
    <row r="438" spans="1:14" s="294" customFormat="1">
      <c r="A438" s="297" t="s">
        <v>1515</v>
      </c>
      <c r="B438" s="298"/>
      <c r="C438" s="299" t="s">
        <v>1519</v>
      </c>
      <c r="D438" s="299">
        <v>1</v>
      </c>
      <c r="E438" s="300">
        <v>3</v>
      </c>
      <c r="F438" s="300">
        <f>E438*D438</f>
        <v>3</v>
      </c>
      <c r="G438" s="299">
        <f>(4)+17*0.01*2</f>
        <v>4.34</v>
      </c>
      <c r="H438" s="310" t="str">
        <f t="shared" ref="H438:H443" si="438">IF(C438="T6",G438*F438,"")</f>
        <v/>
      </c>
      <c r="I438" s="311" t="str">
        <f t="shared" ref="I438:I443" si="439">IF(C438="T8",F438*G438,"")</f>
        <v/>
      </c>
      <c r="J438" s="311">
        <f t="shared" ref="J438:J443" si="440">IF(C438="T10",F438*G438,"")</f>
        <v>13.02</v>
      </c>
      <c r="K438" s="311" t="str">
        <f t="shared" ref="K438:K443" si="441">IF(C438="T12",F438*G438,"")</f>
        <v/>
      </c>
      <c r="L438" s="310" t="str">
        <f t="shared" ref="L438:L443" si="442">IF(C438="T14",F438*G438,"")</f>
        <v/>
      </c>
      <c r="M438" s="310" t="str">
        <f t="shared" ref="M438:M443" si="443">IF(C438="T16",G438*F438,"")</f>
        <v/>
      </c>
      <c r="N438" s="311" t="str">
        <f t="shared" ref="N438:N443" si="444">IF(C438="T20",G438*F438,"")</f>
        <v/>
      </c>
    </row>
    <row r="439" spans="1:14" s="294" customFormat="1">
      <c r="A439" s="297" t="s">
        <v>1515</v>
      </c>
      <c r="B439" s="298"/>
      <c r="C439" s="299" t="s">
        <v>1516</v>
      </c>
      <c r="D439" s="299">
        <v>1</v>
      </c>
      <c r="E439" s="300">
        <v>3</v>
      </c>
      <c r="F439" s="300">
        <f>E439*D439</f>
        <v>3</v>
      </c>
      <c r="G439" s="299">
        <f>(4)+17*0.012*2</f>
        <v>4.4080000000000004</v>
      </c>
      <c r="H439" s="310" t="str">
        <f t="shared" si="438"/>
        <v/>
      </c>
      <c r="I439" s="311" t="str">
        <f t="shared" si="439"/>
        <v/>
      </c>
      <c r="J439" s="311" t="str">
        <f t="shared" si="440"/>
        <v/>
      </c>
      <c r="K439" s="311">
        <f t="shared" si="441"/>
        <v>13.22</v>
      </c>
      <c r="L439" s="310" t="str">
        <f t="shared" si="442"/>
        <v/>
      </c>
      <c r="M439" s="310" t="str">
        <f t="shared" si="443"/>
        <v/>
      </c>
      <c r="N439" s="311" t="str">
        <f t="shared" si="444"/>
        <v/>
      </c>
    </row>
    <row r="440" spans="1:14" s="294" customFormat="1">
      <c r="A440" s="297" t="s">
        <v>1494</v>
      </c>
      <c r="B440" s="301"/>
      <c r="C440" s="299" t="s">
        <v>1496</v>
      </c>
      <c r="D440" s="299">
        <v>1</v>
      </c>
      <c r="E440" s="300">
        <f>12+15+12</f>
        <v>39</v>
      </c>
      <c r="F440" s="300">
        <f t="shared" ref="F440:F441" si="445">E440*D440</f>
        <v>39</v>
      </c>
      <c r="G440" s="302">
        <f>(0.2+0.55)*2+17*0.008*2</f>
        <v>1.77</v>
      </c>
      <c r="H440" s="310" t="str">
        <f t="shared" si="438"/>
        <v/>
      </c>
      <c r="I440" s="311">
        <f t="shared" si="439"/>
        <v>69.03</v>
      </c>
      <c r="J440" s="311" t="str">
        <f t="shared" si="440"/>
        <v/>
      </c>
      <c r="K440" s="311" t="str">
        <f t="shared" si="441"/>
        <v/>
      </c>
      <c r="L440" s="310" t="str">
        <f t="shared" si="442"/>
        <v/>
      </c>
      <c r="M440" s="310" t="str">
        <f t="shared" si="443"/>
        <v/>
      </c>
      <c r="N440" s="311" t="str">
        <f t="shared" si="444"/>
        <v/>
      </c>
    </row>
    <row r="441" spans="1:14" s="294" customFormat="1">
      <c r="A441" s="297" t="s">
        <v>1517</v>
      </c>
      <c r="B441" s="301"/>
      <c r="C441" s="299" t="s">
        <v>1496</v>
      </c>
      <c r="D441" s="299">
        <v>1</v>
      </c>
      <c r="E441" s="300">
        <f>12+15+12</f>
        <v>39</v>
      </c>
      <c r="F441" s="300">
        <f t="shared" si="445"/>
        <v>39</v>
      </c>
      <c r="G441" s="302">
        <f>(0.55*2)+17*0.008*2</f>
        <v>1.37</v>
      </c>
      <c r="H441" s="310" t="str">
        <f t="shared" si="438"/>
        <v/>
      </c>
      <c r="I441" s="311">
        <f t="shared" si="439"/>
        <v>53.43</v>
      </c>
      <c r="J441" s="311" t="str">
        <f t="shared" si="440"/>
        <v/>
      </c>
      <c r="K441" s="311" t="str">
        <f t="shared" si="441"/>
        <v/>
      </c>
      <c r="L441" s="310" t="str">
        <f t="shared" si="442"/>
        <v/>
      </c>
      <c r="M441" s="310" t="str">
        <f t="shared" si="443"/>
        <v/>
      </c>
      <c r="N441" s="311" t="str">
        <f t="shared" si="444"/>
        <v/>
      </c>
    </row>
    <row r="442" spans="1:14">
      <c r="A442" s="297" t="s">
        <v>1520</v>
      </c>
      <c r="B442" s="254"/>
      <c r="C442" s="299" t="s">
        <v>1492</v>
      </c>
      <c r="D442" s="299">
        <v>1</v>
      </c>
      <c r="E442" s="300">
        <v>6</v>
      </c>
      <c r="F442" s="300">
        <f>E442*D442</f>
        <v>6</v>
      </c>
      <c r="G442" s="299">
        <v>3.8</v>
      </c>
      <c r="H442" s="310" t="str">
        <f t="shared" si="438"/>
        <v/>
      </c>
      <c r="I442" s="311" t="str">
        <f t="shared" si="439"/>
        <v/>
      </c>
      <c r="J442" s="311" t="str">
        <f t="shared" si="440"/>
        <v/>
      </c>
      <c r="K442" s="311" t="str">
        <f t="shared" si="441"/>
        <v/>
      </c>
      <c r="L442" s="310">
        <f t="shared" si="442"/>
        <v>22.8</v>
      </c>
      <c r="M442" s="310" t="str">
        <f t="shared" si="443"/>
        <v/>
      </c>
      <c r="N442" s="311" t="str">
        <f t="shared" si="444"/>
        <v/>
      </c>
    </row>
    <row r="443" spans="1:14">
      <c r="A443" s="253"/>
      <c r="B443" s="254"/>
      <c r="C443" s="299" t="s">
        <v>1492</v>
      </c>
      <c r="D443" s="299">
        <v>1</v>
      </c>
      <c r="E443" s="300">
        <v>3</v>
      </c>
      <c r="F443" s="300">
        <f>E443*D443</f>
        <v>3</v>
      </c>
      <c r="G443" s="299">
        <v>2.8</v>
      </c>
      <c r="H443" s="310" t="str">
        <f t="shared" si="438"/>
        <v/>
      </c>
      <c r="I443" s="311" t="str">
        <f t="shared" si="439"/>
        <v/>
      </c>
      <c r="J443" s="311" t="str">
        <f t="shared" si="440"/>
        <v/>
      </c>
      <c r="K443" s="311" t="str">
        <f t="shared" si="441"/>
        <v/>
      </c>
      <c r="L443" s="310">
        <f t="shared" si="442"/>
        <v>8.4</v>
      </c>
      <c r="M443" s="310" t="str">
        <f t="shared" si="443"/>
        <v/>
      </c>
      <c r="N443" s="311" t="str">
        <f t="shared" si="444"/>
        <v/>
      </c>
    </row>
    <row r="444" spans="1:14">
      <c r="A444" s="253"/>
      <c r="B444" s="254"/>
      <c r="C444" s="299" t="s">
        <v>1492</v>
      </c>
      <c r="D444" s="299">
        <v>1</v>
      </c>
      <c r="E444" s="300">
        <v>3</v>
      </c>
      <c r="F444" s="300">
        <f>E444*D444</f>
        <v>3</v>
      </c>
      <c r="G444" s="299">
        <v>3.5</v>
      </c>
      <c r="H444" s="310" t="str">
        <f t="shared" ref="H444" si="446">IF(C444="T6",G444*F444,"")</f>
        <v/>
      </c>
      <c r="I444" s="311" t="str">
        <f t="shared" ref="I444" si="447">IF(C444="T8",F444*G444,"")</f>
        <v/>
      </c>
      <c r="J444" s="311" t="str">
        <f t="shared" ref="J444" si="448">IF(C444="T10",F444*G444,"")</f>
        <v/>
      </c>
      <c r="K444" s="311" t="str">
        <f t="shared" ref="K444" si="449">IF(C444="T12",F444*G444,"")</f>
        <v/>
      </c>
      <c r="L444" s="310">
        <f t="shared" ref="L444" si="450">IF(C444="T14",F444*G444,"")</f>
        <v>10.5</v>
      </c>
      <c r="M444" s="310" t="str">
        <f t="shared" ref="M444" si="451">IF(C444="T16",G444*F444,"")</f>
        <v/>
      </c>
      <c r="N444" s="311" t="str">
        <f t="shared" ref="N444" si="452">IF(C444="T20",G444*F444,"")</f>
        <v/>
      </c>
    </row>
    <row r="445" spans="1:14">
      <c r="A445" s="253"/>
      <c r="B445" s="254"/>
      <c r="C445" s="299"/>
      <c r="D445" s="299"/>
      <c r="E445" s="300"/>
      <c r="F445" s="300"/>
      <c r="G445" s="299"/>
      <c r="H445" s="312"/>
      <c r="I445" s="313"/>
      <c r="J445" s="313"/>
      <c r="K445" s="313"/>
      <c r="L445" s="312"/>
      <c r="M445" s="312"/>
      <c r="N445" s="313"/>
    </row>
    <row r="446" spans="1:14" ht="16.5">
      <c r="A446" s="303" t="s">
        <v>1524</v>
      </c>
      <c r="B446" s="254"/>
      <c r="C446" s="299"/>
      <c r="D446" s="299"/>
      <c r="E446" s="300"/>
      <c r="F446" s="300"/>
      <c r="G446" s="299"/>
      <c r="H446" s="312"/>
      <c r="I446" s="313"/>
      <c r="J446" s="313"/>
      <c r="K446" s="313"/>
      <c r="L446" s="312"/>
      <c r="M446" s="312"/>
      <c r="N446" s="313"/>
    </row>
    <row r="447" spans="1:14" s="294" customFormat="1">
      <c r="A447" s="297" t="s">
        <v>1515</v>
      </c>
      <c r="B447" s="298"/>
      <c r="C447" s="299" t="s">
        <v>1519</v>
      </c>
      <c r="D447" s="299">
        <v>1</v>
      </c>
      <c r="E447" s="300">
        <v>3</v>
      </c>
      <c r="F447" s="300">
        <f>E447*D447</f>
        <v>3</v>
      </c>
      <c r="G447" s="299">
        <f>(2.79)+17*0.01*2</f>
        <v>3.13</v>
      </c>
      <c r="H447" s="310" t="str">
        <f t="shared" ref="H447:H450" si="453">IF(C447="T6",G447*F447,"")</f>
        <v/>
      </c>
      <c r="I447" s="311" t="str">
        <f t="shared" ref="I447:I450" si="454">IF(C447="T8",F447*G447,"")</f>
        <v/>
      </c>
      <c r="J447" s="311">
        <f t="shared" ref="J447:J450" si="455">IF(C447="T10",F447*G447,"")</f>
        <v>9.39</v>
      </c>
      <c r="K447" s="311" t="str">
        <f t="shared" ref="K447:K450" si="456">IF(C447="T12",F447*G447,"")</f>
        <v/>
      </c>
      <c r="L447" s="310" t="str">
        <f t="shared" ref="L447:L450" si="457">IF(C447="T14",F447*G447,"")</f>
        <v/>
      </c>
      <c r="M447" s="310" t="str">
        <f t="shared" ref="M447:M450" si="458">IF(C447="T16",G447*F447,"")</f>
        <v/>
      </c>
      <c r="N447" s="311" t="str">
        <f t="shared" ref="N447:N450" si="459">IF(C447="T20",G447*F447,"")</f>
        <v/>
      </c>
    </row>
    <row r="448" spans="1:14" s="294" customFormat="1">
      <c r="A448" s="297" t="s">
        <v>1515</v>
      </c>
      <c r="B448" s="298"/>
      <c r="C448" s="299" t="s">
        <v>1492</v>
      </c>
      <c r="D448" s="299">
        <v>1</v>
      </c>
      <c r="E448" s="300">
        <v>3</v>
      </c>
      <c r="F448" s="300">
        <f>E448*D448</f>
        <v>3</v>
      </c>
      <c r="G448" s="299">
        <f>(2.79)+17*0.014*2</f>
        <v>3.266</v>
      </c>
      <c r="H448" s="310" t="str">
        <f t="shared" si="453"/>
        <v/>
      </c>
      <c r="I448" s="311" t="str">
        <f t="shared" si="454"/>
        <v/>
      </c>
      <c r="J448" s="311" t="str">
        <f t="shared" si="455"/>
        <v/>
      </c>
      <c r="K448" s="311" t="str">
        <f t="shared" si="456"/>
        <v/>
      </c>
      <c r="L448" s="310">
        <f t="shared" si="457"/>
        <v>9.8000000000000007</v>
      </c>
      <c r="M448" s="310" t="str">
        <f t="shared" si="458"/>
        <v/>
      </c>
      <c r="N448" s="311" t="str">
        <f t="shared" si="459"/>
        <v/>
      </c>
    </row>
    <row r="449" spans="1:14" s="294" customFormat="1">
      <c r="A449" s="297" t="s">
        <v>1494</v>
      </c>
      <c r="B449" s="301"/>
      <c r="C449" s="299" t="s">
        <v>1496</v>
      </c>
      <c r="D449" s="299">
        <v>1</v>
      </c>
      <c r="E449" s="300">
        <f>2.79/0.15</f>
        <v>19</v>
      </c>
      <c r="F449" s="300">
        <f t="shared" ref="F449:F450" si="460">E449*D449</f>
        <v>19</v>
      </c>
      <c r="G449" s="302">
        <f>(0.2+0.15)*2+17*0.008*2</f>
        <v>0.97</v>
      </c>
      <c r="H449" s="310" t="str">
        <f t="shared" si="453"/>
        <v/>
      </c>
      <c r="I449" s="311">
        <f t="shared" si="454"/>
        <v>18.43</v>
      </c>
      <c r="J449" s="311" t="str">
        <f t="shared" si="455"/>
        <v/>
      </c>
      <c r="K449" s="311" t="str">
        <f t="shared" si="456"/>
        <v/>
      </c>
      <c r="L449" s="310" t="str">
        <f t="shared" si="457"/>
        <v/>
      </c>
      <c r="M449" s="310" t="str">
        <f t="shared" si="458"/>
        <v/>
      </c>
      <c r="N449" s="311" t="str">
        <f t="shared" si="459"/>
        <v/>
      </c>
    </row>
    <row r="450" spans="1:14" s="294" customFormat="1">
      <c r="A450" s="297" t="s">
        <v>1517</v>
      </c>
      <c r="B450" s="301"/>
      <c r="C450" s="299" t="s">
        <v>1496</v>
      </c>
      <c r="D450" s="299">
        <v>1</v>
      </c>
      <c r="E450" s="300">
        <v>19</v>
      </c>
      <c r="F450" s="300">
        <f t="shared" si="460"/>
        <v>19</v>
      </c>
      <c r="G450" s="302">
        <f>(0.2*2)+17*0.008*2</f>
        <v>0.67</v>
      </c>
      <c r="H450" s="310" t="str">
        <f t="shared" si="453"/>
        <v/>
      </c>
      <c r="I450" s="311">
        <f t="shared" si="454"/>
        <v>12.73</v>
      </c>
      <c r="J450" s="311" t="str">
        <f t="shared" si="455"/>
        <v/>
      </c>
      <c r="K450" s="311" t="str">
        <f t="shared" si="456"/>
        <v/>
      </c>
      <c r="L450" s="310" t="str">
        <f t="shared" si="457"/>
        <v/>
      </c>
      <c r="M450" s="310" t="str">
        <f t="shared" si="458"/>
        <v/>
      </c>
      <c r="N450" s="311" t="str">
        <f t="shared" si="459"/>
        <v/>
      </c>
    </row>
    <row r="451" spans="1:14">
      <c r="A451" s="253"/>
      <c r="B451" s="254"/>
      <c r="C451" s="299"/>
      <c r="D451" s="299"/>
      <c r="E451" s="300"/>
      <c r="F451" s="300"/>
      <c r="G451" s="299"/>
      <c r="H451" s="312"/>
      <c r="I451" s="313"/>
      <c r="J451" s="313"/>
      <c r="K451" s="313"/>
      <c r="L451" s="312"/>
      <c r="M451" s="312"/>
      <c r="N451" s="313"/>
    </row>
    <row r="452" spans="1:14" ht="16.5">
      <c r="A452" s="303" t="s">
        <v>1655</v>
      </c>
      <c r="B452" s="254"/>
      <c r="C452" s="299"/>
      <c r="D452" s="299"/>
      <c r="E452" s="300"/>
      <c r="F452" s="300"/>
      <c r="G452" s="299"/>
      <c r="H452" s="312"/>
      <c r="I452" s="313"/>
      <c r="J452" s="313"/>
      <c r="K452" s="313"/>
      <c r="L452" s="312"/>
      <c r="M452" s="312"/>
      <c r="N452" s="313"/>
    </row>
    <row r="453" spans="1:14" s="294" customFormat="1">
      <c r="A453" s="297" t="s">
        <v>1515</v>
      </c>
      <c r="B453" s="298"/>
      <c r="C453" s="299" t="s">
        <v>1498</v>
      </c>
      <c r="D453" s="299">
        <v>1</v>
      </c>
      <c r="E453" s="300">
        <v>3</v>
      </c>
      <c r="F453" s="300">
        <f>E453*D453</f>
        <v>3</v>
      </c>
      <c r="G453" s="299">
        <f>(7.15)+17*0.016*2</f>
        <v>7.694</v>
      </c>
      <c r="H453" s="310" t="str">
        <f t="shared" ref="H453:H460" si="461">IF(C453="T6",G453*F453,"")</f>
        <v/>
      </c>
      <c r="I453" s="311" t="str">
        <f t="shared" ref="I453:I460" si="462">IF(C453="T8",F453*G453,"")</f>
        <v/>
      </c>
      <c r="J453" s="311" t="str">
        <f t="shared" ref="J453:J460" si="463">IF(C453="T10",F453*G453,"")</f>
        <v/>
      </c>
      <c r="K453" s="311" t="str">
        <f t="shared" ref="K453:K460" si="464">IF(C453="T12",F453*G453,"")</f>
        <v/>
      </c>
      <c r="L453" s="310" t="str">
        <f t="shared" ref="L453:L460" si="465">IF(C453="T14",F453*G453,"")</f>
        <v/>
      </c>
      <c r="M453" s="310">
        <f t="shared" ref="M453:M460" si="466">IF(C453="T16",G453*F453,"")</f>
        <v>23.08</v>
      </c>
      <c r="N453" s="311" t="str">
        <f t="shared" ref="N453:N460" si="467">IF(C453="T20",G453*F453,"")</f>
        <v/>
      </c>
    </row>
    <row r="454" spans="1:14" s="294" customFormat="1">
      <c r="A454" s="297" t="s">
        <v>1515</v>
      </c>
      <c r="B454" s="298"/>
      <c r="C454" s="299" t="s">
        <v>1516</v>
      </c>
      <c r="D454" s="299">
        <v>1</v>
      </c>
      <c r="E454" s="300">
        <v>3</v>
      </c>
      <c r="F454" s="300">
        <f>E454*D454</f>
        <v>3</v>
      </c>
      <c r="G454" s="299">
        <f>(7.15)+17*0.012*2</f>
        <v>7.5579999999999998</v>
      </c>
      <c r="H454" s="310" t="str">
        <f t="shared" si="461"/>
        <v/>
      </c>
      <c r="I454" s="311" t="str">
        <f t="shared" si="462"/>
        <v/>
      </c>
      <c r="J454" s="311" t="str">
        <f t="shared" si="463"/>
        <v/>
      </c>
      <c r="K454" s="311">
        <f t="shared" si="464"/>
        <v>22.67</v>
      </c>
      <c r="L454" s="310" t="str">
        <f t="shared" si="465"/>
        <v/>
      </c>
      <c r="M454" s="310" t="str">
        <f t="shared" si="466"/>
        <v/>
      </c>
      <c r="N454" s="311" t="str">
        <f t="shared" si="467"/>
        <v/>
      </c>
    </row>
    <row r="455" spans="1:14" s="294" customFormat="1">
      <c r="A455" s="297"/>
      <c r="B455" s="298"/>
      <c r="C455" s="299" t="s">
        <v>1519</v>
      </c>
      <c r="D455" s="299">
        <v>1</v>
      </c>
      <c r="E455" s="300">
        <v>2</v>
      </c>
      <c r="F455" s="300">
        <f>E455*D455</f>
        <v>2</v>
      </c>
      <c r="G455" s="299">
        <v>7.1</v>
      </c>
      <c r="H455" s="310" t="str">
        <f t="shared" si="461"/>
        <v/>
      </c>
      <c r="I455" s="311" t="str">
        <f t="shared" si="462"/>
        <v/>
      </c>
      <c r="J455" s="311">
        <f t="shared" si="463"/>
        <v>14.2</v>
      </c>
      <c r="K455" s="311" t="str">
        <f t="shared" si="464"/>
        <v/>
      </c>
      <c r="L455" s="310" t="str">
        <f t="shared" si="465"/>
        <v/>
      </c>
      <c r="M455" s="310" t="str">
        <f t="shared" si="466"/>
        <v/>
      </c>
      <c r="N455" s="311" t="str">
        <f t="shared" si="467"/>
        <v/>
      </c>
    </row>
    <row r="456" spans="1:14" s="294" customFormat="1">
      <c r="A456" s="297" t="s">
        <v>1494</v>
      </c>
      <c r="B456" s="301"/>
      <c r="C456" s="299" t="s">
        <v>1496</v>
      </c>
      <c r="D456" s="299">
        <v>1</v>
      </c>
      <c r="E456" s="300">
        <f>21+17+21</f>
        <v>59</v>
      </c>
      <c r="F456" s="300">
        <f t="shared" ref="F456:F457" si="468">E456*D456</f>
        <v>59</v>
      </c>
      <c r="G456" s="302">
        <f>(0.2+0.55)*2+17*0.008*2</f>
        <v>1.77</v>
      </c>
      <c r="H456" s="310" t="str">
        <f t="shared" si="461"/>
        <v/>
      </c>
      <c r="I456" s="311">
        <f t="shared" si="462"/>
        <v>104.43</v>
      </c>
      <c r="J456" s="311" t="str">
        <f t="shared" si="463"/>
        <v/>
      </c>
      <c r="K456" s="311" t="str">
        <f t="shared" si="464"/>
        <v/>
      </c>
      <c r="L456" s="310" t="str">
        <f t="shared" si="465"/>
        <v/>
      </c>
      <c r="M456" s="310" t="str">
        <f t="shared" si="466"/>
        <v/>
      </c>
      <c r="N456" s="311" t="str">
        <f t="shared" si="467"/>
        <v/>
      </c>
    </row>
    <row r="457" spans="1:14" s="294" customFormat="1">
      <c r="A457" s="297" t="s">
        <v>1517</v>
      </c>
      <c r="B457" s="301"/>
      <c r="C457" s="299" t="s">
        <v>1496</v>
      </c>
      <c r="D457" s="299">
        <v>1</v>
      </c>
      <c r="E457" s="300">
        <f>21+17+21</f>
        <v>59</v>
      </c>
      <c r="F457" s="300">
        <f t="shared" si="468"/>
        <v>59</v>
      </c>
      <c r="G457" s="302">
        <f>(0.55*2)+17*0.008*2</f>
        <v>1.37</v>
      </c>
      <c r="H457" s="310" t="str">
        <f t="shared" si="461"/>
        <v/>
      </c>
      <c r="I457" s="311">
        <f t="shared" si="462"/>
        <v>80.83</v>
      </c>
      <c r="J457" s="311" t="str">
        <f t="shared" si="463"/>
        <v/>
      </c>
      <c r="K457" s="311" t="str">
        <f t="shared" si="464"/>
        <v/>
      </c>
      <c r="L457" s="310" t="str">
        <f t="shared" si="465"/>
        <v/>
      </c>
      <c r="M457" s="310" t="str">
        <f t="shared" si="466"/>
        <v/>
      </c>
      <c r="N457" s="311" t="str">
        <f t="shared" si="467"/>
        <v/>
      </c>
    </row>
    <row r="458" spans="1:14" s="294" customFormat="1">
      <c r="A458" s="297" t="s">
        <v>1518</v>
      </c>
      <c r="B458" s="301"/>
      <c r="C458" s="299" t="s">
        <v>1492</v>
      </c>
      <c r="D458" s="299">
        <v>1</v>
      </c>
      <c r="E458" s="300">
        <v>3</v>
      </c>
      <c r="F458" s="300">
        <f>E458*D458</f>
        <v>3</v>
      </c>
      <c r="G458" s="299">
        <v>3.1</v>
      </c>
      <c r="H458" s="310" t="str">
        <f t="shared" si="461"/>
        <v/>
      </c>
      <c r="I458" s="311" t="str">
        <f t="shared" si="462"/>
        <v/>
      </c>
      <c r="J458" s="311" t="str">
        <f t="shared" si="463"/>
        <v/>
      </c>
      <c r="K458" s="311" t="str">
        <f t="shared" si="464"/>
        <v/>
      </c>
      <c r="L458" s="310">
        <f t="shared" si="465"/>
        <v>9.3000000000000007</v>
      </c>
      <c r="M458" s="310" t="str">
        <f t="shared" si="466"/>
        <v/>
      </c>
      <c r="N458" s="311" t="str">
        <f t="shared" si="467"/>
        <v/>
      </c>
    </row>
    <row r="459" spans="1:14">
      <c r="A459" s="297" t="s">
        <v>1520</v>
      </c>
      <c r="B459" s="254"/>
      <c r="C459" s="299" t="s">
        <v>1492</v>
      </c>
      <c r="D459" s="299">
        <v>1</v>
      </c>
      <c r="E459" s="300">
        <v>6</v>
      </c>
      <c r="F459" s="300">
        <f>E459*D459</f>
        <v>6</v>
      </c>
      <c r="G459" s="299">
        <v>4.5</v>
      </c>
      <c r="H459" s="310" t="str">
        <f t="shared" si="461"/>
        <v/>
      </c>
      <c r="I459" s="311" t="str">
        <f t="shared" si="462"/>
        <v/>
      </c>
      <c r="J459" s="311" t="str">
        <f t="shared" si="463"/>
        <v/>
      </c>
      <c r="K459" s="311" t="str">
        <f t="shared" si="464"/>
        <v/>
      </c>
      <c r="L459" s="310">
        <f t="shared" si="465"/>
        <v>27</v>
      </c>
      <c r="M459" s="310" t="str">
        <f t="shared" si="466"/>
        <v/>
      </c>
      <c r="N459" s="311" t="str">
        <f t="shared" si="467"/>
        <v/>
      </c>
    </row>
    <row r="460" spans="1:14">
      <c r="A460" s="253"/>
      <c r="B460" s="254"/>
      <c r="C460" s="299" t="s">
        <v>1492</v>
      </c>
      <c r="D460" s="299">
        <v>1</v>
      </c>
      <c r="E460" s="300">
        <v>3</v>
      </c>
      <c r="F460" s="300">
        <f>E460*D460</f>
        <v>3</v>
      </c>
      <c r="G460" s="299">
        <v>6.6</v>
      </c>
      <c r="H460" s="310" t="str">
        <f t="shared" si="461"/>
        <v/>
      </c>
      <c r="I460" s="311" t="str">
        <f t="shared" si="462"/>
        <v/>
      </c>
      <c r="J460" s="311" t="str">
        <f t="shared" si="463"/>
        <v/>
      </c>
      <c r="K460" s="311" t="str">
        <f t="shared" si="464"/>
        <v/>
      </c>
      <c r="L460" s="310">
        <f t="shared" si="465"/>
        <v>19.8</v>
      </c>
      <c r="M460" s="310" t="str">
        <f t="shared" si="466"/>
        <v/>
      </c>
      <c r="N460" s="311" t="str">
        <f t="shared" si="467"/>
        <v/>
      </c>
    </row>
    <row r="461" spans="1:14">
      <c r="A461" s="253"/>
      <c r="B461" s="254"/>
      <c r="C461" s="299"/>
      <c r="D461" s="299"/>
      <c r="E461" s="300"/>
      <c r="F461" s="300"/>
      <c r="G461" s="299"/>
      <c r="H461" s="312"/>
      <c r="I461" s="313"/>
      <c r="J461" s="313"/>
      <c r="K461" s="313"/>
      <c r="L461" s="312"/>
      <c r="M461" s="312"/>
      <c r="N461" s="313"/>
    </row>
    <row r="462" spans="1:14" ht="16.5">
      <c r="A462" s="303" t="s">
        <v>1654</v>
      </c>
      <c r="B462" s="254"/>
      <c r="C462" s="299"/>
      <c r="D462" s="299"/>
      <c r="E462" s="300"/>
      <c r="F462" s="300"/>
      <c r="G462" s="299"/>
      <c r="H462" s="312"/>
      <c r="I462" s="313"/>
      <c r="J462" s="313"/>
      <c r="K462" s="313"/>
      <c r="L462" s="312"/>
      <c r="M462" s="312"/>
      <c r="N462" s="313"/>
    </row>
    <row r="463" spans="1:14" s="294" customFormat="1">
      <c r="A463" s="297" t="s">
        <v>1515</v>
      </c>
      <c r="B463" s="298"/>
      <c r="C463" s="299" t="s">
        <v>1519</v>
      </c>
      <c r="D463" s="299">
        <v>1</v>
      </c>
      <c r="E463" s="300">
        <v>3</v>
      </c>
      <c r="F463" s="300">
        <f>E463*D463</f>
        <v>3</v>
      </c>
      <c r="G463" s="299">
        <f>(4)+17*0.01*2</f>
        <v>4.34</v>
      </c>
      <c r="H463" s="310" t="str">
        <f t="shared" ref="H463:H469" si="469">IF(C463="T6",G463*F463,"")</f>
        <v/>
      </c>
      <c r="I463" s="311" t="str">
        <f t="shared" ref="I463:I469" si="470">IF(C463="T8",F463*G463,"")</f>
        <v/>
      </c>
      <c r="J463" s="311">
        <f t="shared" ref="J463:J469" si="471">IF(C463="T10",F463*G463,"")</f>
        <v>13.02</v>
      </c>
      <c r="K463" s="311" t="str">
        <f t="shared" ref="K463:K469" si="472">IF(C463="T12",F463*G463,"")</f>
        <v/>
      </c>
      <c r="L463" s="310" t="str">
        <f t="shared" ref="L463:L469" si="473">IF(C463="T14",F463*G463,"")</f>
        <v/>
      </c>
      <c r="M463" s="310" t="str">
        <f t="shared" ref="M463:M469" si="474">IF(C463="T16",G463*F463,"")</f>
        <v/>
      </c>
      <c r="N463" s="311" t="str">
        <f t="shared" ref="N463:N469" si="475">IF(C463="T20",G463*F463,"")</f>
        <v/>
      </c>
    </row>
    <row r="464" spans="1:14" s="294" customFormat="1">
      <c r="A464" s="297" t="s">
        <v>1515</v>
      </c>
      <c r="B464" s="298"/>
      <c r="C464" s="299" t="s">
        <v>1516</v>
      </c>
      <c r="D464" s="299">
        <v>1</v>
      </c>
      <c r="E464" s="300">
        <v>3</v>
      </c>
      <c r="F464" s="300">
        <f>E464*D464</f>
        <v>3</v>
      </c>
      <c r="G464" s="299">
        <f>(4)+17*0.012*2</f>
        <v>4.4080000000000004</v>
      </c>
      <c r="H464" s="310" t="str">
        <f t="shared" si="469"/>
        <v/>
      </c>
      <c r="I464" s="311" t="str">
        <f t="shared" si="470"/>
        <v/>
      </c>
      <c r="J464" s="311" t="str">
        <f t="shared" si="471"/>
        <v/>
      </c>
      <c r="K464" s="311">
        <f t="shared" si="472"/>
        <v>13.22</v>
      </c>
      <c r="L464" s="310" t="str">
        <f t="shared" si="473"/>
        <v/>
      </c>
      <c r="M464" s="310" t="str">
        <f t="shared" si="474"/>
        <v/>
      </c>
      <c r="N464" s="311" t="str">
        <f t="shared" si="475"/>
        <v/>
      </c>
    </row>
    <row r="465" spans="1:14" s="294" customFormat="1">
      <c r="A465" s="297" t="s">
        <v>1494</v>
      </c>
      <c r="B465" s="301"/>
      <c r="C465" s="299" t="s">
        <v>1496</v>
      </c>
      <c r="D465" s="299">
        <v>1</v>
      </c>
      <c r="E465" s="300">
        <f>12+15+12</f>
        <v>39</v>
      </c>
      <c r="F465" s="300">
        <f t="shared" ref="F465:F466" si="476">E465*D465</f>
        <v>39</v>
      </c>
      <c r="G465" s="302">
        <f>(0.2+0.3)*2+17*0.008*2</f>
        <v>1.27</v>
      </c>
      <c r="H465" s="310" t="str">
        <f t="shared" si="469"/>
        <v/>
      </c>
      <c r="I465" s="311">
        <f t="shared" si="470"/>
        <v>49.53</v>
      </c>
      <c r="J465" s="311" t="str">
        <f t="shared" si="471"/>
        <v/>
      </c>
      <c r="K465" s="311" t="str">
        <f t="shared" si="472"/>
        <v/>
      </c>
      <c r="L465" s="310" t="str">
        <f t="shared" si="473"/>
        <v/>
      </c>
      <c r="M465" s="310" t="str">
        <f t="shared" si="474"/>
        <v/>
      </c>
      <c r="N465" s="311" t="str">
        <f t="shared" si="475"/>
        <v/>
      </c>
    </row>
    <row r="466" spans="1:14" s="294" customFormat="1">
      <c r="A466" s="297" t="s">
        <v>1517</v>
      </c>
      <c r="B466" s="301"/>
      <c r="C466" s="299" t="s">
        <v>1496</v>
      </c>
      <c r="D466" s="299">
        <v>1</v>
      </c>
      <c r="E466" s="300">
        <f>12+15+12</f>
        <v>39</v>
      </c>
      <c r="F466" s="300">
        <f t="shared" si="476"/>
        <v>39</v>
      </c>
      <c r="G466" s="302">
        <f>(0.3*2)+17*0.008*2</f>
        <v>0.87</v>
      </c>
      <c r="H466" s="310" t="str">
        <f t="shared" si="469"/>
        <v/>
      </c>
      <c r="I466" s="311">
        <f t="shared" si="470"/>
        <v>33.93</v>
      </c>
      <c r="J466" s="311" t="str">
        <f t="shared" si="471"/>
        <v/>
      </c>
      <c r="K466" s="311" t="str">
        <f t="shared" si="472"/>
        <v/>
      </c>
      <c r="L466" s="310" t="str">
        <f t="shared" si="473"/>
        <v/>
      </c>
      <c r="M466" s="310" t="str">
        <f t="shared" si="474"/>
        <v/>
      </c>
      <c r="N466" s="311" t="str">
        <f t="shared" si="475"/>
        <v/>
      </c>
    </row>
    <row r="467" spans="1:14" s="294" customFormat="1">
      <c r="A467" s="297" t="s">
        <v>1518</v>
      </c>
      <c r="B467" s="301"/>
      <c r="C467" s="299" t="s">
        <v>1492</v>
      </c>
      <c r="D467" s="299">
        <v>1</v>
      </c>
      <c r="E467" s="300">
        <v>6</v>
      </c>
      <c r="F467" s="300">
        <f>E467*D467</f>
        <v>6</v>
      </c>
      <c r="G467" s="299">
        <v>1.6</v>
      </c>
      <c r="H467" s="310" t="str">
        <f t="shared" si="469"/>
        <v/>
      </c>
      <c r="I467" s="311" t="str">
        <f t="shared" si="470"/>
        <v/>
      </c>
      <c r="J467" s="311" t="str">
        <f t="shared" si="471"/>
        <v/>
      </c>
      <c r="K467" s="311" t="str">
        <f t="shared" si="472"/>
        <v/>
      </c>
      <c r="L467" s="310">
        <f t="shared" si="473"/>
        <v>9.6</v>
      </c>
      <c r="M467" s="310" t="str">
        <f t="shared" si="474"/>
        <v/>
      </c>
      <c r="N467" s="311" t="str">
        <f t="shared" si="475"/>
        <v/>
      </c>
    </row>
    <row r="468" spans="1:14">
      <c r="A468" s="297" t="s">
        <v>1520</v>
      </c>
      <c r="B468" s="254"/>
      <c r="C468" s="299" t="s">
        <v>1492</v>
      </c>
      <c r="D468" s="299">
        <v>1</v>
      </c>
      <c r="E468" s="300">
        <v>3</v>
      </c>
      <c r="F468" s="300">
        <f>E468*D468</f>
        <v>3</v>
      </c>
      <c r="G468" s="299">
        <v>1.6</v>
      </c>
      <c r="H468" s="310" t="str">
        <f t="shared" si="469"/>
        <v/>
      </c>
      <c r="I468" s="311" t="str">
        <f t="shared" si="470"/>
        <v/>
      </c>
      <c r="J468" s="311" t="str">
        <f t="shared" si="471"/>
        <v/>
      </c>
      <c r="K468" s="311" t="str">
        <f t="shared" si="472"/>
        <v/>
      </c>
      <c r="L468" s="310">
        <f t="shared" si="473"/>
        <v>4.8</v>
      </c>
      <c r="M468" s="310" t="str">
        <f t="shared" si="474"/>
        <v/>
      </c>
      <c r="N468" s="311" t="str">
        <f t="shared" si="475"/>
        <v/>
      </c>
    </row>
    <row r="469" spans="1:14">
      <c r="A469" s="253"/>
      <c r="B469" s="254"/>
      <c r="C469" s="299" t="s">
        <v>1519</v>
      </c>
      <c r="D469" s="299">
        <v>1</v>
      </c>
      <c r="E469" s="300">
        <v>3</v>
      </c>
      <c r="F469" s="300">
        <f>E469*D469</f>
        <v>3</v>
      </c>
      <c r="G469" s="299">
        <v>3.5</v>
      </c>
      <c r="H469" s="310" t="str">
        <f t="shared" si="469"/>
        <v/>
      </c>
      <c r="I469" s="311" t="str">
        <f t="shared" si="470"/>
        <v/>
      </c>
      <c r="J469" s="311">
        <f t="shared" si="471"/>
        <v>10.5</v>
      </c>
      <c r="K469" s="311" t="str">
        <f t="shared" si="472"/>
        <v/>
      </c>
      <c r="L469" s="310" t="str">
        <f t="shared" si="473"/>
        <v/>
      </c>
      <c r="M469" s="310" t="str">
        <f t="shared" si="474"/>
        <v/>
      </c>
      <c r="N469" s="311" t="str">
        <f t="shared" si="475"/>
        <v/>
      </c>
    </row>
    <row r="470" spans="1:14">
      <c r="A470" s="253"/>
      <c r="B470" s="254"/>
      <c r="C470" s="299"/>
      <c r="D470" s="299"/>
      <c r="E470" s="300"/>
      <c r="F470" s="300"/>
      <c r="G470" s="299"/>
      <c r="H470" s="312"/>
      <c r="I470" s="313"/>
      <c r="J470" s="313"/>
      <c r="K470" s="313"/>
      <c r="L470" s="312"/>
      <c r="M470" s="312"/>
      <c r="N470" s="313"/>
    </row>
    <row r="471" spans="1:14" ht="16.5">
      <c r="A471" s="303" t="s">
        <v>1653</v>
      </c>
      <c r="B471" s="254"/>
      <c r="C471" s="299"/>
      <c r="D471" s="299"/>
      <c r="E471" s="300"/>
      <c r="F471" s="300"/>
      <c r="G471" s="299"/>
      <c r="H471" s="312"/>
      <c r="I471" s="313"/>
      <c r="J471" s="313"/>
      <c r="K471" s="313"/>
      <c r="L471" s="312"/>
      <c r="M471" s="312"/>
      <c r="N471" s="313"/>
    </row>
    <row r="472" spans="1:14" s="294" customFormat="1">
      <c r="A472" s="297" t="s">
        <v>1515</v>
      </c>
      <c r="B472" s="298"/>
      <c r="C472" s="299" t="s">
        <v>1519</v>
      </c>
      <c r="D472" s="299">
        <v>1</v>
      </c>
      <c r="E472" s="300">
        <v>3</v>
      </c>
      <c r="F472" s="300">
        <f>E472*D472</f>
        <v>3</v>
      </c>
      <c r="G472" s="299">
        <f>(5.8)+17*0.01*2</f>
        <v>6.14</v>
      </c>
      <c r="H472" s="310" t="str">
        <f t="shared" ref="H472:H479" si="477">IF(C472="T6",G472*F472,"")</f>
        <v/>
      </c>
      <c r="I472" s="311" t="str">
        <f t="shared" ref="I472:I479" si="478">IF(C472="T8",F472*G472,"")</f>
        <v/>
      </c>
      <c r="J472" s="311">
        <f t="shared" ref="J472:J479" si="479">IF(C472="T10",F472*G472,"")</f>
        <v>18.420000000000002</v>
      </c>
      <c r="K472" s="311" t="str">
        <f t="shared" ref="K472:K479" si="480">IF(C472="T12",F472*G472,"")</f>
        <v/>
      </c>
      <c r="L472" s="310" t="str">
        <f t="shared" ref="L472:L479" si="481">IF(C472="T14",F472*G472,"")</f>
        <v/>
      </c>
      <c r="M472" s="310" t="str">
        <f t="shared" ref="M472:M479" si="482">IF(C472="T16",G472*F472,"")</f>
        <v/>
      </c>
      <c r="N472" s="311" t="str">
        <f t="shared" ref="N472:N479" si="483">IF(C472="T20",G472*F472,"")</f>
        <v/>
      </c>
    </row>
    <row r="473" spans="1:14" s="294" customFormat="1">
      <c r="A473" s="297" t="s">
        <v>1515</v>
      </c>
      <c r="B473" s="298"/>
      <c r="C473" s="299" t="s">
        <v>1492</v>
      </c>
      <c r="D473" s="299">
        <v>1</v>
      </c>
      <c r="E473" s="300">
        <v>3</v>
      </c>
      <c r="F473" s="300">
        <f>E473*D473</f>
        <v>3</v>
      </c>
      <c r="G473" s="299">
        <f>(5.8)+17*0.014*2</f>
        <v>6.2759999999999998</v>
      </c>
      <c r="H473" s="310" t="str">
        <f t="shared" si="477"/>
        <v/>
      </c>
      <c r="I473" s="311" t="str">
        <f t="shared" si="478"/>
        <v/>
      </c>
      <c r="J473" s="311" t="str">
        <f t="shared" si="479"/>
        <v/>
      </c>
      <c r="K473" s="311" t="str">
        <f t="shared" si="480"/>
        <v/>
      </c>
      <c r="L473" s="310">
        <f t="shared" si="481"/>
        <v>18.829999999999998</v>
      </c>
      <c r="M473" s="310" t="str">
        <f t="shared" si="482"/>
        <v/>
      </c>
      <c r="N473" s="311" t="str">
        <f t="shared" si="483"/>
        <v/>
      </c>
    </row>
    <row r="474" spans="1:14" s="294" customFormat="1">
      <c r="A474" s="297"/>
      <c r="B474" s="298"/>
      <c r="C474" s="299" t="s">
        <v>1519</v>
      </c>
      <c r="D474" s="299">
        <v>1</v>
      </c>
      <c r="E474" s="300">
        <v>2</v>
      </c>
      <c r="F474" s="300">
        <f>E474*D474</f>
        <v>2</v>
      </c>
      <c r="G474" s="299">
        <v>5.8</v>
      </c>
      <c r="H474" s="310" t="str">
        <f t="shared" si="477"/>
        <v/>
      </c>
      <c r="I474" s="311" t="str">
        <f t="shared" si="478"/>
        <v/>
      </c>
      <c r="J474" s="311">
        <f t="shared" si="479"/>
        <v>11.6</v>
      </c>
      <c r="K474" s="311" t="str">
        <f t="shared" si="480"/>
        <v/>
      </c>
      <c r="L474" s="310" t="str">
        <f t="shared" si="481"/>
        <v/>
      </c>
      <c r="M474" s="310" t="str">
        <f t="shared" si="482"/>
        <v/>
      </c>
      <c r="N474" s="311" t="str">
        <f t="shared" si="483"/>
        <v/>
      </c>
    </row>
    <row r="475" spans="1:14" s="294" customFormat="1">
      <c r="A475" s="297" t="s">
        <v>1494</v>
      </c>
      <c r="B475" s="301"/>
      <c r="C475" s="299" t="s">
        <v>1496</v>
      </c>
      <c r="D475" s="299">
        <v>1</v>
      </c>
      <c r="E475" s="300">
        <f>15+15+16</f>
        <v>46</v>
      </c>
      <c r="F475" s="300">
        <f t="shared" ref="F475:F476" si="484">E475*D475</f>
        <v>46</v>
      </c>
      <c r="G475" s="302">
        <f>(0.2+0.55)*2+17*0.008*2</f>
        <v>1.77</v>
      </c>
      <c r="H475" s="310" t="str">
        <f t="shared" si="477"/>
        <v/>
      </c>
      <c r="I475" s="311">
        <f t="shared" si="478"/>
        <v>81.42</v>
      </c>
      <c r="J475" s="311" t="str">
        <f t="shared" si="479"/>
        <v/>
      </c>
      <c r="K475" s="311" t="str">
        <f t="shared" si="480"/>
        <v/>
      </c>
      <c r="L475" s="310" t="str">
        <f t="shared" si="481"/>
        <v/>
      </c>
      <c r="M475" s="310" t="str">
        <f t="shared" si="482"/>
        <v/>
      </c>
      <c r="N475" s="311" t="str">
        <f t="shared" si="483"/>
        <v/>
      </c>
    </row>
    <row r="476" spans="1:14" s="294" customFormat="1">
      <c r="A476" s="297" t="s">
        <v>1517</v>
      </c>
      <c r="B476" s="301"/>
      <c r="C476" s="299" t="s">
        <v>1496</v>
      </c>
      <c r="D476" s="299">
        <v>1</v>
      </c>
      <c r="E476" s="300">
        <f>15+15+16</f>
        <v>46</v>
      </c>
      <c r="F476" s="300">
        <f t="shared" si="484"/>
        <v>46</v>
      </c>
      <c r="G476" s="302">
        <f>(0.55*2)+17*0.008*2</f>
        <v>1.37</v>
      </c>
      <c r="H476" s="310" t="str">
        <f t="shared" si="477"/>
        <v/>
      </c>
      <c r="I476" s="311">
        <f t="shared" si="478"/>
        <v>63.02</v>
      </c>
      <c r="J476" s="311" t="str">
        <f t="shared" si="479"/>
        <v/>
      </c>
      <c r="K476" s="311" t="str">
        <f t="shared" si="480"/>
        <v/>
      </c>
      <c r="L476" s="310" t="str">
        <f t="shared" si="481"/>
        <v/>
      </c>
      <c r="M476" s="310" t="str">
        <f t="shared" si="482"/>
        <v/>
      </c>
      <c r="N476" s="311" t="str">
        <f t="shared" si="483"/>
        <v/>
      </c>
    </row>
    <row r="477" spans="1:14" s="294" customFormat="1">
      <c r="A477" s="297" t="s">
        <v>1518</v>
      </c>
      <c r="B477" s="301"/>
      <c r="C477" s="299" t="s">
        <v>1516</v>
      </c>
      <c r="D477" s="299">
        <v>1</v>
      </c>
      <c r="E477" s="300">
        <v>3</v>
      </c>
      <c r="F477" s="300">
        <f>E477*D477</f>
        <v>3</v>
      </c>
      <c r="G477" s="299">
        <v>1.5</v>
      </c>
      <c r="H477" s="310" t="str">
        <f t="shared" si="477"/>
        <v/>
      </c>
      <c r="I477" s="311" t="str">
        <f t="shared" si="478"/>
        <v/>
      </c>
      <c r="J477" s="311" t="str">
        <f t="shared" si="479"/>
        <v/>
      </c>
      <c r="K477" s="311">
        <f t="shared" si="480"/>
        <v>4.5</v>
      </c>
      <c r="L477" s="310" t="str">
        <f t="shared" si="481"/>
        <v/>
      </c>
      <c r="M477" s="310" t="str">
        <f t="shared" si="482"/>
        <v/>
      </c>
      <c r="N477" s="311" t="str">
        <f t="shared" si="483"/>
        <v/>
      </c>
    </row>
    <row r="478" spans="1:14">
      <c r="A478" s="297" t="s">
        <v>1520</v>
      </c>
      <c r="B478" s="254"/>
      <c r="C478" s="299" t="s">
        <v>1492</v>
      </c>
      <c r="D478" s="299">
        <v>1</v>
      </c>
      <c r="E478" s="300">
        <v>3</v>
      </c>
      <c r="F478" s="300">
        <f>E478*D478</f>
        <v>3</v>
      </c>
      <c r="G478" s="299">
        <v>3.5</v>
      </c>
      <c r="H478" s="310" t="str">
        <f t="shared" si="477"/>
        <v/>
      </c>
      <c r="I478" s="311" t="str">
        <f t="shared" si="478"/>
        <v/>
      </c>
      <c r="J478" s="311" t="str">
        <f t="shared" si="479"/>
        <v/>
      </c>
      <c r="K478" s="311" t="str">
        <f t="shared" si="480"/>
        <v/>
      </c>
      <c r="L478" s="310">
        <f t="shared" si="481"/>
        <v>10.5</v>
      </c>
      <c r="M478" s="310" t="str">
        <f t="shared" si="482"/>
        <v/>
      </c>
      <c r="N478" s="311" t="str">
        <f t="shared" si="483"/>
        <v/>
      </c>
    </row>
    <row r="479" spans="1:14">
      <c r="A479" s="253"/>
      <c r="B479" s="254"/>
      <c r="C479" s="299" t="s">
        <v>1516</v>
      </c>
      <c r="D479" s="299">
        <v>1</v>
      </c>
      <c r="E479" s="300">
        <v>3</v>
      </c>
      <c r="F479" s="300">
        <f>E479*D479</f>
        <v>3</v>
      </c>
      <c r="G479" s="299">
        <v>5.4</v>
      </c>
      <c r="H479" s="310" t="str">
        <f t="shared" si="477"/>
        <v/>
      </c>
      <c r="I479" s="311" t="str">
        <f t="shared" si="478"/>
        <v/>
      </c>
      <c r="J479" s="311" t="str">
        <f t="shared" si="479"/>
        <v/>
      </c>
      <c r="K479" s="311">
        <f t="shared" si="480"/>
        <v>16.2</v>
      </c>
      <c r="L479" s="310" t="str">
        <f t="shared" si="481"/>
        <v/>
      </c>
      <c r="M479" s="310" t="str">
        <f t="shared" si="482"/>
        <v/>
      </c>
      <c r="N479" s="311" t="str">
        <f t="shared" si="483"/>
        <v/>
      </c>
    </row>
    <row r="480" spans="1:14">
      <c r="A480" s="253"/>
      <c r="B480" s="254"/>
      <c r="C480" s="299"/>
      <c r="D480" s="299"/>
      <c r="E480" s="300"/>
      <c r="F480" s="300"/>
      <c r="G480" s="299"/>
      <c r="H480" s="312"/>
      <c r="I480" s="313"/>
      <c r="J480" s="313"/>
      <c r="K480" s="313"/>
      <c r="L480" s="312"/>
      <c r="M480" s="312"/>
      <c r="N480" s="313"/>
    </row>
    <row r="481" spans="1:14" ht="16.5">
      <c r="A481" s="303" t="s">
        <v>1652</v>
      </c>
      <c r="B481" s="254"/>
      <c r="C481" s="299"/>
      <c r="D481" s="299"/>
      <c r="E481" s="300"/>
      <c r="F481" s="300"/>
      <c r="G481" s="299"/>
      <c r="H481" s="312"/>
      <c r="I481" s="313"/>
      <c r="J481" s="313"/>
      <c r="K481" s="313"/>
      <c r="L481" s="312"/>
      <c r="M481" s="312"/>
      <c r="N481" s="313"/>
    </row>
    <row r="482" spans="1:14" s="294" customFormat="1">
      <c r="A482" s="297" t="s">
        <v>1515</v>
      </c>
      <c r="B482" s="298"/>
      <c r="C482" s="299" t="s">
        <v>1519</v>
      </c>
      <c r="D482" s="299">
        <v>1</v>
      </c>
      <c r="E482" s="300">
        <v>3</v>
      </c>
      <c r="F482" s="300">
        <f>E482*D482</f>
        <v>3</v>
      </c>
      <c r="G482" s="299">
        <f>(4.25)+17*0.01*2</f>
        <v>4.59</v>
      </c>
      <c r="H482" s="310" t="str">
        <f t="shared" ref="H482:H487" si="485">IF(C482="T6",G482*F482,"")</f>
        <v/>
      </c>
      <c r="I482" s="311" t="str">
        <f t="shared" ref="I482:I487" si="486">IF(C482="T8",F482*G482,"")</f>
        <v/>
      </c>
      <c r="J482" s="311">
        <f t="shared" ref="J482:J487" si="487">IF(C482="T10",F482*G482,"")</f>
        <v>13.77</v>
      </c>
      <c r="K482" s="311" t="str">
        <f t="shared" ref="K482:K487" si="488">IF(C482="T12",F482*G482,"")</f>
        <v/>
      </c>
      <c r="L482" s="310" t="str">
        <f t="shared" ref="L482:L487" si="489">IF(C482="T14",F482*G482,"")</f>
        <v/>
      </c>
      <c r="M482" s="310" t="str">
        <f t="shared" ref="M482:M487" si="490">IF(C482="T16",G482*F482,"")</f>
        <v/>
      </c>
      <c r="N482" s="311" t="str">
        <f t="shared" ref="N482:N487" si="491">IF(C482="T20",G482*F482,"")</f>
        <v/>
      </c>
    </row>
    <row r="483" spans="1:14" s="294" customFormat="1">
      <c r="A483" s="297" t="s">
        <v>1515</v>
      </c>
      <c r="B483" s="298"/>
      <c r="C483" s="299" t="s">
        <v>1516</v>
      </c>
      <c r="D483" s="299">
        <v>1</v>
      </c>
      <c r="E483" s="300">
        <v>3</v>
      </c>
      <c r="F483" s="300">
        <f>E483*D483</f>
        <v>3</v>
      </c>
      <c r="G483" s="299">
        <f>(4.25)+17*0.012*2</f>
        <v>4.6580000000000004</v>
      </c>
      <c r="H483" s="310" t="str">
        <f t="shared" si="485"/>
        <v/>
      </c>
      <c r="I483" s="311" t="str">
        <f t="shared" si="486"/>
        <v/>
      </c>
      <c r="J483" s="311" t="str">
        <f t="shared" si="487"/>
        <v/>
      </c>
      <c r="K483" s="311">
        <f t="shared" si="488"/>
        <v>13.97</v>
      </c>
      <c r="L483" s="310" t="str">
        <f t="shared" si="489"/>
        <v/>
      </c>
      <c r="M483" s="310" t="str">
        <f t="shared" si="490"/>
        <v/>
      </c>
      <c r="N483" s="311" t="str">
        <f t="shared" si="491"/>
        <v/>
      </c>
    </row>
    <row r="484" spans="1:14" s="294" customFormat="1">
      <c r="A484" s="297" t="s">
        <v>1494</v>
      </c>
      <c r="B484" s="301"/>
      <c r="C484" s="299" t="s">
        <v>1496</v>
      </c>
      <c r="D484" s="299">
        <v>1</v>
      </c>
      <c r="E484" s="300">
        <f>13+20+13</f>
        <v>46</v>
      </c>
      <c r="F484" s="300">
        <f t="shared" ref="F484:F485" si="492">E484*D484</f>
        <v>46</v>
      </c>
      <c r="G484" s="302">
        <f>(0.2+0.35)*2+17*0.008*2</f>
        <v>1.37</v>
      </c>
      <c r="H484" s="310" t="str">
        <f t="shared" si="485"/>
        <v/>
      </c>
      <c r="I484" s="311">
        <f t="shared" si="486"/>
        <v>63.02</v>
      </c>
      <c r="J484" s="311" t="str">
        <f t="shared" si="487"/>
        <v/>
      </c>
      <c r="K484" s="311" t="str">
        <f t="shared" si="488"/>
        <v/>
      </c>
      <c r="L484" s="310" t="str">
        <f t="shared" si="489"/>
        <v/>
      </c>
      <c r="M484" s="310" t="str">
        <f t="shared" si="490"/>
        <v/>
      </c>
      <c r="N484" s="311" t="str">
        <f t="shared" si="491"/>
        <v/>
      </c>
    </row>
    <row r="485" spans="1:14" s="294" customFormat="1">
      <c r="A485" s="297" t="s">
        <v>1517</v>
      </c>
      <c r="B485" s="301"/>
      <c r="C485" s="299" t="s">
        <v>1496</v>
      </c>
      <c r="D485" s="299">
        <v>1</v>
      </c>
      <c r="E485" s="300">
        <f>13+20+13</f>
        <v>46</v>
      </c>
      <c r="F485" s="300">
        <f t="shared" si="492"/>
        <v>46</v>
      </c>
      <c r="G485" s="302">
        <f>(0.35*2)+17*0.008*2</f>
        <v>0.97</v>
      </c>
      <c r="H485" s="310" t="str">
        <f t="shared" si="485"/>
        <v/>
      </c>
      <c r="I485" s="311">
        <f t="shared" si="486"/>
        <v>44.62</v>
      </c>
      <c r="J485" s="311" t="str">
        <f t="shared" si="487"/>
        <v/>
      </c>
      <c r="K485" s="311" t="str">
        <f t="shared" si="488"/>
        <v/>
      </c>
      <c r="L485" s="310" t="str">
        <f t="shared" si="489"/>
        <v/>
      </c>
      <c r="M485" s="310" t="str">
        <f t="shared" si="490"/>
        <v/>
      </c>
      <c r="N485" s="311" t="str">
        <f t="shared" si="491"/>
        <v/>
      </c>
    </row>
    <row r="486" spans="1:14">
      <c r="A486" s="297" t="s">
        <v>1520</v>
      </c>
      <c r="B486" s="254"/>
      <c r="C486" s="299" t="s">
        <v>1492</v>
      </c>
      <c r="D486" s="299">
        <v>1</v>
      </c>
      <c r="E486" s="300">
        <v>3</v>
      </c>
      <c r="F486" s="300">
        <f>E486*D486</f>
        <v>3</v>
      </c>
      <c r="G486" s="299">
        <v>3</v>
      </c>
      <c r="H486" s="310" t="str">
        <f t="shared" si="485"/>
        <v/>
      </c>
      <c r="I486" s="311" t="str">
        <f t="shared" si="486"/>
        <v/>
      </c>
      <c r="J486" s="311" t="str">
        <f t="shared" si="487"/>
        <v/>
      </c>
      <c r="K486" s="311" t="str">
        <f t="shared" si="488"/>
        <v/>
      </c>
      <c r="L486" s="310">
        <f t="shared" si="489"/>
        <v>9</v>
      </c>
      <c r="M486" s="310" t="str">
        <f t="shared" si="490"/>
        <v/>
      </c>
      <c r="N486" s="311" t="str">
        <f t="shared" si="491"/>
        <v/>
      </c>
    </row>
    <row r="487" spans="1:14">
      <c r="A487" s="253"/>
      <c r="B487" s="254"/>
      <c r="C487" s="299" t="s">
        <v>1519</v>
      </c>
      <c r="D487" s="299">
        <v>1</v>
      </c>
      <c r="E487" s="300">
        <v>3</v>
      </c>
      <c r="F487" s="300">
        <f>E487*D487</f>
        <v>3</v>
      </c>
      <c r="G487" s="299">
        <v>3.5</v>
      </c>
      <c r="H487" s="310" t="str">
        <f t="shared" si="485"/>
        <v/>
      </c>
      <c r="I487" s="311" t="str">
        <f t="shared" si="486"/>
        <v/>
      </c>
      <c r="J487" s="311">
        <f t="shared" si="487"/>
        <v>10.5</v>
      </c>
      <c r="K487" s="311" t="str">
        <f t="shared" si="488"/>
        <v/>
      </c>
      <c r="L487" s="310" t="str">
        <f t="shared" si="489"/>
        <v/>
      </c>
      <c r="M487" s="310" t="str">
        <f t="shared" si="490"/>
        <v/>
      </c>
      <c r="N487" s="311" t="str">
        <f t="shared" si="491"/>
        <v/>
      </c>
    </row>
    <row r="488" spans="1:14">
      <c r="A488" s="253"/>
      <c r="B488" s="254"/>
      <c r="C488" s="299" t="s">
        <v>1519</v>
      </c>
      <c r="D488" s="299">
        <v>1</v>
      </c>
      <c r="E488" s="300">
        <v>3</v>
      </c>
      <c r="F488" s="300">
        <f>E488*D488</f>
        <v>3</v>
      </c>
      <c r="G488" s="299">
        <v>4.5</v>
      </c>
      <c r="H488" s="310" t="str">
        <f t="shared" ref="H488" si="493">IF(C488="T6",G488*F488,"")</f>
        <v/>
      </c>
      <c r="I488" s="311" t="str">
        <f t="shared" ref="I488" si="494">IF(C488="T8",F488*G488,"")</f>
        <v/>
      </c>
      <c r="J488" s="311">
        <f t="shared" ref="J488" si="495">IF(C488="T10",F488*G488,"")</f>
        <v>13.5</v>
      </c>
      <c r="K488" s="311" t="str">
        <f t="shared" ref="K488" si="496">IF(C488="T12",F488*G488,"")</f>
        <v/>
      </c>
      <c r="L488" s="310" t="str">
        <f t="shared" ref="L488" si="497">IF(C488="T14",F488*G488,"")</f>
        <v/>
      </c>
      <c r="M488" s="310" t="str">
        <f t="shared" ref="M488" si="498">IF(C488="T16",G488*F488,"")</f>
        <v/>
      </c>
      <c r="N488" s="311" t="str">
        <f t="shared" ref="N488" si="499">IF(C488="T20",G488*F488,"")</f>
        <v/>
      </c>
    </row>
    <row r="489" spans="1:14">
      <c r="A489" s="253"/>
      <c r="B489" s="254"/>
      <c r="C489" s="299"/>
      <c r="D489" s="299"/>
      <c r="E489" s="300"/>
      <c r="F489" s="300"/>
      <c r="G489" s="299"/>
      <c r="H489" s="310"/>
      <c r="I489" s="311"/>
      <c r="J489" s="311"/>
      <c r="K489" s="311"/>
      <c r="L489" s="310"/>
      <c r="M489" s="310"/>
      <c r="N489" s="311"/>
    </row>
    <row r="490" spans="1:14" ht="16.5">
      <c r="A490" s="303" t="s">
        <v>1651</v>
      </c>
      <c r="B490" s="254"/>
      <c r="C490" s="299"/>
      <c r="D490" s="299"/>
      <c r="E490" s="300"/>
      <c r="F490" s="300"/>
      <c r="G490" s="299"/>
      <c r="H490" s="310"/>
      <c r="I490" s="311"/>
      <c r="J490" s="311"/>
      <c r="K490" s="311"/>
      <c r="L490" s="310"/>
      <c r="M490" s="310"/>
      <c r="N490" s="311"/>
    </row>
    <row r="491" spans="1:14" s="294" customFormat="1">
      <c r="A491" s="297" t="s">
        <v>1515</v>
      </c>
      <c r="B491" s="298"/>
      <c r="C491" s="299" t="s">
        <v>1519</v>
      </c>
      <c r="D491" s="299">
        <v>1</v>
      </c>
      <c r="E491" s="300">
        <v>3</v>
      </c>
      <c r="F491" s="300">
        <f>E491*D491</f>
        <v>3</v>
      </c>
      <c r="G491" s="299">
        <f>(4.25)+17*0.01*2</f>
        <v>4.59</v>
      </c>
      <c r="H491" s="310" t="str">
        <f t="shared" ref="H491:H497" si="500">IF(C491="T6",G491*F491,"")</f>
        <v/>
      </c>
      <c r="I491" s="311" t="str">
        <f t="shared" ref="I491:I497" si="501">IF(C491="T8",F491*G491,"")</f>
        <v/>
      </c>
      <c r="J491" s="311">
        <f t="shared" ref="J491:J497" si="502">IF(C491="T10",F491*G491,"")</f>
        <v>13.77</v>
      </c>
      <c r="K491" s="311" t="str">
        <f t="shared" ref="K491:K497" si="503">IF(C491="T12",F491*G491,"")</f>
        <v/>
      </c>
      <c r="L491" s="310" t="str">
        <f t="shared" ref="L491:L497" si="504">IF(C491="T14",F491*G491,"")</f>
        <v/>
      </c>
      <c r="M491" s="310" t="str">
        <f t="shared" ref="M491:M497" si="505">IF(C491="T16",G491*F491,"")</f>
        <v/>
      </c>
      <c r="N491" s="311" t="str">
        <f t="shared" ref="N491:N497" si="506">IF(C491="T20",G491*F491,"")</f>
        <v/>
      </c>
    </row>
    <row r="492" spans="1:14" s="294" customFormat="1">
      <c r="A492" s="297" t="s">
        <v>1515</v>
      </c>
      <c r="B492" s="298"/>
      <c r="C492" s="299" t="s">
        <v>1516</v>
      </c>
      <c r="D492" s="299">
        <v>1</v>
      </c>
      <c r="E492" s="300">
        <v>3</v>
      </c>
      <c r="F492" s="300">
        <f>E492*D492</f>
        <v>3</v>
      </c>
      <c r="G492" s="299">
        <f>(4.25)+17*0.012*2</f>
        <v>4.6580000000000004</v>
      </c>
      <c r="H492" s="310" t="str">
        <f t="shared" si="500"/>
        <v/>
      </c>
      <c r="I492" s="311" t="str">
        <f t="shared" si="501"/>
        <v/>
      </c>
      <c r="J492" s="311" t="str">
        <f t="shared" si="502"/>
        <v/>
      </c>
      <c r="K492" s="311">
        <f t="shared" si="503"/>
        <v>13.97</v>
      </c>
      <c r="L492" s="310" t="str">
        <f t="shared" si="504"/>
        <v/>
      </c>
      <c r="M492" s="310" t="str">
        <f t="shared" si="505"/>
        <v/>
      </c>
      <c r="N492" s="311" t="str">
        <f t="shared" si="506"/>
        <v/>
      </c>
    </row>
    <row r="493" spans="1:14" s="294" customFormat="1">
      <c r="A493" s="297"/>
      <c r="B493" s="298"/>
      <c r="C493" s="299" t="s">
        <v>1519</v>
      </c>
      <c r="D493" s="299">
        <v>1</v>
      </c>
      <c r="E493" s="300">
        <v>2</v>
      </c>
      <c r="F493" s="300">
        <f>E493*D493</f>
        <v>2</v>
      </c>
      <c r="G493" s="299">
        <v>4.25</v>
      </c>
      <c r="H493" s="310" t="str">
        <f t="shared" si="500"/>
        <v/>
      </c>
      <c r="I493" s="311" t="str">
        <f t="shared" si="501"/>
        <v/>
      </c>
      <c r="J493" s="311">
        <f t="shared" si="502"/>
        <v>8.5</v>
      </c>
      <c r="K493" s="311" t="str">
        <f t="shared" si="503"/>
        <v/>
      </c>
      <c r="L493" s="310" t="str">
        <f t="shared" si="504"/>
        <v/>
      </c>
      <c r="M493" s="310" t="str">
        <f t="shared" si="505"/>
        <v/>
      </c>
      <c r="N493" s="311" t="str">
        <f t="shared" si="506"/>
        <v/>
      </c>
    </row>
    <row r="494" spans="1:14" s="294" customFormat="1">
      <c r="A494" s="297" t="s">
        <v>1494</v>
      </c>
      <c r="B494" s="301"/>
      <c r="C494" s="299" t="s">
        <v>1496</v>
      </c>
      <c r="D494" s="299">
        <v>1</v>
      </c>
      <c r="E494" s="300">
        <f>13+13+20</f>
        <v>46</v>
      </c>
      <c r="F494" s="300">
        <f t="shared" ref="F494:F495" si="507">E494*D494</f>
        <v>46</v>
      </c>
      <c r="G494" s="302">
        <f>(0.2+0.45)*2+17*0.008*2</f>
        <v>1.57</v>
      </c>
      <c r="H494" s="310" t="str">
        <f t="shared" si="500"/>
        <v/>
      </c>
      <c r="I494" s="311">
        <f t="shared" si="501"/>
        <v>72.22</v>
      </c>
      <c r="J494" s="311" t="str">
        <f t="shared" si="502"/>
        <v/>
      </c>
      <c r="K494" s="311" t="str">
        <f t="shared" si="503"/>
        <v/>
      </c>
      <c r="L494" s="310" t="str">
        <f t="shared" si="504"/>
        <v/>
      </c>
      <c r="M494" s="310" t="str">
        <f t="shared" si="505"/>
        <v/>
      </c>
      <c r="N494" s="311" t="str">
        <f t="shared" si="506"/>
        <v/>
      </c>
    </row>
    <row r="495" spans="1:14" s="294" customFormat="1">
      <c r="A495" s="297" t="s">
        <v>1517</v>
      </c>
      <c r="B495" s="301"/>
      <c r="C495" s="299" t="s">
        <v>1496</v>
      </c>
      <c r="D495" s="299">
        <v>1</v>
      </c>
      <c r="E495" s="300">
        <f>13+13+20</f>
        <v>46</v>
      </c>
      <c r="F495" s="300">
        <f t="shared" si="507"/>
        <v>46</v>
      </c>
      <c r="G495" s="302">
        <f>(0.45*2)+17*0.008*2</f>
        <v>1.17</v>
      </c>
      <c r="H495" s="310" t="str">
        <f t="shared" si="500"/>
        <v/>
      </c>
      <c r="I495" s="311">
        <f t="shared" si="501"/>
        <v>53.82</v>
      </c>
      <c r="J495" s="311" t="str">
        <f t="shared" si="502"/>
        <v/>
      </c>
      <c r="K495" s="311" t="str">
        <f t="shared" si="503"/>
        <v/>
      </c>
      <c r="L495" s="310" t="str">
        <f t="shared" si="504"/>
        <v/>
      </c>
      <c r="M495" s="310" t="str">
        <f t="shared" si="505"/>
        <v/>
      </c>
      <c r="N495" s="311" t="str">
        <f t="shared" si="506"/>
        <v/>
      </c>
    </row>
    <row r="496" spans="1:14">
      <c r="A496" s="297" t="s">
        <v>1520</v>
      </c>
      <c r="B496" s="254"/>
      <c r="C496" s="299" t="s">
        <v>1492</v>
      </c>
      <c r="D496" s="299">
        <v>1</v>
      </c>
      <c r="E496" s="300">
        <v>3</v>
      </c>
      <c r="F496" s="300">
        <f>E496*D496</f>
        <v>3</v>
      </c>
      <c r="G496" s="299">
        <v>3.5</v>
      </c>
      <c r="H496" s="310" t="str">
        <f t="shared" si="500"/>
        <v/>
      </c>
      <c r="I496" s="311" t="str">
        <f t="shared" si="501"/>
        <v/>
      </c>
      <c r="J496" s="311" t="str">
        <f t="shared" si="502"/>
        <v/>
      </c>
      <c r="K496" s="311" t="str">
        <f t="shared" si="503"/>
        <v/>
      </c>
      <c r="L496" s="310">
        <f t="shared" si="504"/>
        <v>10.5</v>
      </c>
      <c r="M496" s="310" t="str">
        <f t="shared" si="505"/>
        <v/>
      </c>
      <c r="N496" s="311" t="str">
        <f t="shared" si="506"/>
        <v/>
      </c>
    </row>
    <row r="497" spans="1:14">
      <c r="A497" s="253"/>
      <c r="B497" s="254"/>
      <c r="C497" s="299" t="s">
        <v>1492</v>
      </c>
      <c r="D497" s="299">
        <v>1</v>
      </c>
      <c r="E497" s="300">
        <v>3</v>
      </c>
      <c r="F497" s="300">
        <f>E497*D497</f>
        <v>3</v>
      </c>
      <c r="G497" s="302">
        <v>3</v>
      </c>
      <c r="H497" s="310" t="str">
        <f t="shared" si="500"/>
        <v/>
      </c>
      <c r="I497" s="311" t="str">
        <f t="shared" si="501"/>
        <v/>
      </c>
      <c r="J497" s="311" t="str">
        <f t="shared" si="502"/>
        <v/>
      </c>
      <c r="K497" s="311" t="str">
        <f t="shared" si="503"/>
        <v/>
      </c>
      <c r="L497" s="310">
        <f t="shared" si="504"/>
        <v>9</v>
      </c>
      <c r="M497" s="310" t="str">
        <f t="shared" si="505"/>
        <v/>
      </c>
      <c r="N497" s="311" t="str">
        <f t="shared" si="506"/>
        <v/>
      </c>
    </row>
    <row r="498" spans="1:14">
      <c r="A498" s="253"/>
      <c r="B498" s="254"/>
      <c r="C498" s="299" t="s">
        <v>1519</v>
      </c>
      <c r="D498" s="299">
        <v>1</v>
      </c>
      <c r="E498" s="300">
        <v>3</v>
      </c>
      <c r="F498" s="300">
        <f>E498*D498</f>
        <v>3</v>
      </c>
      <c r="G498" s="299">
        <v>4.25</v>
      </c>
      <c r="H498" s="310" t="str">
        <f t="shared" ref="H498" si="508">IF(C498="T6",G498*F498,"")</f>
        <v/>
      </c>
      <c r="I498" s="311" t="str">
        <f t="shared" ref="I498" si="509">IF(C498="T8",F498*G498,"")</f>
        <v/>
      </c>
      <c r="J498" s="311">
        <f t="shared" ref="J498" si="510">IF(C498="T10",F498*G498,"")</f>
        <v>12.75</v>
      </c>
      <c r="K498" s="311" t="str">
        <f t="shared" ref="K498" si="511">IF(C498="T12",F498*G498,"")</f>
        <v/>
      </c>
      <c r="L498" s="310" t="str">
        <f t="shared" ref="L498" si="512">IF(C498="T14",F498*G498,"")</f>
        <v/>
      </c>
      <c r="M498" s="310" t="str">
        <f t="shared" ref="M498" si="513">IF(C498="T16",G498*F498,"")</f>
        <v/>
      </c>
      <c r="N498" s="311" t="str">
        <f t="shared" ref="N498" si="514">IF(C498="T20",G498*F498,"")</f>
        <v/>
      </c>
    </row>
    <row r="499" spans="1:14">
      <c r="A499" s="253"/>
      <c r="B499" s="254"/>
      <c r="C499" s="299"/>
      <c r="D499" s="299"/>
      <c r="E499" s="300"/>
      <c r="F499" s="300"/>
      <c r="G499" s="299"/>
      <c r="H499" s="310"/>
      <c r="I499" s="311"/>
      <c r="J499" s="311"/>
      <c r="K499" s="311"/>
      <c r="L499" s="310"/>
      <c r="M499" s="310"/>
      <c r="N499" s="311"/>
    </row>
    <row r="500" spans="1:14" ht="16.5">
      <c r="A500" s="303" t="s">
        <v>1650</v>
      </c>
      <c r="B500" s="254"/>
      <c r="C500" s="299"/>
      <c r="D500" s="299"/>
      <c r="E500" s="300"/>
      <c r="F500" s="300"/>
      <c r="G500" s="299"/>
      <c r="H500" s="310"/>
      <c r="I500" s="311"/>
      <c r="J500" s="311"/>
      <c r="K500" s="311"/>
      <c r="L500" s="310"/>
      <c r="M500" s="310"/>
      <c r="N500" s="311"/>
    </row>
    <row r="501" spans="1:14" s="294" customFormat="1">
      <c r="A501" s="297" t="s">
        <v>1515</v>
      </c>
      <c r="B501" s="298"/>
      <c r="C501" s="299" t="s">
        <v>1519</v>
      </c>
      <c r="D501" s="299">
        <v>1</v>
      </c>
      <c r="E501" s="300">
        <v>3</v>
      </c>
      <c r="F501" s="300">
        <f>E501*D501</f>
        <v>3</v>
      </c>
      <c r="G501" s="299">
        <f>(4.25)+17*0.01*2</f>
        <v>4.59</v>
      </c>
      <c r="H501" s="310" t="str">
        <f t="shared" ref="H501:H508" si="515">IF(C501="T6",G501*F501,"")</f>
        <v/>
      </c>
      <c r="I501" s="311" t="str">
        <f t="shared" ref="I501:I508" si="516">IF(C501="T8",F501*G501,"")</f>
        <v/>
      </c>
      <c r="J501" s="311">
        <f t="shared" ref="J501:J508" si="517">IF(C501="T10",F501*G501,"")</f>
        <v>13.77</v>
      </c>
      <c r="K501" s="311" t="str">
        <f t="shared" ref="K501:K508" si="518">IF(C501="T12",F501*G501,"")</f>
        <v/>
      </c>
      <c r="L501" s="310" t="str">
        <f t="shared" ref="L501:L508" si="519">IF(C501="T14",F501*G501,"")</f>
        <v/>
      </c>
      <c r="M501" s="310" t="str">
        <f t="shared" ref="M501:M508" si="520">IF(C501="T16",G501*F501,"")</f>
        <v/>
      </c>
      <c r="N501" s="311" t="str">
        <f t="shared" ref="N501:N508" si="521">IF(C501="T20",G501*F501,"")</f>
        <v/>
      </c>
    </row>
    <row r="502" spans="1:14" s="294" customFormat="1">
      <c r="A502" s="297" t="s">
        <v>1515</v>
      </c>
      <c r="B502" s="298"/>
      <c r="C502" s="299" t="s">
        <v>1516</v>
      </c>
      <c r="D502" s="299">
        <v>1</v>
      </c>
      <c r="E502" s="300">
        <v>3</v>
      </c>
      <c r="F502" s="300">
        <f>E502*D502</f>
        <v>3</v>
      </c>
      <c r="G502" s="299">
        <f>(4.25)+17*0.012*2</f>
        <v>4.6580000000000004</v>
      </c>
      <c r="H502" s="310" t="str">
        <f t="shared" si="515"/>
        <v/>
      </c>
      <c r="I502" s="311" t="str">
        <f t="shared" si="516"/>
        <v/>
      </c>
      <c r="J502" s="311" t="str">
        <f t="shared" si="517"/>
        <v/>
      </c>
      <c r="K502" s="311">
        <f t="shared" si="518"/>
        <v>13.97</v>
      </c>
      <c r="L502" s="310" t="str">
        <f t="shared" si="519"/>
        <v/>
      </c>
      <c r="M502" s="310" t="str">
        <f t="shared" si="520"/>
        <v/>
      </c>
      <c r="N502" s="311" t="str">
        <f t="shared" si="521"/>
        <v/>
      </c>
    </row>
    <row r="503" spans="1:14" s="294" customFormat="1">
      <c r="A503" s="297"/>
      <c r="B503" s="298"/>
      <c r="C503" s="299" t="s">
        <v>1519</v>
      </c>
      <c r="D503" s="299">
        <v>1</v>
      </c>
      <c r="E503" s="300">
        <v>2</v>
      </c>
      <c r="F503" s="300">
        <f>E503*D503</f>
        <v>2</v>
      </c>
      <c r="G503" s="299">
        <v>4.25</v>
      </c>
      <c r="H503" s="310" t="str">
        <f t="shared" si="515"/>
        <v/>
      </c>
      <c r="I503" s="311" t="str">
        <f t="shared" si="516"/>
        <v/>
      </c>
      <c r="J503" s="311">
        <f t="shared" si="517"/>
        <v>8.5</v>
      </c>
      <c r="K503" s="311" t="str">
        <f t="shared" si="518"/>
        <v/>
      </c>
      <c r="L503" s="310" t="str">
        <f t="shared" si="519"/>
        <v/>
      </c>
      <c r="M503" s="310" t="str">
        <f t="shared" si="520"/>
        <v/>
      </c>
      <c r="N503" s="311" t="str">
        <f t="shared" si="521"/>
        <v/>
      </c>
    </row>
    <row r="504" spans="1:14" s="294" customFormat="1">
      <c r="A504" s="297" t="s">
        <v>1494</v>
      </c>
      <c r="B504" s="301"/>
      <c r="C504" s="299" t="s">
        <v>1496</v>
      </c>
      <c r="D504" s="299">
        <v>1</v>
      </c>
      <c r="E504" s="300">
        <f>13+13+20</f>
        <v>46</v>
      </c>
      <c r="F504" s="300">
        <f t="shared" ref="F504:F505" si="522">E504*D504</f>
        <v>46</v>
      </c>
      <c r="G504" s="302">
        <f>(0.2+0.45)*2+17*0.008*2</f>
        <v>1.57</v>
      </c>
      <c r="H504" s="310" t="str">
        <f t="shared" si="515"/>
        <v/>
      </c>
      <c r="I504" s="311">
        <f t="shared" si="516"/>
        <v>72.22</v>
      </c>
      <c r="J504" s="311" t="str">
        <f t="shared" si="517"/>
        <v/>
      </c>
      <c r="K504" s="311" t="str">
        <f t="shared" si="518"/>
        <v/>
      </c>
      <c r="L504" s="310" t="str">
        <f t="shared" si="519"/>
        <v/>
      </c>
      <c r="M504" s="310" t="str">
        <f t="shared" si="520"/>
        <v/>
      </c>
      <c r="N504" s="311" t="str">
        <f t="shared" si="521"/>
        <v/>
      </c>
    </row>
    <row r="505" spans="1:14" s="294" customFormat="1">
      <c r="A505" s="297" t="s">
        <v>1517</v>
      </c>
      <c r="B505" s="301"/>
      <c r="C505" s="299" t="s">
        <v>1496</v>
      </c>
      <c r="D505" s="299">
        <v>1</v>
      </c>
      <c r="E505" s="300">
        <f>13+13+20</f>
        <v>46</v>
      </c>
      <c r="F505" s="300">
        <f t="shared" si="522"/>
        <v>46</v>
      </c>
      <c r="G505" s="302">
        <f>(0.45*2)+17*0.008*2</f>
        <v>1.17</v>
      </c>
      <c r="H505" s="310" t="str">
        <f t="shared" si="515"/>
        <v/>
      </c>
      <c r="I505" s="311">
        <f t="shared" si="516"/>
        <v>53.82</v>
      </c>
      <c r="J505" s="311" t="str">
        <f t="shared" si="517"/>
        <v/>
      </c>
      <c r="K505" s="311" t="str">
        <f t="shared" si="518"/>
        <v/>
      </c>
      <c r="L505" s="310" t="str">
        <f t="shared" si="519"/>
        <v/>
      </c>
      <c r="M505" s="310" t="str">
        <f t="shared" si="520"/>
        <v/>
      </c>
      <c r="N505" s="311" t="str">
        <f t="shared" si="521"/>
        <v/>
      </c>
    </row>
    <row r="506" spans="1:14">
      <c r="A506" s="297" t="s">
        <v>1520</v>
      </c>
      <c r="B506" s="254"/>
      <c r="C506" s="299" t="s">
        <v>1492</v>
      </c>
      <c r="D506" s="299">
        <v>1</v>
      </c>
      <c r="E506" s="300">
        <v>3</v>
      </c>
      <c r="F506" s="300">
        <f>E506*D506</f>
        <v>3</v>
      </c>
      <c r="G506" s="299">
        <v>3.5</v>
      </c>
      <c r="H506" s="310" t="str">
        <f t="shared" si="515"/>
        <v/>
      </c>
      <c r="I506" s="311" t="str">
        <f t="shared" si="516"/>
        <v/>
      </c>
      <c r="J506" s="311" t="str">
        <f t="shared" si="517"/>
        <v/>
      </c>
      <c r="K506" s="311" t="str">
        <f t="shared" si="518"/>
        <v/>
      </c>
      <c r="L506" s="310">
        <f t="shared" si="519"/>
        <v>10.5</v>
      </c>
      <c r="M506" s="310" t="str">
        <f t="shared" si="520"/>
        <v/>
      </c>
      <c r="N506" s="311" t="str">
        <f t="shared" si="521"/>
        <v/>
      </c>
    </row>
    <row r="507" spans="1:14">
      <c r="A507" s="253"/>
      <c r="B507" s="254"/>
      <c r="C507" s="299" t="s">
        <v>1492</v>
      </c>
      <c r="D507" s="299">
        <v>1</v>
      </c>
      <c r="E507" s="300">
        <v>3</v>
      </c>
      <c r="F507" s="300">
        <f>E507*D507</f>
        <v>3</v>
      </c>
      <c r="G507" s="302">
        <v>3</v>
      </c>
      <c r="H507" s="310" t="str">
        <f t="shared" si="515"/>
        <v/>
      </c>
      <c r="I507" s="311" t="str">
        <f t="shared" si="516"/>
        <v/>
      </c>
      <c r="J507" s="311" t="str">
        <f t="shared" si="517"/>
        <v/>
      </c>
      <c r="K507" s="311" t="str">
        <f t="shared" si="518"/>
        <v/>
      </c>
      <c r="L507" s="310">
        <f t="shared" si="519"/>
        <v>9</v>
      </c>
      <c r="M507" s="310" t="str">
        <f t="shared" si="520"/>
        <v/>
      </c>
      <c r="N507" s="311" t="str">
        <f t="shared" si="521"/>
        <v/>
      </c>
    </row>
    <row r="508" spans="1:14">
      <c r="A508" s="253"/>
      <c r="B508" s="254"/>
      <c r="C508" s="299" t="s">
        <v>1519</v>
      </c>
      <c r="D508" s="299">
        <v>1</v>
      </c>
      <c r="E508" s="300">
        <v>3</v>
      </c>
      <c r="F508" s="300">
        <f>E508*D508</f>
        <v>3</v>
      </c>
      <c r="G508" s="299">
        <v>4.25</v>
      </c>
      <c r="H508" s="310" t="str">
        <f t="shared" si="515"/>
        <v/>
      </c>
      <c r="I508" s="311" t="str">
        <f t="shared" si="516"/>
        <v/>
      </c>
      <c r="J508" s="311">
        <f t="shared" si="517"/>
        <v>12.75</v>
      </c>
      <c r="K508" s="311" t="str">
        <f t="shared" si="518"/>
        <v/>
      </c>
      <c r="L508" s="310" t="str">
        <f t="shared" si="519"/>
        <v/>
      </c>
      <c r="M508" s="310" t="str">
        <f t="shared" si="520"/>
        <v/>
      </c>
      <c r="N508" s="311" t="str">
        <f t="shared" si="521"/>
        <v/>
      </c>
    </row>
    <row r="509" spans="1:14">
      <c r="A509" s="253"/>
      <c r="B509" s="254"/>
      <c r="C509" s="299"/>
      <c r="D509" s="299"/>
      <c r="E509" s="300"/>
      <c r="F509" s="300"/>
      <c r="G509" s="299"/>
      <c r="H509" s="310"/>
      <c r="I509" s="311"/>
      <c r="J509" s="311"/>
      <c r="K509" s="311"/>
      <c r="L509" s="310"/>
      <c r="M509" s="310"/>
      <c r="N509" s="311"/>
    </row>
    <row r="510" spans="1:14" ht="16.5">
      <c r="A510" s="303" t="s">
        <v>1524</v>
      </c>
      <c r="B510" s="254"/>
      <c r="C510" s="299"/>
      <c r="D510" s="299"/>
      <c r="E510" s="300"/>
      <c r="F510" s="300"/>
      <c r="G510" s="299"/>
      <c r="H510" s="310"/>
      <c r="I510" s="311"/>
      <c r="J510" s="311"/>
      <c r="K510" s="311"/>
      <c r="L510" s="310"/>
      <c r="M510" s="310"/>
      <c r="N510" s="311"/>
    </row>
    <row r="511" spans="1:14" s="294" customFormat="1">
      <c r="A511" s="297" t="s">
        <v>1515</v>
      </c>
      <c r="B511" s="298"/>
      <c r="C511" s="299" t="s">
        <v>1519</v>
      </c>
      <c r="D511" s="299">
        <v>1</v>
      </c>
      <c r="E511" s="300">
        <v>3</v>
      </c>
      <c r="F511" s="300">
        <f>E511*D511</f>
        <v>3</v>
      </c>
      <c r="G511" s="299">
        <f>(3.61)+17*0.01*2</f>
        <v>3.95</v>
      </c>
      <c r="H511" s="310" t="str">
        <f t="shared" ref="H511:H514" si="523">IF(C511="T6",G511*F511,"")</f>
        <v/>
      </c>
      <c r="I511" s="311" t="str">
        <f t="shared" ref="I511:I514" si="524">IF(C511="T8",F511*G511,"")</f>
        <v/>
      </c>
      <c r="J511" s="311">
        <f t="shared" ref="J511:J514" si="525">IF(C511="T10",F511*G511,"")</f>
        <v>11.85</v>
      </c>
      <c r="K511" s="311" t="str">
        <f t="shared" ref="K511:K514" si="526">IF(C511="T12",F511*G511,"")</f>
        <v/>
      </c>
      <c r="L511" s="310" t="str">
        <f t="shared" ref="L511:L514" si="527">IF(C511="T14",F511*G511,"")</f>
        <v/>
      </c>
      <c r="M511" s="310" t="str">
        <f t="shared" ref="M511:M514" si="528">IF(C511="T16",G511*F511,"")</f>
        <v/>
      </c>
      <c r="N511" s="311" t="str">
        <f t="shared" ref="N511:N514" si="529">IF(C511="T20",G511*F511,"")</f>
        <v/>
      </c>
    </row>
    <row r="512" spans="1:14" s="294" customFormat="1">
      <c r="A512" s="297" t="s">
        <v>1515</v>
      </c>
      <c r="B512" s="298"/>
      <c r="C512" s="299" t="s">
        <v>1492</v>
      </c>
      <c r="D512" s="299">
        <v>1</v>
      </c>
      <c r="E512" s="300">
        <v>3</v>
      </c>
      <c r="F512" s="300">
        <f>E512*D512</f>
        <v>3</v>
      </c>
      <c r="G512" s="299">
        <f>(3.61)+17*0.014*2</f>
        <v>4.0860000000000003</v>
      </c>
      <c r="H512" s="310" t="str">
        <f t="shared" si="523"/>
        <v/>
      </c>
      <c r="I512" s="311" t="str">
        <f t="shared" si="524"/>
        <v/>
      </c>
      <c r="J512" s="311" t="str">
        <f t="shared" si="525"/>
        <v/>
      </c>
      <c r="K512" s="311" t="str">
        <f t="shared" si="526"/>
        <v/>
      </c>
      <c r="L512" s="310">
        <f t="shared" si="527"/>
        <v>12.26</v>
      </c>
      <c r="M512" s="310" t="str">
        <f t="shared" si="528"/>
        <v/>
      </c>
      <c r="N512" s="311" t="str">
        <f t="shared" si="529"/>
        <v/>
      </c>
    </row>
    <row r="513" spans="1:14" s="294" customFormat="1">
      <c r="A513" s="297" t="s">
        <v>1494</v>
      </c>
      <c r="B513" s="301"/>
      <c r="C513" s="299" t="s">
        <v>1496</v>
      </c>
      <c r="D513" s="299">
        <v>1</v>
      </c>
      <c r="E513" s="300">
        <f>3.61/0.15</f>
        <v>24</v>
      </c>
      <c r="F513" s="300">
        <f t="shared" ref="F513:F514" si="530">E513*D513</f>
        <v>24</v>
      </c>
      <c r="G513" s="302">
        <f>(0.2+0.15)*2+17*0.008*2</f>
        <v>0.97</v>
      </c>
      <c r="H513" s="310" t="str">
        <f t="shared" si="523"/>
        <v/>
      </c>
      <c r="I513" s="311">
        <f t="shared" si="524"/>
        <v>23.28</v>
      </c>
      <c r="J513" s="311" t="str">
        <f t="shared" si="525"/>
        <v/>
      </c>
      <c r="K513" s="311" t="str">
        <f t="shared" si="526"/>
        <v/>
      </c>
      <c r="L513" s="310" t="str">
        <f t="shared" si="527"/>
        <v/>
      </c>
      <c r="M513" s="310" t="str">
        <f t="shared" si="528"/>
        <v/>
      </c>
      <c r="N513" s="311" t="str">
        <f t="shared" si="529"/>
        <v/>
      </c>
    </row>
    <row r="514" spans="1:14" s="294" customFormat="1">
      <c r="A514" s="297" t="s">
        <v>1517</v>
      </c>
      <c r="B514" s="301"/>
      <c r="C514" s="299" t="s">
        <v>1496</v>
      </c>
      <c r="D514" s="299">
        <v>1</v>
      </c>
      <c r="E514" s="300">
        <v>24</v>
      </c>
      <c r="F514" s="300">
        <f t="shared" si="530"/>
        <v>24</v>
      </c>
      <c r="G514" s="302">
        <f>(0.2*2)+17*0.008*2</f>
        <v>0.67</v>
      </c>
      <c r="H514" s="310" t="str">
        <f t="shared" si="523"/>
        <v/>
      </c>
      <c r="I514" s="311">
        <f t="shared" si="524"/>
        <v>16.079999999999998</v>
      </c>
      <c r="J514" s="311" t="str">
        <f t="shared" si="525"/>
        <v/>
      </c>
      <c r="K514" s="311" t="str">
        <f t="shared" si="526"/>
        <v/>
      </c>
      <c r="L514" s="310" t="str">
        <f t="shared" si="527"/>
        <v/>
      </c>
      <c r="M514" s="310" t="str">
        <f t="shared" si="528"/>
        <v/>
      </c>
      <c r="N514" s="311" t="str">
        <f t="shared" si="529"/>
        <v/>
      </c>
    </row>
    <row r="515" spans="1:14">
      <c r="A515" s="253"/>
      <c r="B515" s="254"/>
      <c r="C515" s="299"/>
      <c r="D515" s="299"/>
      <c r="E515" s="300"/>
      <c r="F515" s="300"/>
      <c r="G515" s="299"/>
      <c r="H515" s="310"/>
      <c r="I515" s="311"/>
      <c r="J515" s="311"/>
      <c r="K515" s="311"/>
      <c r="L515" s="310"/>
      <c r="M515" s="310"/>
      <c r="N515" s="311"/>
    </row>
    <row r="516" spans="1:14" ht="16.5">
      <c r="A516" s="303" t="s">
        <v>1649</v>
      </c>
      <c r="B516" s="254"/>
      <c r="C516" s="299"/>
      <c r="D516" s="299"/>
      <c r="E516" s="300"/>
      <c r="F516" s="300"/>
      <c r="G516" s="299"/>
      <c r="H516" s="310"/>
      <c r="I516" s="311"/>
      <c r="J516" s="311"/>
      <c r="K516" s="311"/>
      <c r="L516" s="310"/>
      <c r="M516" s="310"/>
      <c r="N516" s="311"/>
    </row>
    <row r="517" spans="1:14" s="294" customFormat="1">
      <c r="A517" s="297" t="s">
        <v>1515</v>
      </c>
      <c r="B517" s="298"/>
      <c r="C517" s="299" t="s">
        <v>1516</v>
      </c>
      <c r="D517" s="299">
        <v>1</v>
      </c>
      <c r="E517" s="300">
        <v>3</v>
      </c>
      <c r="F517" s="300">
        <f>E517*D517</f>
        <v>3</v>
      </c>
      <c r="G517" s="299">
        <f>(3.7)+17*0.012*2</f>
        <v>4.1079999999999997</v>
      </c>
      <c r="H517" s="310" t="str">
        <f t="shared" ref="H517:H523" si="531">IF(C517="T6",G517*F517,"")</f>
        <v/>
      </c>
      <c r="I517" s="311" t="str">
        <f t="shared" ref="I517:I523" si="532">IF(C517="T8",F517*G517,"")</f>
        <v/>
      </c>
      <c r="J517" s="311" t="str">
        <f t="shared" ref="J517:J523" si="533">IF(C517="T10",F517*G517,"")</f>
        <v/>
      </c>
      <c r="K517" s="311">
        <f t="shared" ref="K517:K523" si="534">IF(C517="T12",F517*G517,"")</f>
        <v>12.32</v>
      </c>
      <c r="L517" s="310" t="str">
        <f t="shared" ref="L517:L523" si="535">IF(C517="T14",F517*G517,"")</f>
        <v/>
      </c>
      <c r="M517" s="310" t="str">
        <f t="shared" ref="M517:M523" si="536">IF(C517="T16",G517*F517,"")</f>
        <v/>
      </c>
      <c r="N517" s="311" t="str">
        <f t="shared" ref="N517:N523" si="537">IF(C517="T20",G517*F517,"")</f>
        <v/>
      </c>
    </row>
    <row r="518" spans="1:14" s="294" customFormat="1">
      <c r="A518" s="297" t="s">
        <v>1515</v>
      </c>
      <c r="B518" s="298"/>
      <c r="C518" s="299" t="s">
        <v>1492</v>
      </c>
      <c r="D518" s="299">
        <v>1</v>
      </c>
      <c r="E518" s="300">
        <v>3</v>
      </c>
      <c r="F518" s="300">
        <f>E518*D518</f>
        <v>3</v>
      </c>
      <c r="G518" s="299">
        <f>(3.7)+17*0.014*2</f>
        <v>4.1760000000000002</v>
      </c>
      <c r="H518" s="310" t="str">
        <f t="shared" si="531"/>
        <v/>
      </c>
      <c r="I518" s="311" t="str">
        <f t="shared" si="532"/>
        <v/>
      </c>
      <c r="J518" s="311" t="str">
        <f t="shared" si="533"/>
        <v/>
      </c>
      <c r="K518" s="311" t="str">
        <f t="shared" si="534"/>
        <v/>
      </c>
      <c r="L518" s="310">
        <f t="shared" si="535"/>
        <v>12.53</v>
      </c>
      <c r="M518" s="310" t="str">
        <f t="shared" si="536"/>
        <v/>
      </c>
      <c r="N518" s="311" t="str">
        <f t="shared" si="537"/>
        <v/>
      </c>
    </row>
    <row r="519" spans="1:14" s="294" customFormat="1">
      <c r="A519" s="297"/>
      <c r="B519" s="298"/>
      <c r="C519" s="299" t="s">
        <v>1516</v>
      </c>
      <c r="D519" s="299">
        <v>1</v>
      </c>
      <c r="E519" s="300">
        <v>2</v>
      </c>
      <c r="F519" s="300">
        <f>E519*D519</f>
        <v>2</v>
      </c>
      <c r="G519" s="299">
        <v>3.7</v>
      </c>
      <c r="H519" s="310" t="str">
        <f t="shared" si="531"/>
        <v/>
      </c>
      <c r="I519" s="311" t="str">
        <f t="shared" si="532"/>
        <v/>
      </c>
      <c r="J519" s="311" t="str">
        <f t="shared" si="533"/>
        <v/>
      </c>
      <c r="K519" s="311">
        <f t="shared" si="534"/>
        <v>7.4</v>
      </c>
      <c r="L519" s="310" t="str">
        <f t="shared" si="535"/>
        <v/>
      </c>
      <c r="M519" s="310" t="str">
        <f t="shared" si="536"/>
        <v/>
      </c>
      <c r="N519" s="311" t="str">
        <f t="shared" si="537"/>
        <v/>
      </c>
    </row>
    <row r="520" spans="1:14" s="294" customFormat="1">
      <c r="A520" s="297" t="s">
        <v>1494</v>
      </c>
      <c r="B520" s="301"/>
      <c r="C520" s="299" t="s">
        <v>1496</v>
      </c>
      <c r="D520" s="299">
        <v>1</v>
      </c>
      <c r="E520" s="300">
        <f>11+11+11</f>
        <v>33</v>
      </c>
      <c r="F520" s="300">
        <f t="shared" ref="F520:F521" si="538">E520*D520</f>
        <v>33</v>
      </c>
      <c r="G520" s="302">
        <f>(0.2+0.5)*2+17*0.008*2</f>
        <v>1.67</v>
      </c>
      <c r="H520" s="310" t="str">
        <f t="shared" si="531"/>
        <v/>
      </c>
      <c r="I520" s="311">
        <f t="shared" si="532"/>
        <v>55.11</v>
      </c>
      <c r="J520" s="311" t="str">
        <f t="shared" si="533"/>
        <v/>
      </c>
      <c r="K520" s="311" t="str">
        <f t="shared" si="534"/>
        <v/>
      </c>
      <c r="L520" s="310" t="str">
        <f t="shared" si="535"/>
        <v/>
      </c>
      <c r="M520" s="310" t="str">
        <f t="shared" si="536"/>
        <v/>
      </c>
      <c r="N520" s="311" t="str">
        <f t="shared" si="537"/>
        <v/>
      </c>
    </row>
    <row r="521" spans="1:14" s="294" customFormat="1">
      <c r="A521" s="297" t="s">
        <v>1517</v>
      </c>
      <c r="B521" s="301"/>
      <c r="C521" s="299" t="s">
        <v>1496</v>
      </c>
      <c r="D521" s="299">
        <v>1</v>
      </c>
      <c r="E521" s="300">
        <f>11+11+11</f>
        <v>33</v>
      </c>
      <c r="F521" s="300">
        <f t="shared" si="538"/>
        <v>33</v>
      </c>
      <c r="G521" s="302">
        <f>(0.5*2)+17*0.008*2</f>
        <v>1.27</v>
      </c>
      <c r="H521" s="310" t="str">
        <f t="shared" si="531"/>
        <v/>
      </c>
      <c r="I521" s="311">
        <f t="shared" si="532"/>
        <v>41.91</v>
      </c>
      <c r="J521" s="311" t="str">
        <f t="shared" si="533"/>
        <v/>
      </c>
      <c r="K521" s="311" t="str">
        <f t="shared" si="534"/>
        <v/>
      </c>
      <c r="L521" s="310" t="str">
        <f t="shared" si="535"/>
        <v/>
      </c>
      <c r="M521" s="310" t="str">
        <f t="shared" si="536"/>
        <v/>
      </c>
      <c r="N521" s="311" t="str">
        <f t="shared" si="537"/>
        <v/>
      </c>
    </row>
    <row r="522" spans="1:14">
      <c r="A522" s="297" t="s">
        <v>1520</v>
      </c>
      <c r="B522" s="254"/>
      <c r="C522" s="299" t="s">
        <v>1492</v>
      </c>
      <c r="D522" s="299">
        <v>1</v>
      </c>
      <c r="E522" s="300">
        <v>12</v>
      </c>
      <c r="F522" s="300">
        <f>E522*D522</f>
        <v>12</v>
      </c>
      <c r="G522" s="299">
        <v>4</v>
      </c>
      <c r="H522" s="310" t="str">
        <f t="shared" si="531"/>
        <v/>
      </c>
      <c r="I522" s="311" t="str">
        <f t="shared" si="532"/>
        <v/>
      </c>
      <c r="J522" s="311" t="str">
        <f t="shared" si="533"/>
        <v/>
      </c>
      <c r="K522" s="311" t="str">
        <f t="shared" si="534"/>
        <v/>
      </c>
      <c r="L522" s="310">
        <f t="shared" si="535"/>
        <v>48</v>
      </c>
      <c r="M522" s="310" t="str">
        <f t="shared" si="536"/>
        <v/>
      </c>
      <c r="N522" s="311" t="str">
        <f t="shared" si="537"/>
        <v/>
      </c>
    </row>
    <row r="523" spans="1:14">
      <c r="A523" s="253"/>
      <c r="B523" s="254"/>
      <c r="C523" s="299" t="s">
        <v>1492</v>
      </c>
      <c r="D523" s="299">
        <v>1</v>
      </c>
      <c r="E523" s="300">
        <v>3</v>
      </c>
      <c r="F523" s="300">
        <f>E523*D523</f>
        <v>3</v>
      </c>
      <c r="G523" s="302">
        <v>3.4</v>
      </c>
      <c r="H523" s="310" t="str">
        <f t="shared" si="531"/>
        <v/>
      </c>
      <c r="I523" s="311" t="str">
        <f t="shared" si="532"/>
        <v/>
      </c>
      <c r="J523" s="311" t="str">
        <f t="shared" si="533"/>
        <v/>
      </c>
      <c r="K523" s="311" t="str">
        <f t="shared" si="534"/>
        <v/>
      </c>
      <c r="L523" s="310">
        <f t="shared" si="535"/>
        <v>10.199999999999999</v>
      </c>
      <c r="M523" s="310" t="str">
        <f t="shared" si="536"/>
        <v/>
      </c>
      <c r="N523" s="311" t="str">
        <f t="shared" si="537"/>
        <v/>
      </c>
    </row>
    <row r="524" spans="1:14">
      <c r="A524" s="253"/>
      <c r="B524" s="254"/>
      <c r="C524" s="299"/>
      <c r="D524" s="299"/>
      <c r="E524" s="300"/>
      <c r="F524" s="300"/>
      <c r="G524" s="299"/>
      <c r="H524" s="310"/>
      <c r="I524" s="311"/>
      <c r="J524" s="311"/>
      <c r="K524" s="311"/>
      <c r="L524" s="310"/>
      <c r="M524" s="310"/>
      <c r="N524" s="311"/>
    </row>
    <row r="525" spans="1:14" ht="16.5">
      <c r="A525" s="303" t="s">
        <v>1648</v>
      </c>
      <c r="B525" s="254"/>
      <c r="C525" s="299"/>
      <c r="D525" s="299"/>
      <c r="E525" s="300"/>
      <c r="F525" s="300"/>
      <c r="G525" s="299"/>
      <c r="H525" s="310"/>
      <c r="I525" s="311"/>
      <c r="J525" s="311"/>
      <c r="K525" s="311"/>
      <c r="L525" s="310"/>
      <c r="M525" s="310"/>
      <c r="N525" s="311"/>
    </row>
    <row r="526" spans="1:14" s="294" customFormat="1">
      <c r="A526" s="297" t="s">
        <v>1515</v>
      </c>
      <c r="B526" s="298"/>
      <c r="C526" s="299" t="s">
        <v>1516</v>
      </c>
      <c r="D526" s="299">
        <v>1</v>
      </c>
      <c r="E526" s="300">
        <v>3</v>
      </c>
      <c r="F526" s="300">
        <f>E526*D526</f>
        <v>3</v>
      </c>
      <c r="G526" s="299">
        <f>(3.7)+17*0.012*2</f>
        <v>4.1079999999999997</v>
      </c>
      <c r="H526" s="310" t="str">
        <f t="shared" ref="H526:H532" si="539">IF(C526="T6",G526*F526,"")</f>
        <v/>
      </c>
      <c r="I526" s="311" t="str">
        <f t="shared" ref="I526:I532" si="540">IF(C526="T8",F526*G526,"")</f>
        <v/>
      </c>
      <c r="J526" s="311" t="str">
        <f t="shared" ref="J526:J532" si="541">IF(C526="T10",F526*G526,"")</f>
        <v/>
      </c>
      <c r="K526" s="311">
        <f t="shared" ref="K526:K532" si="542">IF(C526="T12",F526*G526,"")</f>
        <v>12.32</v>
      </c>
      <c r="L526" s="310" t="str">
        <f t="shared" ref="L526:L532" si="543">IF(C526="T14",F526*G526,"")</f>
        <v/>
      </c>
      <c r="M526" s="310" t="str">
        <f t="shared" ref="M526:M532" si="544">IF(C526="T16",G526*F526,"")</f>
        <v/>
      </c>
      <c r="N526" s="311" t="str">
        <f t="shared" ref="N526:N532" si="545">IF(C526="T20",G526*F526,"")</f>
        <v/>
      </c>
    </row>
    <row r="527" spans="1:14" s="294" customFormat="1">
      <c r="A527" s="297" t="s">
        <v>1515</v>
      </c>
      <c r="B527" s="298"/>
      <c r="C527" s="299" t="s">
        <v>1492</v>
      </c>
      <c r="D527" s="299">
        <v>1</v>
      </c>
      <c r="E527" s="300">
        <v>3</v>
      </c>
      <c r="F527" s="300">
        <f>E527*D527</f>
        <v>3</v>
      </c>
      <c r="G527" s="299">
        <f>(3.7)+17*0.014*2</f>
        <v>4.1760000000000002</v>
      </c>
      <c r="H527" s="310" t="str">
        <f t="shared" si="539"/>
        <v/>
      </c>
      <c r="I527" s="311" t="str">
        <f t="shared" si="540"/>
        <v/>
      </c>
      <c r="J527" s="311" t="str">
        <f t="shared" si="541"/>
        <v/>
      </c>
      <c r="K527" s="311" t="str">
        <f t="shared" si="542"/>
        <v/>
      </c>
      <c r="L527" s="310">
        <f t="shared" si="543"/>
        <v>12.53</v>
      </c>
      <c r="M527" s="310" t="str">
        <f t="shared" si="544"/>
        <v/>
      </c>
      <c r="N527" s="311" t="str">
        <f t="shared" si="545"/>
        <v/>
      </c>
    </row>
    <row r="528" spans="1:14" s="294" customFormat="1">
      <c r="A528" s="297"/>
      <c r="B528" s="298"/>
      <c r="C528" s="299" t="s">
        <v>1516</v>
      </c>
      <c r="D528" s="299">
        <v>1</v>
      </c>
      <c r="E528" s="300">
        <v>2</v>
      </c>
      <c r="F528" s="300">
        <f>E528*D528</f>
        <v>2</v>
      </c>
      <c r="G528" s="299">
        <v>3.7</v>
      </c>
      <c r="H528" s="310" t="str">
        <f t="shared" si="539"/>
        <v/>
      </c>
      <c r="I528" s="311" t="str">
        <f t="shared" si="540"/>
        <v/>
      </c>
      <c r="J528" s="311" t="str">
        <f t="shared" si="541"/>
        <v/>
      </c>
      <c r="K528" s="311">
        <f t="shared" si="542"/>
        <v>7.4</v>
      </c>
      <c r="L528" s="310" t="str">
        <f t="shared" si="543"/>
        <v/>
      </c>
      <c r="M528" s="310" t="str">
        <f t="shared" si="544"/>
        <v/>
      </c>
      <c r="N528" s="311" t="str">
        <f t="shared" si="545"/>
        <v/>
      </c>
    </row>
    <row r="529" spans="1:14" s="294" customFormat="1">
      <c r="A529" s="297" t="s">
        <v>1494</v>
      </c>
      <c r="B529" s="301"/>
      <c r="C529" s="299" t="s">
        <v>1496</v>
      </c>
      <c r="D529" s="299">
        <v>1</v>
      </c>
      <c r="E529" s="300">
        <f>11+11+11</f>
        <v>33</v>
      </c>
      <c r="F529" s="300">
        <f t="shared" ref="F529:F530" si="546">E529*D529</f>
        <v>33</v>
      </c>
      <c r="G529" s="302">
        <f>(0.2+0.5)*2+17*0.008*2</f>
        <v>1.67</v>
      </c>
      <c r="H529" s="310" t="str">
        <f t="shared" si="539"/>
        <v/>
      </c>
      <c r="I529" s="311">
        <f t="shared" si="540"/>
        <v>55.11</v>
      </c>
      <c r="J529" s="311" t="str">
        <f t="shared" si="541"/>
        <v/>
      </c>
      <c r="K529" s="311" t="str">
        <f t="shared" si="542"/>
        <v/>
      </c>
      <c r="L529" s="310" t="str">
        <f t="shared" si="543"/>
        <v/>
      </c>
      <c r="M529" s="310" t="str">
        <f t="shared" si="544"/>
        <v/>
      </c>
      <c r="N529" s="311" t="str">
        <f t="shared" si="545"/>
        <v/>
      </c>
    </row>
    <row r="530" spans="1:14" s="294" customFormat="1">
      <c r="A530" s="297" t="s">
        <v>1517</v>
      </c>
      <c r="B530" s="301"/>
      <c r="C530" s="299" t="s">
        <v>1496</v>
      </c>
      <c r="D530" s="299">
        <v>1</v>
      </c>
      <c r="E530" s="300">
        <f>11+11+11</f>
        <v>33</v>
      </c>
      <c r="F530" s="300">
        <f t="shared" si="546"/>
        <v>33</v>
      </c>
      <c r="G530" s="302">
        <f>(0.5*2)+17*0.008*2</f>
        <v>1.27</v>
      </c>
      <c r="H530" s="310" t="str">
        <f t="shared" si="539"/>
        <v/>
      </c>
      <c r="I530" s="311">
        <f t="shared" si="540"/>
        <v>41.91</v>
      </c>
      <c r="J530" s="311" t="str">
        <f t="shared" si="541"/>
        <v/>
      </c>
      <c r="K530" s="311" t="str">
        <f t="shared" si="542"/>
        <v/>
      </c>
      <c r="L530" s="310" t="str">
        <f t="shared" si="543"/>
        <v/>
      </c>
      <c r="M530" s="310" t="str">
        <f t="shared" si="544"/>
        <v/>
      </c>
      <c r="N530" s="311" t="str">
        <f t="shared" si="545"/>
        <v/>
      </c>
    </row>
    <row r="531" spans="1:14">
      <c r="A531" s="297" t="s">
        <v>1520</v>
      </c>
      <c r="B531" s="254"/>
      <c r="C531" s="299" t="s">
        <v>1492</v>
      </c>
      <c r="D531" s="299">
        <v>1</v>
      </c>
      <c r="E531" s="300">
        <v>12</v>
      </c>
      <c r="F531" s="300">
        <f>E531*D531</f>
        <v>12</v>
      </c>
      <c r="G531" s="299">
        <v>4</v>
      </c>
      <c r="H531" s="310" t="str">
        <f t="shared" si="539"/>
        <v/>
      </c>
      <c r="I531" s="311" t="str">
        <f t="shared" si="540"/>
        <v/>
      </c>
      <c r="J531" s="311" t="str">
        <f t="shared" si="541"/>
        <v/>
      </c>
      <c r="K531" s="311" t="str">
        <f t="shared" si="542"/>
        <v/>
      </c>
      <c r="L531" s="310">
        <f t="shared" si="543"/>
        <v>48</v>
      </c>
      <c r="M531" s="310" t="str">
        <f t="shared" si="544"/>
        <v/>
      </c>
      <c r="N531" s="311" t="str">
        <f t="shared" si="545"/>
        <v/>
      </c>
    </row>
    <row r="532" spans="1:14">
      <c r="A532" s="253"/>
      <c r="B532" s="254"/>
      <c r="C532" s="299" t="s">
        <v>1492</v>
      </c>
      <c r="D532" s="299">
        <v>1</v>
      </c>
      <c r="E532" s="300">
        <v>3</v>
      </c>
      <c r="F532" s="300">
        <f>E532*D532</f>
        <v>3</v>
      </c>
      <c r="G532" s="302">
        <v>3.45</v>
      </c>
      <c r="H532" s="310" t="str">
        <f t="shared" si="539"/>
        <v/>
      </c>
      <c r="I532" s="311" t="str">
        <f t="shared" si="540"/>
        <v/>
      </c>
      <c r="J532" s="311" t="str">
        <f t="shared" si="541"/>
        <v/>
      </c>
      <c r="K532" s="311" t="str">
        <f t="shared" si="542"/>
        <v/>
      </c>
      <c r="L532" s="310">
        <f t="shared" si="543"/>
        <v>10.35</v>
      </c>
      <c r="M532" s="310" t="str">
        <f t="shared" si="544"/>
        <v/>
      </c>
      <c r="N532" s="311" t="str">
        <f t="shared" si="545"/>
        <v/>
      </c>
    </row>
    <row r="533" spans="1:14">
      <c r="A533" s="253"/>
      <c r="B533" s="254"/>
      <c r="C533" s="299"/>
      <c r="D533" s="299"/>
      <c r="E533" s="300"/>
      <c r="F533" s="300"/>
      <c r="G533" s="299"/>
      <c r="H533" s="310"/>
      <c r="I533" s="311"/>
      <c r="J533" s="311"/>
      <c r="K533" s="311"/>
      <c r="L533" s="310"/>
      <c r="M533" s="310"/>
      <c r="N533" s="311"/>
    </row>
    <row r="534" spans="1:14" ht="16.5">
      <c r="A534" s="303" t="s">
        <v>1647</v>
      </c>
      <c r="B534" s="254"/>
      <c r="C534" s="299"/>
      <c r="D534" s="299"/>
      <c r="E534" s="300"/>
      <c r="F534" s="300"/>
      <c r="G534" s="299"/>
      <c r="H534" s="310"/>
      <c r="I534" s="311"/>
      <c r="J534" s="311"/>
      <c r="K534" s="311"/>
      <c r="L534" s="310"/>
      <c r="M534" s="310"/>
      <c r="N534" s="311"/>
    </row>
    <row r="535" spans="1:14" s="294" customFormat="1">
      <c r="A535" s="297" t="s">
        <v>1515</v>
      </c>
      <c r="B535" s="298"/>
      <c r="C535" s="299" t="s">
        <v>1516</v>
      </c>
      <c r="D535" s="299">
        <v>1</v>
      </c>
      <c r="E535" s="300">
        <v>3</v>
      </c>
      <c r="F535" s="300">
        <f>E535*D535</f>
        <v>3</v>
      </c>
      <c r="G535" s="299">
        <f>(3.7)+17*0.012*2</f>
        <v>4.1079999999999997</v>
      </c>
      <c r="H535" s="310" t="str">
        <f t="shared" ref="H535:H540" si="547">IF(C535="T6",G535*F535,"")</f>
        <v/>
      </c>
      <c r="I535" s="311" t="str">
        <f t="shared" ref="I535:I540" si="548">IF(C535="T8",F535*G535,"")</f>
        <v/>
      </c>
      <c r="J535" s="311" t="str">
        <f t="shared" ref="J535:J540" si="549">IF(C535="T10",F535*G535,"")</f>
        <v/>
      </c>
      <c r="K535" s="311">
        <f t="shared" ref="K535:K540" si="550">IF(C535="T12",F535*G535,"")</f>
        <v>12.32</v>
      </c>
      <c r="L535" s="310" t="str">
        <f t="shared" ref="L535:L540" si="551">IF(C535="T14",F535*G535,"")</f>
        <v/>
      </c>
      <c r="M535" s="310" t="str">
        <f t="shared" ref="M535:M540" si="552">IF(C535="T16",G535*F535,"")</f>
        <v/>
      </c>
      <c r="N535" s="311" t="str">
        <f t="shared" ref="N535:N540" si="553">IF(C535="T20",G535*F535,"")</f>
        <v/>
      </c>
    </row>
    <row r="536" spans="1:14" s="294" customFormat="1">
      <c r="A536" s="297" t="s">
        <v>1515</v>
      </c>
      <c r="B536" s="298"/>
      <c r="C536" s="299" t="s">
        <v>1492</v>
      </c>
      <c r="D536" s="299">
        <v>1</v>
      </c>
      <c r="E536" s="300">
        <v>3</v>
      </c>
      <c r="F536" s="300">
        <f>E536*D536</f>
        <v>3</v>
      </c>
      <c r="G536" s="299">
        <f>(3.7)+17*0.014*2</f>
        <v>4.1760000000000002</v>
      </c>
      <c r="H536" s="310" t="str">
        <f t="shared" si="547"/>
        <v/>
      </c>
      <c r="I536" s="311" t="str">
        <f t="shared" si="548"/>
        <v/>
      </c>
      <c r="J536" s="311" t="str">
        <f t="shared" si="549"/>
        <v/>
      </c>
      <c r="K536" s="311" t="str">
        <f t="shared" si="550"/>
        <v/>
      </c>
      <c r="L536" s="310">
        <f t="shared" si="551"/>
        <v>12.53</v>
      </c>
      <c r="M536" s="310" t="str">
        <f t="shared" si="552"/>
        <v/>
      </c>
      <c r="N536" s="311" t="str">
        <f t="shared" si="553"/>
        <v/>
      </c>
    </row>
    <row r="537" spans="1:14" s="294" customFormat="1">
      <c r="A537" s="297"/>
      <c r="B537" s="298"/>
      <c r="C537" s="299" t="s">
        <v>1516</v>
      </c>
      <c r="D537" s="299">
        <v>1</v>
      </c>
      <c r="E537" s="300">
        <v>2</v>
      </c>
      <c r="F537" s="300">
        <f>E537*D537</f>
        <v>2</v>
      </c>
      <c r="G537" s="299">
        <v>3.7</v>
      </c>
      <c r="H537" s="310" t="str">
        <f t="shared" si="547"/>
        <v/>
      </c>
      <c r="I537" s="311" t="str">
        <f t="shared" si="548"/>
        <v/>
      </c>
      <c r="J537" s="311" t="str">
        <f t="shared" si="549"/>
        <v/>
      </c>
      <c r="K537" s="311">
        <f t="shared" si="550"/>
        <v>7.4</v>
      </c>
      <c r="L537" s="310" t="str">
        <f t="shared" si="551"/>
        <v/>
      </c>
      <c r="M537" s="310" t="str">
        <f t="shared" si="552"/>
        <v/>
      </c>
      <c r="N537" s="311" t="str">
        <f t="shared" si="553"/>
        <v/>
      </c>
    </row>
    <row r="538" spans="1:14" s="294" customFormat="1">
      <c r="A538" s="297" t="s">
        <v>1494</v>
      </c>
      <c r="B538" s="301"/>
      <c r="C538" s="299" t="s">
        <v>1496</v>
      </c>
      <c r="D538" s="299">
        <v>1</v>
      </c>
      <c r="E538" s="300">
        <f>13+13+12</f>
        <v>38</v>
      </c>
      <c r="F538" s="300">
        <f t="shared" ref="F538:F539" si="554">E538*D538</f>
        <v>38</v>
      </c>
      <c r="G538" s="302">
        <f>(0.2+0.55)*2+17*0.008*2</f>
        <v>1.77</v>
      </c>
      <c r="H538" s="310" t="str">
        <f t="shared" si="547"/>
        <v/>
      </c>
      <c r="I538" s="311">
        <f t="shared" si="548"/>
        <v>67.260000000000005</v>
      </c>
      <c r="J538" s="311" t="str">
        <f t="shared" si="549"/>
        <v/>
      </c>
      <c r="K538" s="311" t="str">
        <f t="shared" si="550"/>
        <v/>
      </c>
      <c r="L538" s="310" t="str">
        <f t="shared" si="551"/>
        <v/>
      </c>
      <c r="M538" s="310" t="str">
        <f t="shared" si="552"/>
        <v/>
      </c>
      <c r="N538" s="311" t="str">
        <f t="shared" si="553"/>
        <v/>
      </c>
    </row>
    <row r="539" spans="1:14" s="294" customFormat="1">
      <c r="A539" s="297" t="s">
        <v>1517</v>
      </c>
      <c r="B539" s="301"/>
      <c r="C539" s="299" t="s">
        <v>1496</v>
      </c>
      <c r="D539" s="299">
        <v>1</v>
      </c>
      <c r="E539" s="300">
        <f>13+13+12</f>
        <v>38</v>
      </c>
      <c r="F539" s="300">
        <f t="shared" si="554"/>
        <v>38</v>
      </c>
      <c r="G539" s="302">
        <f>(0.55*2)+17*0.008*2</f>
        <v>1.37</v>
      </c>
      <c r="H539" s="310" t="str">
        <f t="shared" si="547"/>
        <v/>
      </c>
      <c r="I539" s="311">
        <f t="shared" si="548"/>
        <v>52.06</v>
      </c>
      <c r="J539" s="311" t="str">
        <f t="shared" si="549"/>
        <v/>
      </c>
      <c r="K539" s="311" t="str">
        <f t="shared" si="550"/>
        <v/>
      </c>
      <c r="L539" s="310" t="str">
        <f t="shared" si="551"/>
        <v/>
      </c>
      <c r="M539" s="310" t="str">
        <f t="shared" si="552"/>
        <v/>
      </c>
      <c r="N539" s="311" t="str">
        <f t="shared" si="553"/>
        <v/>
      </c>
    </row>
    <row r="540" spans="1:14">
      <c r="A540" s="297" t="s">
        <v>1520</v>
      </c>
      <c r="B540" s="254"/>
      <c r="C540" s="299" t="s">
        <v>1492</v>
      </c>
      <c r="D540" s="299">
        <v>1</v>
      </c>
      <c r="E540" s="300">
        <v>6</v>
      </c>
      <c r="F540" s="300">
        <f>E540*D540</f>
        <v>6</v>
      </c>
      <c r="G540" s="299">
        <v>2.9</v>
      </c>
      <c r="H540" s="310" t="str">
        <f t="shared" si="547"/>
        <v/>
      </c>
      <c r="I540" s="311" t="str">
        <f t="shared" si="548"/>
        <v/>
      </c>
      <c r="J540" s="311" t="str">
        <f t="shared" si="549"/>
        <v/>
      </c>
      <c r="K540" s="311" t="str">
        <f t="shared" si="550"/>
        <v/>
      </c>
      <c r="L540" s="310">
        <f t="shared" si="551"/>
        <v>17.399999999999999</v>
      </c>
      <c r="M540" s="310" t="str">
        <f t="shared" si="552"/>
        <v/>
      </c>
      <c r="N540" s="311" t="str">
        <f t="shared" si="553"/>
        <v/>
      </c>
    </row>
    <row r="541" spans="1:14">
      <c r="A541" s="253"/>
      <c r="B541" s="254"/>
      <c r="C541" s="299"/>
      <c r="D541" s="299"/>
      <c r="E541" s="300"/>
      <c r="F541" s="300"/>
      <c r="G541" s="299"/>
      <c r="H541" s="310"/>
      <c r="I541" s="311"/>
      <c r="J541" s="311"/>
      <c r="K541" s="311"/>
      <c r="L541" s="310"/>
      <c r="M541" s="310"/>
      <c r="N541" s="311"/>
    </row>
    <row r="542" spans="1:14" ht="16.5">
      <c r="A542" s="303" t="s">
        <v>1646</v>
      </c>
      <c r="B542" s="254"/>
      <c r="C542" s="299"/>
      <c r="D542" s="299"/>
      <c r="E542" s="300"/>
      <c r="F542" s="300"/>
      <c r="G542" s="299"/>
      <c r="H542" s="310"/>
      <c r="I542" s="311"/>
      <c r="J542" s="311"/>
      <c r="K542" s="311"/>
      <c r="L542" s="310"/>
      <c r="M542" s="310"/>
      <c r="N542" s="311"/>
    </row>
    <row r="543" spans="1:14" s="294" customFormat="1">
      <c r="A543" s="297" t="s">
        <v>1515</v>
      </c>
      <c r="B543" s="298"/>
      <c r="C543" s="299" t="s">
        <v>1519</v>
      </c>
      <c r="D543" s="299">
        <v>1</v>
      </c>
      <c r="E543" s="300">
        <v>3</v>
      </c>
      <c r="F543" s="300">
        <f>E543*D543</f>
        <v>3</v>
      </c>
      <c r="G543" s="299">
        <f>(3.4)+17*0.01*2</f>
        <v>3.74</v>
      </c>
      <c r="H543" s="310" t="str">
        <f t="shared" ref="H543:H547" si="555">IF(C543="T6",G543*F543,"")</f>
        <v/>
      </c>
      <c r="I543" s="311" t="str">
        <f t="shared" ref="I543:I547" si="556">IF(C543="T8",F543*G543,"")</f>
        <v/>
      </c>
      <c r="J543" s="311">
        <f t="shared" ref="J543:J547" si="557">IF(C543="T10",F543*G543,"")</f>
        <v>11.22</v>
      </c>
      <c r="K543" s="311" t="str">
        <f t="shared" ref="K543:K547" si="558">IF(C543="T12",F543*G543,"")</f>
        <v/>
      </c>
      <c r="L543" s="310" t="str">
        <f t="shared" ref="L543:L547" si="559">IF(C543="T14",F543*G543,"")</f>
        <v/>
      </c>
      <c r="M543" s="310" t="str">
        <f t="shared" ref="M543:M547" si="560">IF(C543="T16",G543*F543,"")</f>
        <v/>
      </c>
      <c r="N543" s="311" t="str">
        <f t="shared" ref="N543:N547" si="561">IF(C543="T20",G543*F543,"")</f>
        <v/>
      </c>
    </row>
    <row r="544" spans="1:14" s="294" customFormat="1">
      <c r="A544" s="297" t="s">
        <v>1515</v>
      </c>
      <c r="B544" s="298"/>
      <c r="C544" s="299" t="s">
        <v>1492</v>
      </c>
      <c r="D544" s="299">
        <v>1</v>
      </c>
      <c r="E544" s="300">
        <v>3</v>
      </c>
      <c r="F544" s="300">
        <f>E544*D544</f>
        <v>3</v>
      </c>
      <c r="G544" s="299">
        <f>(3.4)+17*0.014*2</f>
        <v>3.8759999999999999</v>
      </c>
      <c r="H544" s="310" t="str">
        <f t="shared" si="555"/>
        <v/>
      </c>
      <c r="I544" s="311" t="str">
        <f t="shared" si="556"/>
        <v/>
      </c>
      <c r="J544" s="311" t="str">
        <f t="shared" si="557"/>
        <v/>
      </c>
      <c r="K544" s="311" t="str">
        <f t="shared" si="558"/>
        <v/>
      </c>
      <c r="L544" s="310">
        <f t="shared" si="559"/>
        <v>11.63</v>
      </c>
      <c r="M544" s="310" t="str">
        <f t="shared" si="560"/>
        <v/>
      </c>
      <c r="N544" s="311" t="str">
        <f t="shared" si="561"/>
        <v/>
      </c>
    </row>
    <row r="545" spans="1:14" s="294" customFormat="1">
      <c r="A545" s="297" t="s">
        <v>1494</v>
      </c>
      <c r="B545" s="301"/>
      <c r="C545" s="299" t="s">
        <v>1496</v>
      </c>
      <c r="D545" s="299">
        <v>1</v>
      </c>
      <c r="E545" s="300">
        <f>11+10+11</f>
        <v>32</v>
      </c>
      <c r="F545" s="300">
        <f t="shared" ref="F545:F546" si="562">E545*D545</f>
        <v>32</v>
      </c>
      <c r="G545" s="302">
        <f>(0.2+0.35)*2+17*0.008*2</f>
        <v>1.37</v>
      </c>
      <c r="H545" s="310" t="str">
        <f t="shared" si="555"/>
        <v/>
      </c>
      <c r="I545" s="311">
        <f t="shared" si="556"/>
        <v>43.84</v>
      </c>
      <c r="J545" s="311" t="str">
        <f t="shared" si="557"/>
        <v/>
      </c>
      <c r="K545" s="311" t="str">
        <f t="shared" si="558"/>
        <v/>
      </c>
      <c r="L545" s="310" t="str">
        <f t="shared" si="559"/>
        <v/>
      </c>
      <c r="M545" s="310" t="str">
        <f t="shared" si="560"/>
        <v/>
      </c>
      <c r="N545" s="311" t="str">
        <f t="shared" si="561"/>
        <v/>
      </c>
    </row>
    <row r="546" spans="1:14" s="294" customFormat="1">
      <c r="A546" s="297" t="s">
        <v>1517</v>
      </c>
      <c r="B546" s="301"/>
      <c r="C546" s="299" t="s">
        <v>1496</v>
      </c>
      <c r="D546" s="299">
        <v>1</v>
      </c>
      <c r="E546" s="300">
        <f>11+10+11</f>
        <v>32</v>
      </c>
      <c r="F546" s="300">
        <f t="shared" si="562"/>
        <v>32</v>
      </c>
      <c r="G546" s="302">
        <f>(0.35*2)+17*0.008*2</f>
        <v>0.97</v>
      </c>
      <c r="H546" s="310" t="str">
        <f t="shared" si="555"/>
        <v/>
      </c>
      <c r="I546" s="311">
        <f t="shared" si="556"/>
        <v>31.04</v>
      </c>
      <c r="J546" s="311" t="str">
        <f t="shared" si="557"/>
        <v/>
      </c>
      <c r="K546" s="311" t="str">
        <f t="shared" si="558"/>
        <v/>
      </c>
      <c r="L546" s="310" t="str">
        <f t="shared" si="559"/>
        <v/>
      </c>
      <c r="M546" s="310" t="str">
        <f t="shared" si="560"/>
        <v/>
      </c>
      <c r="N546" s="311" t="str">
        <f t="shared" si="561"/>
        <v/>
      </c>
    </row>
    <row r="547" spans="1:14">
      <c r="A547" s="297" t="s">
        <v>1520</v>
      </c>
      <c r="B547" s="254"/>
      <c r="C547" s="299" t="s">
        <v>1516</v>
      </c>
      <c r="D547" s="299">
        <v>1</v>
      </c>
      <c r="E547" s="300">
        <v>6</v>
      </c>
      <c r="F547" s="300">
        <f>E547*D547</f>
        <v>6</v>
      </c>
      <c r="G547" s="299">
        <v>2.9</v>
      </c>
      <c r="H547" s="310" t="str">
        <f t="shared" si="555"/>
        <v/>
      </c>
      <c r="I547" s="311" t="str">
        <f t="shared" si="556"/>
        <v/>
      </c>
      <c r="J547" s="311" t="str">
        <f t="shared" si="557"/>
        <v/>
      </c>
      <c r="K547" s="311">
        <f t="shared" si="558"/>
        <v>17.399999999999999</v>
      </c>
      <c r="L547" s="310" t="str">
        <f t="shared" si="559"/>
        <v/>
      </c>
      <c r="M547" s="310" t="str">
        <f t="shared" si="560"/>
        <v/>
      </c>
      <c r="N547" s="311" t="str">
        <f t="shared" si="561"/>
        <v/>
      </c>
    </row>
    <row r="548" spans="1:14">
      <c r="A548" s="253"/>
      <c r="B548" s="254"/>
      <c r="C548" s="299"/>
      <c r="D548" s="299"/>
      <c r="E548" s="300"/>
      <c r="F548" s="300"/>
      <c r="G548" s="299"/>
      <c r="H548" s="310"/>
      <c r="I548" s="311"/>
      <c r="J548" s="311"/>
      <c r="K548" s="311"/>
      <c r="L548" s="310"/>
      <c r="M548" s="310"/>
      <c r="N548" s="311"/>
    </row>
    <row r="549" spans="1:14" ht="16.5">
      <c r="A549" s="303" t="s">
        <v>1645</v>
      </c>
      <c r="B549" s="254"/>
      <c r="C549" s="299"/>
      <c r="D549" s="299"/>
      <c r="E549" s="300"/>
      <c r="F549" s="300"/>
      <c r="G549" s="299"/>
      <c r="H549" s="310"/>
      <c r="I549" s="311"/>
      <c r="J549" s="311"/>
      <c r="K549" s="311"/>
      <c r="L549" s="310"/>
      <c r="M549" s="310"/>
      <c r="N549" s="311"/>
    </row>
    <row r="550" spans="1:14" s="294" customFormat="1">
      <c r="A550" s="297" t="s">
        <v>1515</v>
      </c>
      <c r="B550" s="298"/>
      <c r="C550" s="299" t="s">
        <v>1519</v>
      </c>
      <c r="D550" s="299">
        <v>1</v>
      </c>
      <c r="E550" s="300">
        <v>3</v>
      </c>
      <c r="F550" s="300">
        <f>E550*D550</f>
        <v>3</v>
      </c>
      <c r="G550" s="299">
        <f>(4.35)+17*0.01*2</f>
        <v>4.6900000000000004</v>
      </c>
      <c r="H550" s="310" t="str">
        <f t="shared" ref="H550:H554" si="563">IF(C550="T6",G550*F550,"")</f>
        <v/>
      </c>
      <c r="I550" s="311" t="str">
        <f t="shared" ref="I550:I554" si="564">IF(C550="T8",F550*G550,"")</f>
        <v/>
      </c>
      <c r="J550" s="311">
        <f t="shared" ref="J550:J554" si="565">IF(C550="T10",F550*G550,"")</f>
        <v>14.07</v>
      </c>
      <c r="K550" s="311" t="str">
        <f t="shared" ref="K550:K554" si="566">IF(C550="T12",F550*G550,"")</f>
        <v/>
      </c>
      <c r="L550" s="310" t="str">
        <f t="shared" ref="L550:L554" si="567">IF(C550="T14",F550*G550,"")</f>
        <v/>
      </c>
      <c r="M550" s="310" t="str">
        <f t="shared" ref="M550:M554" si="568">IF(C550="T16",G550*F550,"")</f>
        <v/>
      </c>
      <c r="N550" s="311" t="str">
        <f t="shared" ref="N550:N554" si="569">IF(C550="T20",G550*F550,"")</f>
        <v/>
      </c>
    </row>
    <row r="551" spans="1:14" s="294" customFormat="1">
      <c r="A551" s="297" t="s">
        <v>1515</v>
      </c>
      <c r="B551" s="298"/>
      <c r="C551" s="299" t="s">
        <v>1516</v>
      </c>
      <c r="D551" s="299">
        <v>1</v>
      </c>
      <c r="E551" s="300">
        <v>3</v>
      </c>
      <c r="F551" s="300">
        <f>E551*D551</f>
        <v>3</v>
      </c>
      <c r="G551" s="299">
        <f>(4.35)+17*0.012*2</f>
        <v>4.758</v>
      </c>
      <c r="H551" s="310" t="str">
        <f t="shared" si="563"/>
        <v/>
      </c>
      <c r="I551" s="311" t="str">
        <f t="shared" si="564"/>
        <v/>
      </c>
      <c r="J551" s="311" t="str">
        <f t="shared" si="565"/>
        <v/>
      </c>
      <c r="K551" s="311">
        <f t="shared" si="566"/>
        <v>14.27</v>
      </c>
      <c r="L551" s="310" t="str">
        <f t="shared" si="567"/>
        <v/>
      </c>
      <c r="M551" s="310" t="str">
        <f t="shared" si="568"/>
        <v/>
      </c>
      <c r="N551" s="311" t="str">
        <f t="shared" si="569"/>
        <v/>
      </c>
    </row>
    <row r="552" spans="1:14" s="294" customFormat="1">
      <c r="A552" s="297" t="s">
        <v>1494</v>
      </c>
      <c r="B552" s="301"/>
      <c r="C552" s="299" t="s">
        <v>1496</v>
      </c>
      <c r="D552" s="299">
        <v>1</v>
      </c>
      <c r="E552" s="300">
        <f>12+12+13</f>
        <v>37</v>
      </c>
      <c r="F552" s="300">
        <f t="shared" ref="F552:F553" si="570">E552*D552</f>
        <v>37</v>
      </c>
      <c r="G552" s="302">
        <f>(0.2+0.35)*2+17*0.008*2</f>
        <v>1.37</v>
      </c>
      <c r="H552" s="310" t="str">
        <f t="shared" si="563"/>
        <v/>
      </c>
      <c r="I552" s="311">
        <f t="shared" si="564"/>
        <v>50.69</v>
      </c>
      <c r="J552" s="311" t="str">
        <f t="shared" si="565"/>
        <v/>
      </c>
      <c r="K552" s="311" t="str">
        <f t="shared" si="566"/>
        <v/>
      </c>
      <c r="L552" s="310" t="str">
        <f t="shared" si="567"/>
        <v/>
      </c>
      <c r="M552" s="310" t="str">
        <f t="shared" si="568"/>
        <v/>
      </c>
      <c r="N552" s="311" t="str">
        <f t="shared" si="569"/>
        <v/>
      </c>
    </row>
    <row r="553" spans="1:14" s="294" customFormat="1">
      <c r="A553" s="297" t="s">
        <v>1517</v>
      </c>
      <c r="B553" s="301"/>
      <c r="C553" s="299" t="s">
        <v>1496</v>
      </c>
      <c r="D553" s="299">
        <v>1</v>
      </c>
      <c r="E553" s="300">
        <f>12+12+13</f>
        <v>37</v>
      </c>
      <c r="F553" s="300">
        <f t="shared" si="570"/>
        <v>37</v>
      </c>
      <c r="G553" s="302">
        <f>(0.35*2)+17*0.008*2</f>
        <v>0.97</v>
      </c>
      <c r="H553" s="310" t="str">
        <f t="shared" si="563"/>
        <v/>
      </c>
      <c r="I553" s="311">
        <f t="shared" si="564"/>
        <v>35.89</v>
      </c>
      <c r="J553" s="311" t="str">
        <f t="shared" si="565"/>
        <v/>
      </c>
      <c r="K553" s="311" t="str">
        <f t="shared" si="566"/>
        <v/>
      </c>
      <c r="L553" s="310" t="str">
        <f t="shared" si="567"/>
        <v/>
      </c>
      <c r="M553" s="310" t="str">
        <f t="shared" si="568"/>
        <v/>
      </c>
      <c r="N553" s="311" t="str">
        <f t="shared" si="569"/>
        <v/>
      </c>
    </row>
    <row r="554" spans="1:14">
      <c r="A554" s="297" t="s">
        <v>1520</v>
      </c>
      <c r="B554" s="254"/>
      <c r="C554" s="299" t="s">
        <v>1516</v>
      </c>
      <c r="D554" s="299">
        <v>1</v>
      </c>
      <c r="E554" s="300">
        <v>3</v>
      </c>
      <c r="F554" s="300">
        <f>E554*D554</f>
        <v>3</v>
      </c>
      <c r="G554" s="299">
        <v>2.9</v>
      </c>
      <c r="H554" s="310" t="str">
        <f t="shared" si="563"/>
        <v/>
      </c>
      <c r="I554" s="311" t="str">
        <f t="shared" si="564"/>
        <v/>
      </c>
      <c r="J554" s="311" t="str">
        <f t="shared" si="565"/>
        <v/>
      </c>
      <c r="K554" s="311">
        <f t="shared" si="566"/>
        <v>8.6999999999999993</v>
      </c>
      <c r="L554" s="310" t="str">
        <f t="shared" si="567"/>
        <v/>
      </c>
      <c r="M554" s="310" t="str">
        <f t="shared" si="568"/>
        <v/>
      </c>
      <c r="N554" s="311" t="str">
        <f t="shared" si="569"/>
        <v/>
      </c>
    </row>
    <row r="555" spans="1:14">
      <c r="A555" s="253"/>
      <c r="B555" s="254"/>
      <c r="C555" s="299" t="s">
        <v>1492</v>
      </c>
      <c r="D555" s="299">
        <v>1</v>
      </c>
      <c r="E555" s="300">
        <v>3</v>
      </c>
      <c r="F555" s="300">
        <f>E555*D555</f>
        <v>3</v>
      </c>
      <c r="G555" s="299">
        <v>2.9</v>
      </c>
      <c r="H555" s="310" t="str">
        <f t="shared" ref="H555" si="571">IF(C555="T6",G555*F555,"")</f>
        <v/>
      </c>
      <c r="I555" s="311" t="str">
        <f t="shared" ref="I555" si="572">IF(C555="T8",F555*G555,"")</f>
        <v/>
      </c>
      <c r="J555" s="311" t="str">
        <f t="shared" ref="J555" si="573">IF(C555="T10",F555*G555,"")</f>
        <v/>
      </c>
      <c r="K555" s="311" t="str">
        <f t="shared" ref="K555" si="574">IF(C555="T12",F555*G555,"")</f>
        <v/>
      </c>
      <c r="L555" s="310">
        <f t="shared" ref="L555" si="575">IF(C555="T14",F555*G555,"")</f>
        <v>8.6999999999999993</v>
      </c>
      <c r="M555" s="310" t="str">
        <f t="shared" ref="M555" si="576">IF(C555="T16",G555*F555,"")</f>
        <v/>
      </c>
      <c r="N555" s="311" t="str">
        <f t="shared" ref="N555" si="577">IF(C555="T20",G555*F555,"")</f>
        <v/>
      </c>
    </row>
    <row r="556" spans="1:14">
      <c r="A556" s="253"/>
      <c r="B556" s="254"/>
      <c r="C556" s="299" t="s">
        <v>1519</v>
      </c>
      <c r="D556" s="299">
        <v>1</v>
      </c>
      <c r="E556" s="300">
        <v>3</v>
      </c>
      <c r="F556" s="300">
        <f>E556*D556</f>
        <v>3</v>
      </c>
      <c r="G556" s="299">
        <v>4.3499999999999996</v>
      </c>
      <c r="H556" s="310" t="str">
        <f t="shared" ref="H556" si="578">IF(C556="T6",G556*F556,"")</f>
        <v/>
      </c>
      <c r="I556" s="311" t="str">
        <f t="shared" ref="I556" si="579">IF(C556="T8",F556*G556,"")</f>
        <v/>
      </c>
      <c r="J556" s="311">
        <f t="shared" ref="J556" si="580">IF(C556="T10",F556*G556,"")</f>
        <v>13.05</v>
      </c>
      <c r="K556" s="311" t="str">
        <f t="shared" ref="K556" si="581">IF(C556="T12",F556*G556,"")</f>
        <v/>
      </c>
      <c r="L556" s="310" t="str">
        <f t="shared" ref="L556" si="582">IF(C556="T14",F556*G556,"")</f>
        <v/>
      </c>
      <c r="M556" s="310" t="str">
        <f t="shared" ref="M556" si="583">IF(C556="T16",G556*F556,"")</f>
        <v/>
      </c>
      <c r="N556" s="311" t="str">
        <f t="shared" ref="N556" si="584">IF(C556="T20",G556*F556,"")</f>
        <v/>
      </c>
    </row>
    <row r="557" spans="1:14">
      <c r="A557" s="253"/>
      <c r="B557" s="254"/>
      <c r="C557" s="299"/>
      <c r="D557" s="299"/>
      <c r="E557" s="300"/>
      <c r="F557" s="300"/>
      <c r="G557" s="299"/>
      <c r="H557" s="310"/>
      <c r="I557" s="311"/>
      <c r="J557" s="311"/>
      <c r="K557" s="311"/>
      <c r="L557" s="310"/>
      <c r="M557" s="310"/>
      <c r="N557" s="311"/>
    </row>
    <row r="558" spans="1:14" ht="16.5">
      <c r="A558" s="303" t="s">
        <v>1644</v>
      </c>
      <c r="B558" s="254"/>
      <c r="C558" s="299"/>
      <c r="D558" s="299"/>
      <c r="E558" s="300"/>
      <c r="F558" s="300"/>
      <c r="G558" s="299"/>
      <c r="H558" s="310"/>
      <c r="I558" s="311"/>
      <c r="J558" s="311"/>
      <c r="K558" s="311"/>
      <c r="L558" s="310"/>
      <c r="M558" s="310"/>
      <c r="N558" s="311"/>
    </row>
    <row r="559" spans="1:14" s="294" customFormat="1">
      <c r="A559" s="297" t="s">
        <v>1515</v>
      </c>
      <c r="B559" s="298"/>
      <c r="C559" s="299" t="s">
        <v>1519</v>
      </c>
      <c r="D559" s="299">
        <v>1</v>
      </c>
      <c r="E559" s="300">
        <v>3</v>
      </c>
      <c r="F559" s="300">
        <f>E559*D559</f>
        <v>3</v>
      </c>
      <c r="G559" s="299">
        <f>(3.4)+17*0.01*2</f>
        <v>3.74</v>
      </c>
      <c r="H559" s="310" t="str">
        <f t="shared" ref="H559:H563" si="585">IF(C559="T6",G559*F559,"")</f>
        <v/>
      </c>
      <c r="I559" s="311" t="str">
        <f t="shared" ref="I559:I563" si="586">IF(C559="T8",F559*G559,"")</f>
        <v/>
      </c>
      <c r="J559" s="311">
        <f t="shared" ref="J559:J563" si="587">IF(C559="T10",F559*G559,"")</f>
        <v>11.22</v>
      </c>
      <c r="K559" s="311" t="str">
        <f t="shared" ref="K559:K563" si="588">IF(C559="T12",F559*G559,"")</f>
        <v/>
      </c>
      <c r="L559" s="310" t="str">
        <f t="shared" ref="L559:L563" si="589">IF(C559="T14",F559*G559,"")</f>
        <v/>
      </c>
      <c r="M559" s="310" t="str">
        <f t="shared" ref="M559:M563" si="590">IF(C559="T16",G559*F559,"")</f>
        <v/>
      </c>
      <c r="N559" s="311" t="str">
        <f t="shared" ref="N559:N563" si="591">IF(C559="T20",G559*F559,"")</f>
        <v/>
      </c>
    </row>
    <row r="560" spans="1:14" s="294" customFormat="1">
      <c r="A560" s="297" t="s">
        <v>1515</v>
      </c>
      <c r="B560" s="298"/>
      <c r="C560" s="299" t="s">
        <v>1492</v>
      </c>
      <c r="D560" s="299">
        <v>1</v>
      </c>
      <c r="E560" s="300">
        <v>3</v>
      </c>
      <c r="F560" s="300">
        <f>E560*D560</f>
        <v>3</v>
      </c>
      <c r="G560" s="299">
        <f>(3.4)+17*0.014*2</f>
        <v>3.8759999999999999</v>
      </c>
      <c r="H560" s="310" t="str">
        <f t="shared" si="585"/>
        <v/>
      </c>
      <c r="I560" s="311" t="str">
        <f t="shared" si="586"/>
        <v/>
      </c>
      <c r="J560" s="311" t="str">
        <f t="shared" si="587"/>
        <v/>
      </c>
      <c r="K560" s="311" t="str">
        <f t="shared" si="588"/>
        <v/>
      </c>
      <c r="L560" s="310">
        <f t="shared" si="589"/>
        <v>11.63</v>
      </c>
      <c r="M560" s="310" t="str">
        <f t="shared" si="590"/>
        <v/>
      </c>
      <c r="N560" s="311" t="str">
        <f t="shared" si="591"/>
        <v/>
      </c>
    </row>
    <row r="561" spans="1:14" s="294" customFormat="1">
      <c r="A561" s="297" t="s">
        <v>1494</v>
      </c>
      <c r="B561" s="301"/>
      <c r="C561" s="299" t="s">
        <v>1496</v>
      </c>
      <c r="D561" s="299">
        <v>1</v>
      </c>
      <c r="E561" s="300">
        <f>11+10+11</f>
        <v>32</v>
      </c>
      <c r="F561" s="300">
        <f t="shared" ref="F561:F562" si="592">E561*D561</f>
        <v>32</v>
      </c>
      <c r="G561" s="302">
        <f>(0.2+0.35)*2+17*0.008*2</f>
        <v>1.37</v>
      </c>
      <c r="H561" s="310" t="str">
        <f t="shared" si="585"/>
        <v/>
      </c>
      <c r="I561" s="311">
        <f t="shared" si="586"/>
        <v>43.84</v>
      </c>
      <c r="J561" s="311" t="str">
        <f t="shared" si="587"/>
        <v/>
      </c>
      <c r="K561" s="311" t="str">
        <f t="shared" si="588"/>
        <v/>
      </c>
      <c r="L561" s="310" t="str">
        <f t="shared" si="589"/>
        <v/>
      </c>
      <c r="M561" s="310" t="str">
        <f t="shared" si="590"/>
        <v/>
      </c>
      <c r="N561" s="311" t="str">
        <f t="shared" si="591"/>
        <v/>
      </c>
    </row>
    <row r="562" spans="1:14" s="294" customFormat="1">
      <c r="A562" s="297" t="s">
        <v>1517</v>
      </c>
      <c r="B562" s="301"/>
      <c r="C562" s="299" t="s">
        <v>1496</v>
      </c>
      <c r="D562" s="299">
        <v>1</v>
      </c>
      <c r="E562" s="300">
        <f>11+10+11</f>
        <v>32</v>
      </c>
      <c r="F562" s="300">
        <f t="shared" si="592"/>
        <v>32</v>
      </c>
      <c r="G562" s="302">
        <f>(0.35*2)+17*0.008*2</f>
        <v>0.97</v>
      </c>
      <c r="H562" s="310" t="str">
        <f t="shared" si="585"/>
        <v/>
      </c>
      <c r="I562" s="311">
        <f t="shared" si="586"/>
        <v>31.04</v>
      </c>
      <c r="J562" s="311" t="str">
        <f t="shared" si="587"/>
        <v/>
      </c>
      <c r="K562" s="311" t="str">
        <f t="shared" si="588"/>
        <v/>
      </c>
      <c r="L562" s="310" t="str">
        <f t="shared" si="589"/>
        <v/>
      </c>
      <c r="M562" s="310" t="str">
        <f t="shared" si="590"/>
        <v/>
      </c>
      <c r="N562" s="311" t="str">
        <f t="shared" si="591"/>
        <v/>
      </c>
    </row>
    <row r="563" spans="1:14">
      <c r="A563" s="297" t="s">
        <v>1520</v>
      </c>
      <c r="B563" s="254"/>
      <c r="C563" s="299" t="s">
        <v>1516</v>
      </c>
      <c r="D563" s="299">
        <v>1</v>
      </c>
      <c r="E563" s="300">
        <v>6</v>
      </c>
      <c r="F563" s="300">
        <f>E563*D563</f>
        <v>6</v>
      </c>
      <c r="G563" s="299">
        <v>2.9</v>
      </c>
      <c r="H563" s="310" t="str">
        <f t="shared" si="585"/>
        <v/>
      </c>
      <c r="I563" s="311" t="str">
        <f t="shared" si="586"/>
        <v/>
      </c>
      <c r="J563" s="311" t="str">
        <f t="shared" si="587"/>
        <v/>
      </c>
      <c r="K563" s="311">
        <f t="shared" si="588"/>
        <v>17.399999999999999</v>
      </c>
      <c r="L563" s="310" t="str">
        <f t="shared" si="589"/>
        <v/>
      </c>
      <c r="M563" s="310" t="str">
        <f t="shared" si="590"/>
        <v/>
      </c>
      <c r="N563" s="311" t="str">
        <f t="shared" si="591"/>
        <v/>
      </c>
    </row>
    <row r="564" spans="1:14">
      <c r="A564" s="253"/>
      <c r="B564" s="254"/>
      <c r="C564" s="299"/>
      <c r="D564" s="299"/>
      <c r="E564" s="300"/>
      <c r="F564" s="300"/>
      <c r="G564" s="299"/>
      <c r="H564" s="310"/>
      <c r="I564" s="311"/>
      <c r="J564" s="311"/>
      <c r="K564" s="311"/>
      <c r="L564" s="310"/>
      <c r="M564" s="310"/>
      <c r="N564" s="311"/>
    </row>
    <row r="565" spans="1:14" ht="16.5">
      <c r="A565" s="303" t="s">
        <v>1643</v>
      </c>
      <c r="B565" s="254"/>
      <c r="C565" s="299"/>
      <c r="D565" s="299"/>
      <c r="E565" s="300"/>
      <c r="F565" s="300"/>
      <c r="G565" s="299"/>
      <c r="H565" s="310"/>
      <c r="I565" s="311"/>
      <c r="J565" s="311"/>
      <c r="K565" s="311"/>
      <c r="L565" s="310"/>
      <c r="M565" s="310"/>
      <c r="N565" s="311"/>
    </row>
    <row r="566" spans="1:14" s="294" customFormat="1">
      <c r="A566" s="297" t="s">
        <v>1515</v>
      </c>
      <c r="B566" s="298"/>
      <c r="C566" s="299" t="s">
        <v>1516</v>
      </c>
      <c r="D566" s="299">
        <v>1</v>
      </c>
      <c r="E566" s="300">
        <v>3</v>
      </c>
      <c r="F566" s="300">
        <f>E566*D566</f>
        <v>3</v>
      </c>
      <c r="G566" s="299">
        <f>(3.7)+17*0.012*2</f>
        <v>4.1079999999999997</v>
      </c>
      <c r="H566" s="310" t="str">
        <f t="shared" ref="H566:H571" si="593">IF(C566="T6",G566*F566,"")</f>
        <v/>
      </c>
      <c r="I566" s="311" t="str">
        <f t="shared" ref="I566:I571" si="594">IF(C566="T8",F566*G566,"")</f>
        <v/>
      </c>
      <c r="J566" s="311" t="str">
        <f t="shared" ref="J566:J571" si="595">IF(C566="T10",F566*G566,"")</f>
        <v/>
      </c>
      <c r="K566" s="311">
        <f t="shared" ref="K566:K571" si="596">IF(C566="T12",F566*G566,"")</f>
        <v>12.32</v>
      </c>
      <c r="L566" s="310" t="str">
        <f t="shared" ref="L566:L571" si="597">IF(C566="T14",F566*G566,"")</f>
        <v/>
      </c>
      <c r="M566" s="310" t="str">
        <f t="shared" ref="M566:M571" si="598">IF(C566="T16",G566*F566,"")</f>
        <v/>
      </c>
      <c r="N566" s="311" t="str">
        <f t="shared" ref="N566:N571" si="599">IF(C566="T20",G566*F566,"")</f>
        <v/>
      </c>
    </row>
    <row r="567" spans="1:14" s="294" customFormat="1">
      <c r="A567" s="297" t="s">
        <v>1515</v>
      </c>
      <c r="B567" s="298"/>
      <c r="C567" s="299" t="s">
        <v>1492</v>
      </c>
      <c r="D567" s="299">
        <v>1</v>
      </c>
      <c r="E567" s="300">
        <v>3</v>
      </c>
      <c r="F567" s="300">
        <f>E567*D567</f>
        <v>3</v>
      </c>
      <c r="G567" s="299">
        <f>(3.7)+17*0.014*2</f>
        <v>4.1760000000000002</v>
      </c>
      <c r="H567" s="310" t="str">
        <f t="shared" si="593"/>
        <v/>
      </c>
      <c r="I567" s="311" t="str">
        <f t="shared" si="594"/>
        <v/>
      </c>
      <c r="J567" s="311" t="str">
        <f t="shared" si="595"/>
        <v/>
      </c>
      <c r="K567" s="311" t="str">
        <f t="shared" si="596"/>
        <v/>
      </c>
      <c r="L567" s="310">
        <f t="shared" si="597"/>
        <v>12.53</v>
      </c>
      <c r="M567" s="310" t="str">
        <f t="shared" si="598"/>
        <v/>
      </c>
      <c r="N567" s="311" t="str">
        <f t="shared" si="599"/>
        <v/>
      </c>
    </row>
    <row r="568" spans="1:14" s="294" customFormat="1">
      <c r="A568" s="297"/>
      <c r="B568" s="298"/>
      <c r="C568" s="299" t="s">
        <v>1516</v>
      </c>
      <c r="D568" s="299">
        <v>1</v>
      </c>
      <c r="E568" s="300">
        <v>2</v>
      </c>
      <c r="F568" s="300">
        <f>E568*D568</f>
        <v>2</v>
      </c>
      <c r="G568" s="299">
        <v>3.7</v>
      </c>
      <c r="H568" s="310" t="str">
        <f t="shared" si="593"/>
        <v/>
      </c>
      <c r="I568" s="311" t="str">
        <f t="shared" si="594"/>
        <v/>
      </c>
      <c r="J568" s="311" t="str">
        <f t="shared" si="595"/>
        <v/>
      </c>
      <c r="K568" s="311">
        <f t="shared" si="596"/>
        <v>7.4</v>
      </c>
      <c r="L568" s="310" t="str">
        <f t="shared" si="597"/>
        <v/>
      </c>
      <c r="M568" s="310" t="str">
        <f t="shared" si="598"/>
        <v/>
      </c>
      <c r="N568" s="311" t="str">
        <f t="shared" si="599"/>
        <v/>
      </c>
    </row>
    <row r="569" spans="1:14" s="294" customFormat="1">
      <c r="A569" s="297" t="s">
        <v>1494</v>
      </c>
      <c r="B569" s="301"/>
      <c r="C569" s="299" t="s">
        <v>1496</v>
      </c>
      <c r="D569" s="299">
        <v>1</v>
      </c>
      <c r="E569" s="300">
        <f>13+13+12</f>
        <v>38</v>
      </c>
      <c r="F569" s="300">
        <f t="shared" ref="F569:F570" si="600">E569*D569</f>
        <v>38</v>
      </c>
      <c r="G569" s="302">
        <f>(0.2+0.55)*2+17*0.008*2</f>
        <v>1.77</v>
      </c>
      <c r="H569" s="310" t="str">
        <f t="shared" si="593"/>
        <v/>
      </c>
      <c r="I569" s="311">
        <f t="shared" si="594"/>
        <v>67.260000000000005</v>
      </c>
      <c r="J569" s="311" t="str">
        <f t="shared" si="595"/>
        <v/>
      </c>
      <c r="K569" s="311" t="str">
        <f t="shared" si="596"/>
        <v/>
      </c>
      <c r="L569" s="310" t="str">
        <f t="shared" si="597"/>
        <v/>
      </c>
      <c r="M569" s="310" t="str">
        <f t="shared" si="598"/>
        <v/>
      </c>
      <c r="N569" s="311" t="str">
        <f t="shared" si="599"/>
        <v/>
      </c>
    </row>
    <row r="570" spans="1:14" s="294" customFormat="1">
      <c r="A570" s="297" t="s">
        <v>1517</v>
      </c>
      <c r="B570" s="301"/>
      <c r="C570" s="299" t="s">
        <v>1496</v>
      </c>
      <c r="D570" s="299">
        <v>1</v>
      </c>
      <c r="E570" s="300">
        <f>13+13+12</f>
        <v>38</v>
      </c>
      <c r="F570" s="300">
        <f t="shared" si="600"/>
        <v>38</v>
      </c>
      <c r="G570" s="302">
        <f>(0.55*2)+17*0.008*2</f>
        <v>1.37</v>
      </c>
      <c r="H570" s="310" t="str">
        <f t="shared" si="593"/>
        <v/>
      </c>
      <c r="I570" s="311">
        <f t="shared" si="594"/>
        <v>52.06</v>
      </c>
      <c r="J570" s="311" t="str">
        <f t="shared" si="595"/>
        <v/>
      </c>
      <c r="K570" s="311" t="str">
        <f t="shared" si="596"/>
        <v/>
      </c>
      <c r="L570" s="310" t="str">
        <f t="shared" si="597"/>
        <v/>
      </c>
      <c r="M570" s="310" t="str">
        <f t="shared" si="598"/>
        <v/>
      </c>
      <c r="N570" s="311" t="str">
        <f t="shared" si="599"/>
        <v/>
      </c>
    </row>
    <row r="571" spans="1:14">
      <c r="A571" s="297" t="s">
        <v>1520</v>
      </c>
      <c r="B571" s="254"/>
      <c r="C571" s="299" t="s">
        <v>1492</v>
      </c>
      <c r="D571" s="299">
        <v>1</v>
      </c>
      <c r="E571" s="300">
        <v>12</v>
      </c>
      <c r="F571" s="300">
        <f>E571*D571</f>
        <v>12</v>
      </c>
      <c r="G571" s="302">
        <v>4</v>
      </c>
      <c r="H571" s="310" t="str">
        <f t="shared" si="593"/>
        <v/>
      </c>
      <c r="I571" s="311" t="str">
        <f t="shared" si="594"/>
        <v/>
      </c>
      <c r="J571" s="311" t="str">
        <f t="shared" si="595"/>
        <v/>
      </c>
      <c r="K571" s="311" t="str">
        <f t="shared" si="596"/>
        <v/>
      </c>
      <c r="L571" s="310">
        <f t="shared" si="597"/>
        <v>48</v>
      </c>
      <c r="M571" s="310" t="str">
        <f t="shared" si="598"/>
        <v/>
      </c>
      <c r="N571" s="311" t="str">
        <f t="shared" si="599"/>
        <v/>
      </c>
    </row>
    <row r="572" spans="1:14">
      <c r="A572" s="253"/>
      <c r="B572" s="254"/>
      <c r="C572" s="299" t="s">
        <v>1492</v>
      </c>
      <c r="D572" s="299">
        <v>1</v>
      </c>
      <c r="E572" s="300">
        <v>3</v>
      </c>
      <c r="F572" s="300">
        <f>E572*D572</f>
        <v>3</v>
      </c>
      <c r="G572" s="302">
        <v>3.4</v>
      </c>
      <c r="H572" s="310" t="str">
        <f t="shared" ref="H572" si="601">IF(C572="T6",G572*F572,"")</f>
        <v/>
      </c>
      <c r="I572" s="311" t="str">
        <f t="shared" ref="I572" si="602">IF(C572="T8",F572*G572,"")</f>
        <v/>
      </c>
      <c r="J572" s="311" t="str">
        <f t="shared" ref="J572" si="603">IF(C572="T10",F572*G572,"")</f>
        <v/>
      </c>
      <c r="K572" s="311" t="str">
        <f t="shared" ref="K572" si="604">IF(C572="T12",F572*G572,"")</f>
        <v/>
      </c>
      <c r="L572" s="310">
        <f t="shared" ref="L572" si="605">IF(C572="T14",F572*G572,"")</f>
        <v>10.199999999999999</v>
      </c>
      <c r="M572" s="310" t="str">
        <f t="shared" ref="M572" si="606">IF(C572="T16",G572*F572,"")</f>
        <v/>
      </c>
      <c r="N572" s="311" t="str">
        <f t="shared" ref="N572" si="607">IF(C572="T20",G572*F572,"")</f>
        <v/>
      </c>
    </row>
    <row r="573" spans="1:14">
      <c r="A573" s="253"/>
      <c r="B573" s="254"/>
      <c r="C573" s="299"/>
      <c r="D573" s="299"/>
      <c r="E573" s="300"/>
      <c r="F573" s="300"/>
      <c r="G573" s="299"/>
      <c r="H573" s="310"/>
      <c r="I573" s="311"/>
      <c r="J573" s="311"/>
      <c r="K573" s="311"/>
      <c r="L573" s="310"/>
      <c r="M573" s="310"/>
      <c r="N573" s="311"/>
    </row>
    <row r="574" spans="1:14" ht="16.5">
      <c r="A574" s="303" t="s">
        <v>1642</v>
      </c>
      <c r="B574" s="254"/>
      <c r="C574" s="299"/>
      <c r="D574" s="299"/>
      <c r="E574" s="300"/>
      <c r="F574" s="300"/>
      <c r="G574" s="299"/>
      <c r="H574" s="310"/>
      <c r="I574" s="311"/>
      <c r="J574" s="311"/>
      <c r="K574" s="311"/>
      <c r="L574" s="310"/>
      <c r="M574" s="310"/>
      <c r="N574" s="311"/>
    </row>
    <row r="575" spans="1:14" s="294" customFormat="1">
      <c r="A575" s="297" t="s">
        <v>1515</v>
      </c>
      <c r="B575" s="298"/>
      <c r="C575" s="299" t="s">
        <v>1516</v>
      </c>
      <c r="D575" s="299">
        <v>1</v>
      </c>
      <c r="E575" s="300">
        <v>3</v>
      </c>
      <c r="F575" s="300">
        <f>E575*D575</f>
        <v>3</v>
      </c>
      <c r="G575" s="299">
        <f>(3.85)+17*0.012*2</f>
        <v>4.258</v>
      </c>
      <c r="H575" s="310" t="str">
        <f t="shared" ref="H575:H581" si="608">IF(C575="T6",G575*F575,"")</f>
        <v/>
      </c>
      <c r="I575" s="311" t="str">
        <f t="shared" ref="I575:I581" si="609">IF(C575="T8",F575*G575,"")</f>
        <v/>
      </c>
      <c r="J575" s="311" t="str">
        <f t="shared" ref="J575:J581" si="610">IF(C575="T10",F575*G575,"")</f>
        <v/>
      </c>
      <c r="K575" s="311">
        <f t="shared" ref="K575:K581" si="611">IF(C575="T12",F575*G575,"")</f>
        <v>12.77</v>
      </c>
      <c r="L575" s="310" t="str">
        <f t="shared" ref="L575:L581" si="612">IF(C575="T14",F575*G575,"")</f>
        <v/>
      </c>
      <c r="M575" s="310" t="str">
        <f t="shared" ref="M575:M581" si="613">IF(C575="T16",G575*F575,"")</f>
        <v/>
      </c>
      <c r="N575" s="311" t="str">
        <f t="shared" ref="N575:N581" si="614">IF(C575="T20",G575*F575,"")</f>
        <v/>
      </c>
    </row>
    <row r="576" spans="1:14" s="294" customFormat="1">
      <c r="A576" s="297" t="s">
        <v>1515</v>
      </c>
      <c r="B576" s="298"/>
      <c r="C576" s="299" t="s">
        <v>1492</v>
      </c>
      <c r="D576" s="299">
        <v>1</v>
      </c>
      <c r="E576" s="300">
        <v>3</v>
      </c>
      <c r="F576" s="300">
        <f>E576*D576</f>
        <v>3</v>
      </c>
      <c r="G576" s="299">
        <f>(3.85)+17*0.014*2</f>
        <v>4.3259999999999996</v>
      </c>
      <c r="H576" s="310" t="str">
        <f t="shared" si="608"/>
        <v/>
      </c>
      <c r="I576" s="311" t="str">
        <f t="shared" si="609"/>
        <v/>
      </c>
      <c r="J576" s="311" t="str">
        <f t="shared" si="610"/>
        <v/>
      </c>
      <c r="K576" s="311" t="str">
        <f t="shared" si="611"/>
        <v/>
      </c>
      <c r="L576" s="310">
        <f t="shared" si="612"/>
        <v>12.98</v>
      </c>
      <c r="M576" s="310" t="str">
        <f t="shared" si="613"/>
        <v/>
      </c>
      <c r="N576" s="311" t="str">
        <f t="shared" si="614"/>
        <v/>
      </c>
    </row>
    <row r="577" spans="1:14" s="294" customFormat="1">
      <c r="A577" s="297"/>
      <c r="B577" s="298"/>
      <c r="C577" s="299" t="s">
        <v>1516</v>
      </c>
      <c r="D577" s="299">
        <v>1</v>
      </c>
      <c r="E577" s="300">
        <v>2</v>
      </c>
      <c r="F577" s="300">
        <f>E577*D577</f>
        <v>2</v>
      </c>
      <c r="G577" s="299">
        <v>3.85</v>
      </c>
      <c r="H577" s="310" t="str">
        <f t="shared" si="608"/>
        <v/>
      </c>
      <c r="I577" s="311" t="str">
        <f t="shared" si="609"/>
        <v/>
      </c>
      <c r="J577" s="311" t="str">
        <f t="shared" si="610"/>
        <v/>
      </c>
      <c r="K577" s="311">
        <f t="shared" si="611"/>
        <v>7.7</v>
      </c>
      <c r="L577" s="310" t="str">
        <f t="shared" si="612"/>
        <v/>
      </c>
      <c r="M577" s="310" t="str">
        <f t="shared" si="613"/>
        <v/>
      </c>
      <c r="N577" s="311" t="str">
        <f t="shared" si="614"/>
        <v/>
      </c>
    </row>
    <row r="578" spans="1:14" s="294" customFormat="1">
      <c r="A578" s="297" t="s">
        <v>1494</v>
      </c>
      <c r="B578" s="301"/>
      <c r="C578" s="299" t="s">
        <v>1496</v>
      </c>
      <c r="D578" s="299">
        <v>1</v>
      </c>
      <c r="E578" s="300">
        <f>12+12+12</f>
        <v>36</v>
      </c>
      <c r="F578" s="300">
        <f t="shared" ref="F578:F579" si="615">E578*D578</f>
        <v>36</v>
      </c>
      <c r="G578" s="302">
        <f>(0.2+0.5)*2+17*0.008*2</f>
        <v>1.67</v>
      </c>
      <c r="H578" s="310" t="str">
        <f t="shared" si="608"/>
        <v/>
      </c>
      <c r="I578" s="311">
        <f t="shared" si="609"/>
        <v>60.12</v>
      </c>
      <c r="J578" s="311" t="str">
        <f t="shared" si="610"/>
        <v/>
      </c>
      <c r="K578" s="311" t="str">
        <f t="shared" si="611"/>
        <v/>
      </c>
      <c r="L578" s="310" t="str">
        <f t="shared" si="612"/>
        <v/>
      </c>
      <c r="M578" s="310" t="str">
        <f t="shared" si="613"/>
        <v/>
      </c>
      <c r="N578" s="311" t="str">
        <f t="shared" si="614"/>
        <v/>
      </c>
    </row>
    <row r="579" spans="1:14" s="294" customFormat="1">
      <c r="A579" s="297" t="s">
        <v>1517</v>
      </c>
      <c r="B579" s="301"/>
      <c r="C579" s="299" t="s">
        <v>1496</v>
      </c>
      <c r="D579" s="299">
        <v>1</v>
      </c>
      <c r="E579" s="300">
        <f>12+12+12</f>
        <v>36</v>
      </c>
      <c r="F579" s="300">
        <f t="shared" si="615"/>
        <v>36</v>
      </c>
      <c r="G579" s="302">
        <f>(0.5*2)+17*0.008*2</f>
        <v>1.27</v>
      </c>
      <c r="H579" s="310" t="str">
        <f t="shared" si="608"/>
        <v/>
      </c>
      <c r="I579" s="311">
        <f t="shared" si="609"/>
        <v>45.72</v>
      </c>
      <c r="J579" s="311" t="str">
        <f t="shared" si="610"/>
        <v/>
      </c>
      <c r="K579" s="311" t="str">
        <f t="shared" si="611"/>
        <v/>
      </c>
      <c r="L579" s="310" t="str">
        <f t="shared" si="612"/>
        <v/>
      </c>
      <c r="M579" s="310" t="str">
        <f t="shared" si="613"/>
        <v/>
      </c>
      <c r="N579" s="311" t="str">
        <f t="shared" si="614"/>
        <v/>
      </c>
    </row>
    <row r="580" spans="1:14">
      <c r="A580" s="297" t="s">
        <v>1520</v>
      </c>
      <c r="B580" s="254"/>
      <c r="C580" s="299" t="s">
        <v>1492</v>
      </c>
      <c r="D580" s="299">
        <v>1</v>
      </c>
      <c r="E580" s="300">
        <v>6</v>
      </c>
      <c r="F580" s="300">
        <f>E580*D580</f>
        <v>6</v>
      </c>
      <c r="G580" s="302">
        <v>4</v>
      </c>
      <c r="H580" s="310" t="str">
        <f t="shared" si="608"/>
        <v/>
      </c>
      <c r="I580" s="311" t="str">
        <f t="shared" si="609"/>
        <v/>
      </c>
      <c r="J580" s="311" t="str">
        <f t="shared" si="610"/>
        <v/>
      </c>
      <c r="K580" s="311" t="str">
        <f t="shared" si="611"/>
        <v/>
      </c>
      <c r="L580" s="310">
        <f t="shared" si="612"/>
        <v>24</v>
      </c>
      <c r="M580" s="310" t="str">
        <f t="shared" si="613"/>
        <v/>
      </c>
      <c r="N580" s="311" t="str">
        <f t="shared" si="614"/>
        <v/>
      </c>
    </row>
    <row r="581" spans="1:14">
      <c r="A581" s="253"/>
      <c r="B581" s="254"/>
      <c r="C581" s="299" t="s">
        <v>1492</v>
      </c>
      <c r="D581" s="299">
        <v>1</v>
      </c>
      <c r="E581" s="300">
        <v>3</v>
      </c>
      <c r="F581" s="300">
        <f>E581*D581</f>
        <v>3</v>
      </c>
      <c r="G581" s="302">
        <v>2</v>
      </c>
      <c r="H581" s="310" t="str">
        <f t="shared" si="608"/>
        <v/>
      </c>
      <c r="I581" s="311" t="str">
        <f t="shared" si="609"/>
        <v/>
      </c>
      <c r="J581" s="311" t="str">
        <f t="shared" si="610"/>
        <v/>
      </c>
      <c r="K581" s="311" t="str">
        <f t="shared" si="611"/>
        <v/>
      </c>
      <c r="L581" s="310">
        <f t="shared" si="612"/>
        <v>6</v>
      </c>
      <c r="M581" s="310" t="str">
        <f t="shared" si="613"/>
        <v/>
      </c>
      <c r="N581" s="311" t="str">
        <f t="shared" si="614"/>
        <v/>
      </c>
    </row>
    <row r="582" spans="1:14">
      <c r="A582" s="253"/>
      <c r="B582" s="254"/>
      <c r="C582" s="299" t="s">
        <v>1492</v>
      </c>
      <c r="D582" s="299">
        <v>1</v>
      </c>
      <c r="E582" s="300">
        <v>3</v>
      </c>
      <c r="F582" s="300">
        <f>E582*D582</f>
        <v>3</v>
      </c>
      <c r="G582" s="302">
        <v>3.45</v>
      </c>
      <c r="H582" s="310" t="str">
        <f t="shared" ref="H582" si="616">IF(C582="T6",G582*F582,"")</f>
        <v/>
      </c>
      <c r="I582" s="311" t="str">
        <f t="shared" ref="I582" si="617">IF(C582="T8",F582*G582,"")</f>
        <v/>
      </c>
      <c r="J582" s="311" t="str">
        <f t="shared" ref="J582" si="618">IF(C582="T10",F582*G582,"")</f>
        <v/>
      </c>
      <c r="K582" s="311" t="str">
        <f t="shared" ref="K582" si="619">IF(C582="T12",F582*G582,"")</f>
        <v/>
      </c>
      <c r="L582" s="310">
        <f t="shared" ref="L582" si="620">IF(C582="T14",F582*G582,"")</f>
        <v>10.35</v>
      </c>
      <c r="M582" s="310" t="str">
        <f t="shared" ref="M582" si="621">IF(C582="T16",G582*F582,"")</f>
        <v/>
      </c>
      <c r="N582" s="311" t="str">
        <f t="shared" ref="N582" si="622">IF(C582="T20",G582*F582,"")</f>
        <v/>
      </c>
    </row>
    <row r="583" spans="1:14">
      <c r="A583" s="253"/>
      <c r="B583" s="254"/>
      <c r="C583" s="299"/>
      <c r="D583" s="299"/>
      <c r="E583" s="300"/>
      <c r="F583" s="300"/>
      <c r="G583" s="299"/>
      <c r="H583" s="310"/>
      <c r="I583" s="311"/>
      <c r="J583" s="311"/>
      <c r="K583" s="311"/>
      <c r="L583" s="310"/>
      <c r="M583" s="310"/>
      <c r="N583" s="311"/>
    </row>
    <row r="584" spans="1:14" ht="16.5">
      <c r="A584" s="303" t="s">
        <v>1641</v>
      </c>
      <c r="B584" s="254"/>
      <c r="C584" s="299"/>
      <c r="D584" s="299"/>
      <c r="E584" s="300"/>
      <c r="F584" s="300"/>
      <c r="G584" s="299"/>
      <c r="H584" s="310"/>
      <c r="I584" s="311"/>
      <c r="J584" s="311"/>
      <c r="K584" s="311"/>
      <c r="L584" s="310"/>
      <c r="M584" s="310"/>
      <c r="N584" s="311"/>
    </row>
    <row r="585" spans="1:14" s="294" customFormat="1">
      <c r="A585" s="297" t="s">
        <v>1515</v>
      </c>
      <c r="B585" s="298"/>
      <c r="C585" s="299" t="s">
        <v>1519</v>
      </c>
      <c r="D585" s="299">
        <v>1</v>
      </c>
      <c r="E585" s="300">
        <v>3</v>
      </c>
      <c r="F585" s="300">
        <f>E585*D585</f>
        <v>3</v>
      </c>
      <c r="G585" s="299">
        <f>(5.8)+17*0.01*2</f>
        <v>6.14</v>
      </c>
      <c r="H585" s="310" t="str">
        <f t="shared" ref="H585:H592" si="623">IF(C585="T6",G585*F585,"")</f>
        <v/>
      </c>
      <c r="I585" s="311" t="str">
        <f t="shared" ref="I585:I592" si="624">IF(C585="T8",F585*G585,"")</f>
        <v/>
      </c>
      <c r="J585" s="311">
        <f t="shared" ref="J585:J592" si="625">IF(C585="T10",F585*G585,"")</f>
        <v>18.420000000000002</v>
      </c>
      <c r="K585" s="311" t="str">
        <f t="shared" ref="K585:K592" si="626">IF(C585="T12",F585*G585,"")</f>
        <v/>
      </c>
      <c r="L585" s="310" t="str">
        <f t="shared" ref="L585:L592" si="627">IF(C585="T14",F585*G585,"")</f>
        <v/>
      </c>
      <c r="M585" s="310" t="str">
        <f t="shared" ref="M585:M592" si="628">IF(C585="T16",G585*F585,"")</f>
        <v/>
      </c>
      <c r="N585" s="311" t="str">
        <f t="shared" ref="N585:N592" si="629">IF(C585="T20",G585*F585,"")</f>
        <v/>
      </c>
    </row>
    <row r="586" spans="1:14" s="294" customFormat="1">
      <c r="A586" s="297" t="s">
        <v>1515</v>
      </c>
      <c r="B586" s="298"/>
      <c r="C586" s="299" t="s">
        <v>1516</v>
      </c>
      <c r="D586" s="299">
        <v>1</v>
      </c>
      <c r="E586" s="300">
        <v>3</v>
      </c>
      <c r="F586" s="300">
        <f>E586*D586</f>
        <v>3</v>
      </c>
      <c r="G586" s="299">
        <f>(5.8)+17*0.012*2</f>
        <v>6.2080000000000002</v>
      </c>
      <c r="H586" s="310" t="str">
        <f t="shared" si="623"/>
        <v/>
      </c>
      <c r="I586" s="311" t="str">
        <f t="shared" si="624"/>
        <v/>
      </c>
      <c r="J586" s="311" t="str">
        <f t="shared" si="625"/>
        <v/>
      </c>
      <c r="K586" s="311">
        <f t="shared" si="626"/>
        <v>18.62</v>
      </c>
      <c r="L586" s="310" t="str">
        <f t="shared" si="627"/>
        <v/>
      </c>
      <c r="M586" s="310" t="str">
        <f t="shared" si="628"/>
        <v/>
      </c>
      <c r="N586" s="311" t="str">
        <f t="shared" si="629"/>
        <v/>
      </c>
    </row>
    <row r="587" spans="1:14" s="294" customFormat="1">
      <c r="A587" s="297"/>
      <c r="B587" s="298"/>
      <c r="C587" s="299" t="s">
        <v>1516</v>
      </c>
      <c r="D587" s="299">
        <v>1</v>
      </c>
      <c r="E587" s="300">
        <v>2</v>
      </c>
      <c r="F587" s="300">
        <f>E587*D587</f>
        <v>2</v>
      </c>
      <c r="G587" s="299">
        <v>5.8</v>
      </c>
      <c r="H587" s="310" t="str">
        <f t="shared" si="623"/>
        <v/>
      </c>
      <c r="I587" s="311" t="str">
        <f t="shared" si="624"/>
        <v/>
      </c>
      <c r="J587" s="311" t="str">
        <f t="shared" si="625"/>
        <v/>
      </c>
      <c r="K587" s="311">
        <f t="shared" si="626"/>
        <v>11.6</v>
      </c>
      <c r="L587" s="310" t="str">
        <f t="shared" si="627"/>
        <v/>
      </c>
      <c r="M587" s="310" t="str">
        <f t="shared" si="628"/>
        <v/>
      </c>
      <c r="N587" s="311" t="str">
        <f t="shared" si="629"/>
        <v/>
      </c>
    </row>
    <row r="588" spans="1:14" s="294" customFormat="1">
      <c r="A588" s="297" t="s">
        <v>1494</v>
      </c>
      <c r="B588" s="301"/>
      <c r="C588" s="299" t="s">
        <v>1496</v>
      </c>
      <c r="D588" s="299">
        <v>1</v>
      </c>
      <c r="E588" s="300">
        <f>15+16+15</f>
        <v>46</v>
      </c>
      <c r="F588" s="300">
        <f t="shared" ref="F588:F589" si="630">E588*D588</f>
        <v>46</v>
      </c>
      <c r="G588" s="302">
        <f>(0.2+0.55)*2+17*0.008*2</f>
        <v>1.77</v>
      </c>
      <c r="H588" s="310" t="str">
        <f t="shared" si="623"/>
        <v/>
      </c>
      <c r="I588" s="311">
        <f t="shared" si="624"/>
        <v>81.42</v>
      </c>
      <c r="J588" s="311" t="str">
        <f t="shared" si="625"/>
        <v/>
      </c>
      <c r="K588" s="311" t="str">
        <f t="shared" si="626"/>
        <v/>
      </c>
      <c r="L588" s="310" t="str">
        <f t="shared" si="627"/>
        <v/>
      </c>
      <c r="M588" s="310" t="str">
        <f t="shared" si="628"/>
        <v/>
      </c>
      <c r="N588" s="311" t="str">
        <f t="shared" si="629"/>
        <v/>
      </c>
    </row>
    <row r="589" spans="1:14" s="294" customFormat="1">
      <c r="A589" s="297" t="s">
        <v>1517</v>
      </c>
      <c r="B589" s="301"/>
      <c r="C589" s="299" t="s">
        <v>1496</v>
      </c>
      <c r="D589" s="299">
        <v>1</v>
      </c>
      <c r="E589" s="300">
        <f>15+16+15</f>
        <v>46</v>
      </c>
      <c r="F589" s="300">
        <f t="shared" si="630"/>
        <v>46</v>
      </c>
      <c r="G589" s="302">
        <f>(0.55*2)+17*0.008*2</f>
        <v>1.37</v>
      </c>
      <c r="H589" s="310" t="str">
        <f t="shared" si="623"/>
        <v/>
      </c>
      <c r="I589" s="311">
        <f t="shared" si="624"/>
        <v>63.02</v>
      </c>
      <c r="J589" s="311" t="str">
        <f t="shared" si="625"/>
        <v/>
      </c>
      <c r="K589" s="311" t="str">
        <f t="shared" si="626"/>
        <v/>
      </c>
      <c r="L589" s="310" t="str">
        <f t="shared" si="627"/>
        <v/>
      </c>
      <c r="M589" s="310" t="str">
        <f t="shared" si="628"/>
        <v/>
      </c>
      <c r="N589" s="311" t="str">
        <f t="shared" si="629"/>
        <v/>
      </c>
    </row>
    <row r="590" spans="1:14">
      <c r="A590" s="297" t="s">
        <v>1520</v>
      </c>
      <c r="B590" s="254"/>
      <c r="C590" s="299" t="s">
        <v>1492</v>
      </c>
      <c r="D590" s="299">
        <v>1</v>
      </c>
      <c r="E590" s="300">
        <v>3</v>
      </c>
      <c r="F590" s="300">
        <f>E590*D590</f>
        <v>3</v>
      </c>
      <c r="G590" s="302">
        <v>3.5</v>
      </c>
      <c r="H590" s="310" t="str">
        <f t="shared" si="623"/>
        <v/>
      </c>
      <c r="I590" s="311" t="str">
        <f t="shared" si="624"/>
        <v/>
      </c>
      <c r="J590" s="311" t="str">
        <f t="shared" si="625"/>
        <v/>
      </c>
      <c r="K590" s="311" t="str">
        <f t="shared" si="626"/>
        <v/>
      </c>
      <c r="L590" s="310">
        <f t="shared" si="627"/>
        <v>10.5</v>
      </c>
      <c r="M590" s="310" t="str">
        <f t="shared" si="628"/>
        <v/>
      </c>
      <c r="N590" s="311" t="str">
        <f t="shared" si="629"/>
        <v/>
      </c>
    </row>
    <row r="591" spans="1:14">
      <c r="A591" s="253"/>
      <c r="B591" s="254"/>
      <c r="C591" s="299" t="s">
        <v>1516</v>
      </c>
      <c r="D591" s="299">
        <v>1</v>
      </c>
      <c r="E591" s="300">
        <v>3</v>
      </c>
      <c r="F591" s="300">
        <f>E591*D591</f>
        <v>3</v>
      </c>
      <c r="G591" s="302">
        <v>1.5</v>
      </c>
      <c r="H591" s="310" t="str">
        <f t="shared" si="623"/>
        <v/>
      </c>
      <c r="I591" s="311" t="str">
        <f t="shared" si="624"/>
        <v/>
      </c>
      <c r="J591" s="311" t="str">
        <f t="shared" si="625"/>
        <v/>
      </c>
      <c r="K591" s="311">
        <f t="shared" si="626"/>
        <v>4.5</v>
      </c>
      <c r="L591" s="310" t="str">
        <f t="shared" si="627"/>
        <v/>
      </c>
      <c r="M591" s="310" t="str">
        <f t="shared" si="628"/>
        <v/>
      </c>
      <c r="N591" s="311" t="str">
        <f t="shared" si="629"/>
        <v/>
      </c>
    </row>
    <row r="592" spans="1:14">
      <c r="A592" s="253"/>
      <c r="B592" s="254"/>
      <c r="C592" s="299" t="s">
        <v>1516</v>
      </c>
      <c r="D592" s="299">
        <v>1</v>
      </c>
      <c r="E592" s="300">
        <v>3</v>
      </c>
      <c r="F592" s="300">
        <f>E592*D592</f>
        <v>3</v>
      </c>
      <c r="G592" s="302">
        <v>5.4</v>
      </c>
      <c r="H592" s="310" t="str">
        <f t="shared" si="623"/>
        <v/>
      </c>
      <c r="I592" s="311" t="str">
        <f t="shared" si="624"/>
        <v/>
      </c>
      <c r="J592" s="311" t="str">
        <f t="shared" si="625"/>
        <v/>
      </c>
      <c r="K592" s="311">
        <f t="shared" si="626"/>
        <v>16.2</v>
      </c>
      <c r="L592" s="310" t="str">
        <f t="shared" si="627"/>
        <v/>
      </c>
      <c r="M592" s="310" t="str">
        <f t="shared" si="628"/>
        <v/>
      </c>
      <c r="N592" s="311" t="str">
        <f t="shared" si="629"/>
        <v/>
      </c>
    </row>
    <row r="593" spans="1:14">
      <c r="A593" s="253"/>
      <c r="B593" s="254"/>
      <c r="C593" s="299"/>
      <c r="D593" s="299"/>
      <c r="E593" s="300"/>
      <c r="F593" s="300"/>
      <c r="G593" s="299"/>
      <c r="H593" s="310"/>
      <c r="I593" s="311"/>
      <c r="J593" s="311"/>
      <c r="K593" s="311"/>
      <c r="L593" s="310"/>
      <c r="M593" s="310"/>
      <c r="N593" s="311"/>
    </row>
    <row r="594" spans="1:14" ht="16.5">
      <c r="A594" s="303" t="s">
        <v>1640</v>
      </c>
      <c r="B594" s="254"/>
      <c r="C594" s="299"/>
      <c r="D594" s="299"/>
      <c r="E594" s="300"/>
      <c r="F594" s="300"/>
      <c r="G594" s="299"/>
      <c r="H594" s="310"/>
      <c r="I594" s="311"/>
      <c r="J594" s="311"/>
      <c r="K594" s="311"/>
      <c r="L594" s="310"/>
      <c r="M594" s="310"/>
      <c r="N594" s="311"/>
    </row>
    <row r="595" spans="1:14" s="294" customFormat="1">
      <c r="A595" s="297" t="s">
        <v>1515</v>
      </c>
      <c r="B595" s="298"/>
      <c r="C595" s="299" t="s">
        <v>1519</v>
      </c>
      <c r="D595" s="299">
        <v>1</v>
      </c>
      <c r="E595" s="300">
        <v>3</v>
      </c>
      <c r="F595" s="300">
        <f>E595*D595</f>
        <v>3</v>
      </c>
      <c r="G595" s="299">
        <f>(4.25)+17*0.01*2</f>
        <v>4.59</v>
      </c>
      <c r="H595" s="310" t="str">
        <f t="shared" ref="H595:H602" si="631">IF(C595="T6",G595*F595,"")</f>
        <v/>
      </c>
      <c r="I595" s="311" t="str">
        <f t="shared" ref="I595:I602" si="632">IF(C595="T8",F595*G595,"")</f>
        <v/>
      </c>
      <c r="J595" s="311">
        <f t="shared" ref="J595:J602" si="633">IF(C595="T10",F595*G595,"")</f>
        <v>13.77</v>
      </c>
      <c r="K595" s="311" t="str">
        <f t="shared" ref="K595:K602" si="634">IF(C595="T12",F595*G595,"")</f>
        <v/>
      </c>
      <c r="L595" s="310" t="str">
        <f t="shared" ref="L595:L602" si="635">IF(C595="T14",F595*G595,"")</f>
        <v/>
      </c>
      <c r="M595" s="310" t="str">
        <f t="shared" ref="M595:M602" si="636">IF(C595="T16",G595*F595,"")</f>
        <v/>
      </c>
      <c r="N595" s="311" t="str">
        <f t="shared" ref="N595:N602" si="637">IF(C595="T20",G595*F595,"")</f>
        <v/>
      </c>
    </row>
    <row r="596" spans="1:14" s="294" customFormat="1">
      <c r="A596" s="297" t="s">
        <v>1515</v>
      </c>
      <c r="B596" s="298"/>
      <c r="C596" s="299" t="s">
        <v>1516</v>
      </c>
      <c r="D596" s="299">
        <v>1</v>
      </c>
      <c r="E596" s="300">
        <v>3</v>
      </c>
      <c r="F596" s="300">
        <f>E596*D596</f>
        <v>3</v>
      </c>
      <c r="G596" s="299">
        <f>(4.25)+17*0.012*2</f>
        <v>4.6580000000000004</v>
      </c>
      <c r="H596" s="310" t="str">
        <f t="shared" si="631"/>
        <v/>
      </c>
      <c r="I596" s="311" t="str">
        <f t="shared" si="632"/>
        <v/>
      </c>
      <c r="J596" s="311" t="str">
        <f t="shared" si="633"/>
        <v/>
      </c>
      <c r="K596" s="311">
        <f t="shared" si="634"/>
        <v>13.97</v>
      </c>
      <c r="L596" s="310" t="str">
        <f t="shared" si="635"/>
        <v/>
      </c>
      <c r="M596" s="310" t="str">
        <f t="shared" si="636"/>
        <v/>
      </c>
      <c r="N596" s="311" t="str">
        <f t="shared" si="637"/>
        <v/>
      </c>
    </row>
    <row r="597" spans="1:14" s="294" customFormat="1">
      <c r="A597" s="297"/>
      <c r="B597" s="298"/>
      <c r="C597" s="299" t="s">
        <v>1516</v>
      </c>
      <c r="D597" s="299">
        <v>1</v>
      </c>
      <c r="E597" s="300">
        <v>2</v>
      </c>
      <c r="F597" s="300">
        <f>E597*D597</f>
        <v>2</v>
      </c>
      <c r="G597" s="299">
        <v>4.25</v>
      </c>
      <c r="H597" s="310" t="str">
        <f t="shared" si="631"/>
        <v/>
      </c>
      <c r="I597" s="311" t="str">
        <f t="shared" si="632"/>
        <v/>
      </c>
      <c r="J597" s="311" t="str">
        <f t="shared" si="633"/>
        <v/>
      </c>
      <c r="K597" s="311">
        <f t="shared" si="634"/>
        <v>8.5</v>
      </c>
      <c r="L597" s="310" t="str">
        <f t="shared" si="635"/>
        <v/>
      </c>
      <c r="M597" s="310" t="str">
        <f t="shared" si="636"/>
        <v/>
      </c>
      <c r="N597" s="311" t="str">
        <f t="shared" si="637"/>
        <v/>
      </c>
    </row>
    <row r="598" spans="1:14" s="294" customFormat="1">
      <c r="A598" s="297" t="s">
        <v>1494</v>
      </c>
      <c r="B598" s="301"/>
      <c r="C598" s="299" t="s">
        <v>1496</v>
      </c>
      <c r="D598" s="299">
        <v>1</v>
      </c>
      <c r="E598" s="300">
        <f>13+20+13</f>
        <v>46</v>
      </c>
      <c r="F598" s="300">
        <f t="shared" ref="F598:F599" si="638">E598*D598</f>
        <v>46</v>
      </c>
      <c r="G598" s="302">
        <f>(0.2+0.35)*2+17*0.008*2</f>
        <v>1.37</v>
      </c>
      <c r="H598" s="310" t="str">
        <f t="shared" si="631"/>
        <v/>
      </c>
      <c r="I598" s="311">
        <f t="shared" si="632"/>
        <v>63.02</v>
      </c>
      <c r="J598" s="311" t="str">
        <f t="shared" si="633"/>
        <v/>
      </c>
      <c r="K598" s="311" t="str">
        <f t="shared" si="634"/>
        <v/>
      </c>
      <c r="L598" s="310" t="str">
        <f t="shared" si="635"/>
        <v/>
      </c>
      <c r="M598" s="310" t="str">
        <f t="shared" si="636"/>
        <v/>
      </c>
      <c r="N598" s="311" t="str">
        <f t="shared" si="637"/>
        <v/>
      </c>
    </row>
    <row r="599" spans="1:14" s="294" customFormat="1">
      <c r="A599" s="297" t="s">
        <v>1517</v>
      </c>
      <c r="B599" s="301"/>
      <c r="C599" s="299" t="s">
        <v>1496</v>
      </c>
      <c r="D599" s="299">
        <v>1</v>
      </c>
      <c r="E599" s="300">
        <f>13+20+13</f>
        <v>46</v>
      </c>
      <c r="F599" s="300">
        <f t="shared" si="638"/>
        <v>46</v>
      </c>
      <c r="G599" s="302">
        <f>(0.35*2)+17*0.008*2</f>
        <v>0.97</v>
      </c>
      <c r="H599" s="310" t="str">
        <f t="shared" si="631"/>
        <v/>
      </c>
      <c r="I599" s="311">
        <f t="shared" si="632"/>
        <v>44.62</v>
      </c>
      <c r="J599" s="311" t="str">
        <f t="shared" si="633"/>
        <v/>
      </c>
      <c r="K599" s="311" t="str">
        <f t="shared" si="634"/>
        <v/>
      </c>
      <c r="L599" s="310" t="str">
        <f t="shared" si="635"/>
        <v/>
      </c>
      <c r="M599" s="310" t="str">
        <f t="shared" si="636"/>
        <v/>
      </c>
      <c r="N599" s="311" t="str">
        <f t="shared" si="637"/>
        <v/>
      </c>
    </row>
    <row r="600" spans="1:14">
      <c r="A600" s="297" t="s">
        <v>1520</v>
      </c>
      <c r="B600" s="254"/>
      <c r="C600" s="299" t="s">
        <v>1492</v>
      </c>
      <c r="D600" s="299">
        <v>1</v>
      </c>
      <c r="E600" s="300">
        <v>3</v>
      </c>
      <c r="F600" s="300">
        <f>E600*D600</f>
        <v>3</v>
      </c>
      <c r="G600" s="302">
        <v>3</v>
      </c>
      <c r="H600" s="310" t="str">
        <f t="shared" si="631"/>
        <v/>
      </c>
      <c r="I600" s="311" t="str">
        <f t="shared" si="632"/>
        <v/>
      </c>
      <c r="J600" s="311" t="str">
        <f t="shared" si="633"/>
        <v/>
      </c>
      <c r="K600" s="311" t="str">
        <f t="shared" si="634"/>
        <v/>
      </c>
      <c r="L600" s="310">
        <f t="shared" si="635"/>
        <v>9</v>
      </c>
      <c r="M600" s="310" t="str">
        <f t="shared" si="636"/>
        <v/>
      </c>
      <c r="N600" s="311" t="str">
        <f t="shared" si="637"/>
        <v/>
      </c>
    </row>
    <row r="601" spans="1:14">
      <c r="A601" s="253"/>
      <c r="B601" s="254"/>
      <c r="C601" s="299" t="s">
        <v>1519</v>
      </c>
      <c r="D601" s="299">
        <v>1</v>
      </c>
      <c r="E601" s="300">
        <v>3</v>
      </c>
      <c r="F601" s="300">
        <f>E601*D601</f>
        <v>3</v>
      </c>
      <c r="G601" s="302">
        <v>3.5</v>
      </c>
      <c r="H601" s="310" t="str">
        <f t="shared" si="631"/>
        <v/>
      </c>
      <c r="I601" s="311" t="str">
        <f t="shared" si="632"/>
        <v/>
      </c>
      <c r="J601" s="311">
        <f t="shared" si="633"/>
        <v>10.5</v>
      </c>
      <c r="K601" s="311" t="str">
        <f t="shared" si="634"/>
        <v/>
      </c>
      <c r="L601" s="310" t="str">
        <f t="shared" si="635"/>
        <v/>
      </c>
      <c r="M601" s="310" t="str">
        <f t="shared" si="636"/>
        <v/>
      </c>
      <c r="N601" s="311" t="str">
        <f t="shared" si="637"/>
        <v/>
      </c>
    </row>
    <row r="602" spans="1:14">
      <c r="A602" s="253"/>
      <c r="B602" s="254"/>
      <c r="C602" s="299" t="s">
        <v>1519</v>
      </c>
      <c r="D602" s="299">
        <v>1</v>
      </c>
      <c r="E602" s="300">
        <v>3</v>
      </c>
      <c r="F602" s="300">
        <f>E602*D602</f>
        <v>3</v>
      </c>
      <c r="G602" s="302">
        <v>4.25</v>
      </c>
      <c r="H602" s="310" t="str">
        <f t="shared" si="631"/>
        <v/>
      </c>
      <c r="I602" s="311" t="str">
        <f t="shared" si="632"/>
        <v/>
      </c>
      <c r="J602" s="311">
        <f t="shared" si="633"/>
        <v>12.75</v>
      </c>
      <c r="K602" s="311" t="str">
        <f t="shared" si="634"/>
        <v/>
      </c>
      <c r="L602" s="310" t="str">
        <f t="shared" si="635"/>
        <v/>
      </c>
      <c r="M602" s="310" t="str">
        <f t="shared" si="636"/>
        <v/>
      </c>
      <c r="N602" s="311" t="str">
        <f t="shared" si="637"/>
        <v/>
      </c>
    </row>
    <row r="603" spans="1:14">
      <c r="A603" s="253"/>
      <c r="B603" s="254"/>
      <c r="C603" s="299"/>
      <c r="D603" s="299"/>
      <c r="E603" s="300"/>
      <c r="F603" s="300"/>
      <c r="G603" s="299"/>
      <c r="H603" s="310"/>
      <c r="I603" s="311"/>
      <c r="J603" s="311"/>
      <c r="K603" s="311"/>
      <c r="L603" s="310"/>
      <c r="M603" s="310"/>
      <c r="N603" s="311"/>
    </row>
    <row r="604" spans="1:14" ht="16.5">
      <c r="A604" s="303" t="s">
        <v>1639</v>
      </c>
      <c r="B604" s="254"/>
      <c r="C604" s="299"/>
      <c r="D604" s="299"/>
      <c r="E604" s="300"/>
      <c r="F604" s="300"/>
      <c r="G604" s="299"/>
      <c r="H604" s="310"/>
      <c r="I604" s="311"/>
      <c r="J604" s="311"/>
      <c r="K604" s="311"/>
      <c r="L604" s="310"/>
      <c r="M604" s="310"/>
      <c r="N604" s="311"/>
    </row>
    <row r="605" spans="1:14" s="294" customFormat="1">
      <c r="A605" s="297" t="s">
        <v>1515</v>
      </c>
      <c r="B605" s="298"/>
      <c r="C605" s="299" t="s">
        <v>1519</v>
      </c>
      <c r="D605" s="299">
        <v>1</v>
      </c>
      <c r="E605" s="300">
        <v>3</v>
      </c>
      <c r="F605" s="300">
        <f>E605*D605</f>
        <v>3</v>
      </c>
      <c r="G605" s="299">
        <f>(5.65)+17*0.01*2</f>
        <v>5.99</v>
      </c>
      <c r="H605" s="310" t="str">
        <f t="shared" ref="H605:H612" si="639">IF(C605="T6",G605*F605,"")</f>
        <v/>
      </c>
      <c r="I605" s="311" t="str">
        <f t="shared" ref="I605:I612" si="640">IF(C605="T8",F605*G605,"")</f>
        <v/>
      </c>
      <c r="J605" s="311">
        <f t="shared" ref="J605:J612" si="641">IF(C605="T10",F605*G605,"")</f>
        <v>17.97</v>
      </c>
      <c r="K605" s="311" t="str">
        <f t="shared" ref="K605:K612" si="642">IF(C605="T12",F605*G605,"")</f>
        <v/>
      </c>
      <c r="L605" s="310" t="str">
        <f t="shared" ref="L605:L612" si="643">IF(C605="T14",F605*G605,"")</f>
        <v/>
      </c>
      <c r="M605" s="310" t="str">
        <f t="shared" ref="M605:M612" si="644">IF(C605="T16",G605*F605,"")</f>
        <v/>
      </c>
      <c r="N605" s="311" t="str">
        <f t="shared" ref="N605:N612" si="645">IF(C605="T20",G605*F605,"")</f>
        <v/>
      </c>
    </row>
    <row r="606" spans="1:14" s="294" customFormat="1">
      <c r="A606" s="297" t="s">
        <v>1515</v>
      </c>
      <c r="B606" s="298"/>
      <c r="C606" s="299" t="s">
        <v>1516</v>
      </c>
      <c r="D606" s="299">
        <v>1</v>
      </c>
      <c r="E606" s="300">
        <v>3</v>
      </c>
      <c r="F606" s="300">
        <f>E606*D606</f>
        <v>3</v>
      </c>
      <c r="G606" s="299">
        <f>(5.65)+17*0.012*2</f>
        <v>6.0579999999999998</v>
      </c>
      <c r="H606" s="310" t="str">
        <f t="shared" si="639"/>
        <v/>
      </c>
      <c r="I606" s="311" t="str">
        <f t="shared" si="640"/>
        <v/>
      </c>
      <c r="J606" s="311" t="str">
        <f t="shared" si="641"/>
        <v/>
      </c>
      <c r="K606" s="311">
        <f t="shared" si="642"/>
        <v>18.170000000000002</v>
      </c>
      <c r="L606" s="310" t="str">
        <f t="shared" si="643"/>
        <v/>
      </c>
      <c r="M606" s="310" t="str">
        <f t="shared" si="644"/>
        <v/>
      </c>
      <c r="N606" s="311" t="str">
        <f t="shared" si="645"/>
        <v/>
      </c>
    </row>
    <row r="607" spans="1:14" s="294" customFormat="1">
      <c r="A607" s="297"/>
      <c r="B607" s="298"/>
      <c r="C607" s="299" t="s">
        <v>1516</v>
      </c>
      <c r="D607" s="299">
        <v>1</v>
      </c>
      <c r="E607" s="300">
        <v>2</v>
      </c>
      <c r="F607" s="300">
        <f>E607*D607</f>
        <v>2</v>
      </c>
      <c r="G607" s="299">
        <v>5.65</v>
      </c>
      <c r="H607" s="310" t="str">
        <f t="shared" si="639"/>
        <v/>
      </c>
      <c r="I607" s="311" t="str">
        <f t="shared" si="640"/>
        <v/>
      </c>
      <c r="J607" s="311" t="str">
        <f t="shared" si="641"/>
        <v/>
      </c>
      <c r="K607" s="311">
        <f t="shared" si="642"/>
        <v>11.3</v>
      </c>
      <c r="L607" s="310" t="str">
        <f t="shared" si="643"/>
        <v/>
      </c>
      <c r="M607" s="310" t="str">
        <f t="shared" si="644"/>
        <v/>
      </c>
      <c r="N607" s="311" t="str">
        <f t="shared" si="645"/>
        <v/>
      </c>
    </row>
    <row r="608" spans="1:14" s="294" customFormat="1">
      <c r="A608" s="297" t="s">
        <v>1494</v>
      </c>
      <c r="B608" s="301"/>
      <c r="C608" s="299" t="s">
        <v>1496</v>
      </c>
      <c r="D608" s="299">
        <v>1</v>
      </c>
      <c r="E608" s="300">
        <f>17+15+17</f>
        <v>49</v>
      </c>
      <c r="F608" s="300">
        <f t="shared" ref="F608:F609" si="646">E608*D608</f>
        <v>49</v>
      </c>
      <c r="G608" s="302">
        <f>(0.2+0.45)*2+17*0.008*2</f>
        <v>1.57</v>
      </c>
      <c r="H608" s="310" t="str">
        <f t="shared" si="639"/>
        <v/>
      </c>
      <c r="I608" s="311">
        <f t="shared" si="640"/>
        <v>76.930000000000007</v>
      </c>
      <c r="J608" s="311" t="str">
        <f t="shared" si="641"/>
        <v/>
      </c>
      <c r="K608" s="311" t="str">
        <f t="shared" si="642"/>
        <v/>
      </c>
      <c r="L608" s="310" t="str">
        <f t="shared" si="643"/>
        <v/>
      </c>
      <c r="M608" s="310" t="str">
        <f t="shared" si="644"/>
        <v/>
      </c>
      <c r="N608" s="311" t="str">
        <f t="shared" si="645"/>
        <v/>
      </c>
    </row>
    <row r="609" spans="1:14" s="294" customFormat="1">
      <c r="A609" s="297" t="s">
        <v>1517</v>
      </c>
      <c r="B609" s="301"/>
      <c r="C609" s="299" t="s">
        <v>1496</v>
      </c>
      <c r="D609" s="299">
        <v>1</v>
      </c>
      <c r="E609" s="300">
        <f>17+15+17</f>
        <v>49</v>
      </c>
      <c r="F609" s="300">
        <f t="shared" si="646"/>
        <v>49</v>
      </c>
      <c r="G609" s="302">
        <f>(0.45*2)+17*0.008*2</f>
        <v>1.17</v>
      </c>
      <c r="H609" s="310" t="str">
        <f t="shared" si="639"/>
        <v/>
      </c>
      <c r="I609" s="311">
        <f t="shared" si="640"/>
        <v>57.33</v>
      </c>
      <c r="J609" s="311" t="str">
        <f t="shared" si="641"/>
        <v/>
      </c>
      <c r="K609" s="311" t="str">
        <f t="shared" si="642"/>
        <v/>
      </c>
      <c r="L609" s="310" t="str">
        <f t="shared" si="643"/>
        <v/>
      </c>
      <c r="M609" s="310" t="str">
        <f t="shared" si="644"/>
        <v/>
      </c>
      <c r="N609" s="311" t="str">
        <f t="shared" si="645"/>
        <v/>
      </c>
    </row>
    <row r="610" spans="1:14">
      <c r="A610" s="297" t="s">
        <v>1520</v>
      </c>
      <c r="B610" s="254"/>
      <c r="C610" s="299" t="s">
        <v>1492</v>
      </c>
      <c r="D610" s="299">
        <v>1</v>
      </c>
      <c r="E610" s="300">
        <v>3</v>
      </c>
      <c r="F610" s="300">
        <f>E610*D610</f>
        <v>3</v>
      </c>
      <c r="G610" s="302">
        <v>2.9</v>
      </c>
      <c r="H610" s="310" t="str">
        <f t="shared" si="639"/>
        <v/>
      </c>
      <c r="I610" s="311" t="str">
        <f t="shared" si="640"/>
        <v/>
      </c>
      <c r="J610" s="311" t="str">
        <f t="shared" si="641"/>
        <v/>
      </c>
      <c r="K610" s="311" t="str">
        <f t="shared" si="642"/>
        <v/>
      </c>
      <c r="L610" s="310">
        <f t="shared" si="643"/>
        <v>8.6999999999999993</v>
      </c>
      <c r="M610" s="310" t="str">
        <f t="shared" si="644"/>
        <v/>
      </c>
      <c r="N610" s="311" t="str">
        <f t="shared" si="645"/>
        <v/>
      </c>
    </row>
    <row r="611" spans="1:14">
      <c r="A611" s="253"/>
      <c r="B611" s="254"/>
      <c r="C611" s="299" t="s">
        <v>1516</v>
      </c>
      <c r="D611" s="299">
        <v>1</v>
      </c>
      <c r="E611" s="300">
        <v>3</v>
      </c>
      <c r="F611" s="300">
        <f>E611*D611</f>
        <v>3</v>
      </c>
      <c r="G611" s="302">
        <v>1.4</v>
      </c>
      <c r="H611" s="310" t="str">
        <f t="shared" si="639"/>
        <v/>
      </c>
      <c r="I611" s="311" t="str">
        <f t="shared" si="640"/>
        <v/>
      </c>
      <c r="J611" s="311" t="str">
        <f t="shared" si="641"/>
        <v/>
      </c>
      <c r="K611" s="311">
        <f t="shared" si="642"/>
        <v>4.2</v>
      </c>
      <c r="L611" s="310" t="str">
        <f t="shared" si="643"/>
        <v/>
      </c>
      <c r="M611" s="310" t="str">
        <f t="shared" si="644"/>
        <v/>
      </c>
      <c r="N611" s="311" t="str">
        <f t="shared" si="645"/>
        <v/>
      </c>
    </row>
    <row r="612" spans="1:14">
      <c r="A612" s="253"/>
      <c r="B612" s="254"/>
      <c r="C612" s="299" t="s">
        <v>1519</v>
      </c>
      <c r="D612" s="299">
        <v>1</v>
      </c>
      <c r="E612" s="300">
        <v>3</v>
      </c>
      <c r="F612" s="300">
        <f>E612*D612</f>
        <v>3</v>
      </c>
      <c r="G612" s="302">
        <v>5.15</v>
      </c>
      <c r="H612" s="310" t="str">
        <f t="shared" si="639"/>
        <v/>
      </c>
      <c r="I612" s="311" t="str">
        <f t="shared" si="640"/>
        <v/>
      </c>
      <c r="J612" s="311">
        <f t="shared" si="641"/>
        <v>15.45</v>
      </c>
      <c r="K612" s="311" t="str">
        <f t="shared" si="642"/>
        <v/>
      </c>
      <c r="L612" s="310" t="str">
        <f t="shared" si="643"/>
        <v/>
      </c>
      <c r="M612" s="310" t="str">
        <f t="shared" si="644"/>
        <v/>
      </c>
      <c r="N612" s="311" t="str">
        <f t="shared" si="645"/>
        <v/>
      </c>
    </row>
    <row r="613" spans="1:14">
      <c r="A613" s="253"/>
      <c r="B613" s="254"/>
      <c r="C613" s="299"/>
      <c r="D613" s="299"/>
      <c r="E613" s="300"/>
      <c r="F613" s="300"/>
      <c r="G613" s="302"/>
      <c r="H613" s="310"/>
      <c r="I613" s="311"/>
      <c r="J613" s="311"/>
      <c r="K613" s="311"/>
      <c r="L613" s="310"/>
      <c r="M613" s="310"/>
      <c r="N613" s="311"/>
    </row>
    <row r="614" spans="1:14" ht="16.5">
      <c r="A614" s="303" t="s">
        <v>1638</v>
      </c>
      <c r="B614" s="254"/>
      <c r="C614" s="299"/>
      <c r="D614" s="299"/>
      <c r="E614" s="300"/>
      <c r="F614" s="300"/>
      <c r="G614" s="302"/>
      <c r="H614" s="310"/>
      <c r="I614" s="311"/>
      <c r="J614" s="311"/>
      <c r="K614" s="311"/>
      <c r="L614" s="310"/>
      <c r="M614" s="310"/>
      <c r="N614" s="311"/>
    </row>
    <row r="615" spans="1:14" s="294" customFormat="1">
      <c r="A615" s="297" t="s">
        <v>1515</v>
      </c>
      <c r="B615" s="298"/>
      <c r="C615" s="299" t="s">
        <v>1519</v>
      </c>
      <c r="D615" s="299">
        <v>1</v>
      </c>
      <c r="E615" s="300">
        <v>3</v>
      </c>
      <c r="F615" s="300">
        <f>E615*D615</f>
        <v>3</v>
      </c>
      <c r="G615" s="299">
        <f>(3.9)+17*0.01*2</f>
        <v>4.24</v>
      </c>
      <c r="H615" s="310" t="str">
        <f t="shared" ref="H615:H622" si="647">IF(C615="T6",G615*F615,"")</f>
        <v/>
      </c>
      <c r="I615" s="311" t="str">
        <f t="shared" ref="I615:I622" si="648">IF(C615="T8",F615*G615,"")</f>
        <v/>
      </c>
      <c r="J615" s="311">
        <f t="shared" ref="J615:J622" si="649">IF(C615="T10",F615*G615,"")</f>
        <v>12.72</v>
      </c>
      <c r="K615" s="311" t="str">
        <f t="shared" ref="K615:K622" si="650">IF(C615="T12",F615*G615,"")</f>
        <v/>
      </c>
      <c r="L615" s="310" t="str">
        <f t="shared" ref="L615:L622" si="651">IF(C615="T14",F615*G615,"")</f>
        <v/>
      </c>
      <c r="M615" s="310" t="str">
        <f t="shared" ref="M615:M622" si="652">IF(C615="T16",G615*F615,"")</f>
        <v/>
      </c>
      <c r="N615" s="311" t="str">
        <f t="shared" ref="N615:N622" si="653">IF(C615="T20",G615*F615,"")</f>
        <v/>
      </c>
    </row>
    <row r="616" spans="1:14" s="294" customFormat="1">
      <c r="A616" s="297" t="s">
        <v>1515</v>
      </c>
      <c r="B616" s="298"/>
      <c r="C616" s="299" t="s">
        <v>1516</v>
      </c>
      <c r="D616" s="299">
        <v>1</v>
      </c>
      <c r="E616" s="300">
        <v>3</v>
      </c>
      <c r="F616" s="300">
        <f>E616*D616</f>
        <v>3</v>
      </c>
      <c r="G616" s="299">
        <f>(3.9)+17*0.012*2</f>
        <v>4.3079999999999998</v>
      </c>
      <c r="H616" s="310" t="str">
        <f t="shared" si="647"/>
        <v/>
      </c>
      <c r="I616" s="311" t="str">
        <f t="shared" si="648"/>
        <v/>
      </c>
      <c r="J616" s="311" t="str">
        <f t="shared" si="649"/>
        <v/>
      </c>
      <c r="K616" s="311">
        <f t="shared" si="650"/>
        <v>12.92</v>
      </c>
      <c r="L616" s="310" t="str">
        <f t="shared" si="651"/>
        <v/>
      </c>
      <c r="M616" s="310" t="str">
        <f t="shared" si="652"/>
        <v/>
      </c>
      <c r="N616" s="311" t="str">
        <f t="shared" si="653"/>
        <v/>
      </c>
    </row>
    <row r="617" spans="1:14" s="294" customFormat="1">
      <c r="A617" s="297"/>
      <c r="B617" s="298"/>
      <c r="C617" s="299" t="s">
        <v>1516</v>
      </c>
      <c r="D617" s="299">
        <v>1</v>
      </c>
      <c r="E617" s="300">
        <v>2</v>
      </c>
      <c r="F617" s="300">
        <f>E617*D617</f>
        <v>2</v>
      </c>
      <c r="G617" s="299">
        <v>3.9</v>
      </c>
      <c r="H617" s="310" t="str">
        <f t="shared" si="647"/>
        <v/>
      </c>
      <c r="I617" s="311" t="str">
        <f t="shared" si="648"/>
        <v/>
      </c>
      <c r="J617" s="311" t="str">
        <f t="shared" si="649"/>
        <v/>
      </c>
      <c r="K617" s="311">
        <f t="shared" si="650"/>
        <v>7.8</v>
      </c>
      <c r="L617" s="310" t="str">
        <f t="shared" si="651"/>
        <v/>
      </c>
      <c r="M617" s="310" t="str">
        <f t="shared" si="652"/>
        <v/>
      </c>
      <c r="N617" s="311" t="str">
        <f t="shared" si="653"/>
        <v/>
      </c>
    </row>
    <row r="618" spans="1:14" s="294" customFormat="1">
      <c r="A618" s="297" t="s">
        <v>1494</v>
      </c>
      <c r="B618" s="301"/>
      <c r="C618" s="299" t="s">
        <v>1496</v>
      </c>
      <c r="D618" s="299">
        <v>1</v>
      </c>
      <c r="E618" s="300">
        <f>12+11+12</f>
        <v>35</v>
      </c>
      <c r="F618" s="300">
        <f t="shared" ref="F618:F619" si="654">E618*D618</f>
        <v>35</v>
      </c>
      <c r="G618" s="302">
        <f>(0.2+0.45)*2+17*0.008*2</f>
        <v>1.57</v>
      </c>
      <c r="H618" s="310" t="str">
        <f t="shared" si="647"/>
        <v/>
      </c>
      <c r="I618" s="311">
        <f t="shared" si="648"/>
        <v>54.95</v>
      </c>
      <c r="J618" s="311" t="str">
        <f t="shared" si="649"/>
        <v/>
      </c>
      <c r="K618" s="311" t="str">
        <f t="shared" si="650"/>
        <v/>
      </c>
      <c r="L618" s="310" t="str">
        <f t="shared" si="651"/>
        <v/>
      </c>
      <c r="M618" s="310" t="str">
        <f t="shared" si="652"/>
        <v/>
      </c>
      <c r="N618" s="311" t="str">
        <f t="shared" si="653"/>
        <v/>
      </c>
    </row>
    <row r="619" spans="1:14" s="294" customFormat="1">
      <c r="A619" s="297" t="s">
        <v>1517</v>
      </c>
      <c r="B619" s="301"/>
      <c r="C619" s="299" t="s">
        <v>1496</v>
      </c>
      <c r="D619" s="299">
        <v>1</v>
      </c>
      <c r="E619" s="300">
        <f>12+11+12</f>
        <v>35</v>
      </c>
      <c r="F619" s="300">
        <f t="shared" si="654"/>
        <v>35</v>
      </c>
      <c r="G619" s="302">
        <f>(0.45*2)+17*0.008*2</f>
        <v>1.17</v>
      </c>
      <c r="H619" s="310" t="str">
        <f t="shared" si="647"/>
        <v/>
      </c>
      <c r="I619" s="311">
        <f t="shared" si="648"/>
        <v>40.950000000000003</v>
      </c>
      <c r="J619" s="311" t="str">
        <f t="shared" si="649"/>
        <v/>
      </c>
      <c r="K619" s="311" t="str">
        <f t="shared" si="650"/>
        <v/>
      </c>
      <c r="L619" s="310" t="str">
        <f t="shared" si="651"/>
        <v/>
      </c>
      <c r="M619" s="310" t="str">
        <f t="shared" si="652"/>
        <v/>
      </c>
      <c r="N619" s="311" t="str">
        <f t="shared" si="653"/>
        <v/>
      </c>
    </row>
    <row r="620" spans="1:14">
      <c r="A620" s="297" t="s">
        <v>1520</v>
      </c>
      <c r="B620" s="254"/>
      <c r="C620" s="299" t="s">
        <v>1492</v>
      </c>
      <c r="D620" s="299">
        <v>1</v>
      </c>
      <c r="E620" s="300">
        <v>3</v>
      </c>
      <c r="F620" s="300">
        <f>E620*D620</f>
        <v>3</v>
      </c>
      <c r="G620" s="302">
        <v>3.2</v>
      </c>
      <c r="H620" s="310" t="str">
        <f t="shared" si="647"/>
        <v/>
      </c>
      <c r="I620" s="311" t="str">
        <f t="shared" si="648"/>
        <v/>
      </c>
      <c r="J620" s="311" t="str">
        <f t="shared" si="649"/>
        <v/>
      </c>
      <c r="K620" s="311" t="str">
        <f t="shared" si="650"/>
        <v/>
      </c>
      <c r="L620" s="310">
        <f t="shared" si="651"/>
        <v>9.6</v>
      </c>
      <c r="M620" s="310" t="str">
        <f t="shared" si="652"/>
        <v/>
      </c>
      <c r="N620" s="311" t="str">
        <f t="shared" si="653"/>
        <v/>
      </c>
    </row>
    <row r="621" spans="1:14">
      <c r="A621" s="253"/>
      <c r="B621" s="254"/>
      <c r="C621" s="299" t="s">
        <v>1492</v>
      </c>
      <c r="D621" s="299">
        <v>1</v>
      </c>
      <c r="E621" s="300">
        <v>3</v>
      </c>
      <c r="F621" s="300">
        <f>E621*D621</f>
        <v>3</v>
      </c>
      <c r="G621" s="302">
        <v>2.2000000000000002</v>
      </c>
      <c r="H621" s="310" t="str">
        <f t="shared" si="647"/>
        <v/>
      </c>
      <c r="I621" s="311" t="str">
        <f t="shared" si="648"/>
        <v/>
      </c>
      <c r="J621" s="311" t="str">
        <f t="shared" si="649"/>
        <v/>
      </c>
      <c r="K621" s="311" t="str">
        <f t="shared" si="650"/>
        <v/>
      </c>
      <c r="L621" s="310">
        <f t="shared" si="651"/>
        <v>6.6</v>
      </c>
      <c r="M621" s="310" t="str">
        <f t="shared" si="652"/>
        <v/>
      </c>
      <c r="N621" s="311" t="str">
        <f t="shared" si="653"/>
        <v/>
      </c>
    </row>
    <row r="622" spans="1:14">
      <c r="A622" s="253"/>
      <c r="B622" s="254"/>
      <c r="C622" s="299" t="s">
        <v>1516</v>
      </c>
      <c r="D622" s="299">
        <v>1</v>
      </c>
      <c r="E622" s="300">
        <v>3</v>
      </c>
      <c r="F622" s="300">
        <f>E622*D622</f>
        <v>3</v>
      </c>
      <c r="G622" s="302">
        <v>4.8</v>
      </c>
      <c r="H622" s="310" t="str">
        <f t="shared" si="647"/>
        <v/>
      </c>
      <c r="I622" s="311" t="str">
        <f t="shared" si="648"/>
        <v/>
      </c>
      <c r="J622" s="311" t="str">
        <f t="shared" si="649"/>
        <v/>
      </c>
      <c r="K622" s="311">
        <f t="shared" si="650"/>
        <v>14.4</v>
      </c>
      <c r="L622" s="310" t="str">
        <f t="shared" si="651"/>
        <v/>
      </c>
      <c r="M622" s="310" t="str">
        <f t="shared" si="652"/>
        <v/>
      </c>
      <c r="N622" s="311" t="str">
        <f t="shared" si="653"/>
        <v/>
      </c>
    </row>
    <row r="623" spans="1:14">
      <c r="A623" s="253"/>
      <c r="B623" s="254"/>
      <c r="C623" s="299"/>
      <c r="D623" s="299"/>
      <c r="E623" s="300"/>
      <c r="F623" s="300"/>
      <c r="G623" s="299"/>
      <c r="H623" s="310"/>
      <c r="I623" s="311"/>
      <c r="J623" s="311"/>
      <c r="K623" s="311"/>
      <c r="L623" s="310"/>
      <c r="M623" s="310"/>
      <c r="N623" s="311"/>
    </row>
    <row r="624" spans="1:14" ht="16.5">
      <c r="A624" s="326" t="s">
        <v>1374</v>
      </c>
      <c r="B624" s="254"/>
      <c r="C624" s="299"/>
      <c r="D624" s="299"/>
      <c r="E624" s="300"/>
      <c r="F624" s="300"/>
      <c r="G624" s="299"/>
      <c r="H624" s="310"/>
      <c r="I624" s="311"/>
      <c r="J624" s="311"/>
      <c r="K624" s="311"/>
      <c r="L624" s="310"/>
      <c r="M624" s="310"/>
      <c r="N624" s="311"/>
    </row>
    <row r="625" spans="1:14">
      <c r="A625" s="253"/>
      <c r="B625" s="254"/>
      <c r="C625" s="299"/>
      <c r="D625" s="299"/>
      <c r="E625" s="300"/>
      <c r="F625" s="300"/>
      <c r="G625" s="299"/>
      <c r="H625" s="310"/>
      <c r="I625" s="311"/>
      <c r="J625" s="311"/>
      <c r="K625" s="311"/>
      <c r="L625" s="310"/>
      <c r="M625" s="310"/>
      <c r="N625" s="311"/>
    </row>
    <row r="626" spans="1:14" ht="16.5">
      <c r="A626" s="303" t="s">
        <v>1637</v>
      </c>
      <c r="B626" s="254"/>
      <c r="C626" s="299"/>
      <c r="D626" s="299"/>
      <c r="E626" s="300"/>
      <c r="F626" s="300"/>
      <c r="G626" s="299"/>
      <c r="H626" s="310"/>
      <c r="I626" s="311"/>
      <c r="J626" s="311"/>
      <c r="K626" s="311"/>
      <c r="L626" s="310"/>
      <c r="M626" s="310"/>
      <c r="N626" s="311"/>
    </row>
    <row r="627" spans="1:14" s="294" customFormat="1">
      <c r="A627" s="297" t="s">
        <v>1515</v>
      </c>
      <c r="B627" s="298"/>
      <c r="C627" s="299" t="s">
        <v>1516</v>
      </c>
      <c r="D627" s="299">
        <v>1</v>
      </c>
      <c r="E627" s="300">
        <v>3</v>
      </c>
      <c r="F627" s="300">
        <f>E627*D627</f>
        <v>3</v>
      </c>
      <c r="G627" s="299">
        <f>(7.1)+17*0.012*2</f>
        <v>7.508</v>
      </c>
      <c r="H627" s="310" t="str">
        <f t="shared" ref="H627:H634" si="655">IF(C627="T6",G627*F627,"")</f>
        <v/>
      </c>
      <c r="I627" s="311" t="str">
        <f t="shared" ref="I627:I634" si="656">IF(C627="T8",F627*G627,"")</f>
        <v/>
      </c>
      <c r="J627" s="311" t="str">
        <f t="shared" ref="J627:J634" si="657">IF(C627="T10",F627*G627,"")</f>
        <v/>
      </c>
      <c r="K627" s="311">
        <f t="shared" ref="K627:K634" si="658">IF(C627="T12",F627*G627,"")</f>
        <v>22.52</v>
      </c>
      <c r="L627" s="310" t="str">
        <f t="shared" ref="L627:L634" si="659">IF(C627="T14",F627*G627,"")</f>
        <v/>
      </c>
      <c r="M627" s="310" t="str">
        <f t="shared" ref="M627:M634" si="660">IF(C627="T16",G627*F627,"")</f>
        <v/>
      </c>
      <c r="N627" s="311" t="str">
        <f t="shared" ref="N627:N634" si="661">IF(C627="T20",G627*F627,"")</f>
        <v/>
      </c>
    </row>
    <row r="628" spans="1:14" s="294" customFormat="1">
      <c r="A628" s="297" t="s">
        <v>1515</v>
      </c>
      <c r="B628" s="298"/>
      <c r="C628" s="299" t="s">
        <v>1492</v>
      </c>
      <c r="D628" s="299">
        <v>1</v>
      </c>
      <c r="E628" s="300">
        <v>3</v>
      </c>
      <c r="F628" s="300">
        <f>E628*D628</f>
        <v>3</v>
      </c>
      <c r="G628" s="299">
        <f>(7.1)+17*0.014*2</f>
        <v>7.5759999999999996</v>
      </c>
      <c r="H628" s="310" t="str">
        <f t="shared" si="655"/>
        <v/>
      </c>
      <c r="I628" s="311" t="str">
        <f t="shared" si="656"/>
        <v/>
      </c>
      <c r="J628" s="311" t="str">
        <f t="shared" si="657"/>
        <v/>
      </c>
      <c r="K628" s="311" t="str">
        <f t="shared" si="658"/>
        <v/>
      </c>
      <c r="L628" s="310">
        <f t="shared" si="659"/>
        <v>22.73</v>
      </c>
      <c r="M628" s="310" t="str">
        <f t="shared" si="660"/>
        <v/>
      </c>
      <c r="N628" s="311" t="str">
        <f t="shared" si="661"/>
        <v/>
      </c>
    </row>
    <row r="629" spans="1:14" s="294" customFormat="1">
      <c r="A629" s="297"/>
      <c r="B629" s="298"/>
      <c r="C629" s="299" t="s">
        <v>1516</v>
      </c>
      <c r="D629" s="299">
        <v>1</v>
      </c>
      <c r="E629" s="300">
        <v>2</v>
      </c>
      <c r="F629" s="300">
        <f>E629*D629</f>
        <v>2</v>
      </c>
      <c r="G629" s="299">
        <v>7.1</v>
      </c>
      <c r="H629" s="310" t="str">
        <f t="shared" si="655"/>
        <v/>
      </c>
      <c r="I629" s="311" t="str">
        <f t="shared" si="656"/>
        <v/>
      </c>
      <c r="J629" s="311" t="str">
        <f t="shared" si="657"/>
        <v/>
      </c>
      <c r="K629" s="311">
        <f t="shared" si="658"/>
        <v>14.2</v>
      </c>
      <c r="L629" s="310" t="str">
        <f t="shared" si="659"/>
        <v/>
      </c>
      <c r="M629" s="310" t="str">
        <f t="shared" si="660"/>
        <v/>
      </c>
      <c r="N629" s="311" t="str">
        <f t="shared" si="661"/>
        <v/>
      </c>
    </row>
    <row r="630" spans="1:14" s="294" customFormat="1">
      <c r="A630" s="297" t="s">
        <v>1494</v>
      </c>
      <c r="B630" s="301"/>
      <c r="C630" s="299" t="s">
        <v>1496</v>
      </c>
      <c r="D630" s="299">
        <v>1</v>
      </c>
      <c r="E630" s="300">
        <f>21+17+21</f>
        <v>59</v>
      </c>
      <c r="F630" s="300">
        <f t="shared" ref="F630:F631" si="662">E630*D630</f>
        <v>59</v>
      </c>
      <c r="G630" s="302">
        <f>(0.2+0.55)*2+17*0.008*2</f>
        <v>1.77</v>
      </c>
      <c r="H630" s="310" t="str">
        <f t="shared" si="655"/>
        <v/>
      </c>
      <c r="I630" s="311">
        <f t="shared" si="656"/>
        <v>104.43</v>
      </c>
      <c r="J630" s="311" t="str">
        <f t="shared" si="657"/>
        <v/>
      </c>
      <c r="K630" s="311" t="str">
        <f t="shared" si="658"/>
        <v/>
      </c>
      <c r="L630" s="310" t="str">
        <f t="shared" si="659"/>
        <v/>
      </c>
      <c r="M630" s="310" t="str">
        <f t="shared" si="660"/>
        <v/>
      </c>
      <c r="N630" s="311" t="str">
        <f t="shared" si="661"/>
        <v/>
      </c>
    </row>
    <row r="631" spans="1:14" s="294" customFormat="1">
      <c r="A631" s="297" t="s">
        <v>1517</v>
      </c>
      <c r="B631" s="301"/>
      <c r="C631" s="299" t="s">
        <v>1496</v>
      </c>
      <c r="D631" s="299">
        <v>1</v>
      </c>
      <c r="E631" s="300">
        <f>21+17+21</f>
        <v>59</v>
      </c>
      <c r="F631" s="300">
        <f t="shared" si="662"/>
        <v>59</v>
      </c>
      <c r="G631" s="302">
        <f>(0.55*2)+17*0.008*2</f>
        <v>1.37</v>
      </c>
      <c r="H631" s="310" t="str">
        <f t="shared" si="655"/>
        <v/>
      </c>
      <c r="I631" s="311">
        <f t="shared" si="656"/>
        <v>80.83</v>
      </c>
      <c r="J631" s="311" t="str">
        <f t="shared" si="657"/>
        <v/>
      </c>
      <c r="K631" s="311" t="str">
        <f t="shared" si="658"/>
        <v/>
      </c>
      <c r="L631" s="310" t="str">
        <f t="shared" si="659"/>
        <v/>
      </c>
      <c r="M631" s="310" t="str">
        <f t="shared" si="660"/>
        <v/>
      </c>
      <c r="N631" s="311" t="str">
        <f t="shared" si="661"/>
        <v/>
      </c>
    </row>
    <row r="632" spans="1:14" s="294" customFormat="1">
      <c r="A632" s="297" t="s">
        <v>1518</v>
      </c>
      <c r="B632" s="301"/>
      <c r="C632" s="299" t="s">
        <v>1492</v>
      </c>
      <c r="D632" s="299">
        <v>1</v>
      </c>
      <c r="E632" s="300">
        <v>3</v>
      </c>
      <c r="F632" s="300">
        <f>E632*D632</f>
        <v>3</v>
      </c>
      <c r="G632" s="299">
        <v>3.1</v>
      </c>
      <c r="H632" s="310" t="str">
        <f t="shared" si="655"/>
        <v/>
      </c>
      <c r="I632" s="311" t="str">
        <f t="shared" si="656"/>
        <v/>
      </c>
      <c r="J632" s="311" t="str">
        <f t="shared" si="657"/>
        <v/>
      </c>
      <c r="K632" s="311" t="str">
        <f t="shared" si="658"/>
        <v/>
      </c>
      <c r="L632" s="310">
        <f t="shared" si="659"/>
        <v>9.3000000000000007</v>
      </c>
      <c r="M632" s="310" t="str">
        <f t="shared" si="660"/>
        <v/>
      </c>
      <c r="N632" s="311" t="str">
        <f t="shared" si="661"/>
        <v/>
      </c>
    </row>
    <row r="633" spans="1:14">
      <c r="A633" s="297" t="s">
        <v>1520</v>
      </c>
      <c r="B633" s="254"/>
      <c r="C633" s="299" t="s">
        <v>1492</v>
      </c>
      <c r="D633" s="299">
        <v>1</v>
      </c>
      <c r="E633" s="300">
        <v>6</v>
      </c>
      <c r="F633" s="300">
        <f>E633*D633</f>
        <v>6</v>
      </c>
      <c r="G633" s="302">
        <v>4.5</v>
      </c>
      <c r="H633" s="310" t="str">
        <f t="shared" si="655"/>
        <v/>
      </c>
      <c r="I633" s="311" t="str">
        <f t="shared" si="656"/>
        <v/>
      </c>
      <c r="J633" s="311" t="str">
        <f t="shared" si="657"/>
        <v/>
      </c>
      <c r="K633" s="311" t="str">
        <f t="shared" si="658"/>
        <v/>
      </c>
      <c r="L633" s="310">
        <f t="shared" si="659"/>
        <v>27</v>
      </c>
      <c r="M633" s="310" t="str">
        <f t="shared" si="660"/>
        <v/>
      </c>
      <c r="N633" s="311" t="str">
        <f t="shared" si="661"/>
        <v/>
      </c>
    </row>
    <row r="634" spans="1:14">
      <c r="A634" s="253"/>
      <c r="B634" s="254"/>
      <c r="C634" s="299" t="s">
        <v>1516</v>
      </c>
      <c r="D634" s="299">
        <v>1</v>
      </c>
      <c r="E634" s="300">
        <v>3</v>
      </c>
      <c r="F634" s="300">
        <f>E634*D634</f>
        <v>3</v>
      </c>
      <c r="G634" s="302">
        <v>6.6</v>
      </c>
      <c r="H634" s="310" t="str">
        <f t="shared" si="655"/>
        <v/>
      </c>
      <c r="I634" s="311" t="str">
        <f t="shared" si="656"/>
        <v/>
      </c>
      <c r="J634" s="311" t="str">
        <f t="shared" si="657"/>
        <v/>
      </c>
      <c r="K634" s="311">
        <f t="shared" si="658"/>
        <v>19.8</v>
      </c>
      <c r="L634" s="310" t="str">
        <f t="shared" si="659"/>
        <v/>
      </c>
      <c r="M634" s="310" t="str">
        <f t="shared" si="660"/>
        <v/>
      </c>
      <c r="N634" s="311" t="str">
        <f t="shared" si="661"/>
        <v/>
      </c>
    </row>
    <row r="635" spans="1:14">
      <c r="A635" s="253"/>
      <c r="B635" s="254"/>
      <c r="C635" s="299"/>
      <c r="D635" s="299"/>
      <c r="E635" s="300"/>
      <c r="F635" s="300"/>
      <c r="G635" s="299"/>
      <c r="H635" s="310"/>
      <c r="I635" s="311"/>
      <c r="J635" s="311"/>
      <c r="K635" s="311"/>
      <c r="L635" s="310"/>
      <c r="M635" s="310"/>
      <c r="N635" s="311"/>
    </row>
    <row r="636" spans="1:14" ht="16.5">
      <c r="A636" s="303" t="s">
        <v>1636</v>
      </c>
      <c r="B636" s="254"/>
      <c r="C636" s="299"/>
      <c r="D636" s="299"/>
      <c r="E636" s="300"/>
      <c r="F636" s="300"/>
      <c r="G636" s="299"/>
      <c r="H636" s="310"/>
      <c r="I636" s="311"/>
      <c r="J636" s="311"/>
      <c r="K636" s="311"/>
      <c r="L636" s="310"/>
      <c r="M636" s="310"/>
      <c r="N636" s="311"/>
    </row>
    <row r="637" spans="1:14" s="294" customFormat="1">
      <c r="A637" s="297" t="s">
        <v>1515</v>
      </c>
      <c r="B637" s="298"/>
      <c r="C637" s="299" t="s">
        <v>1519</v>
      </c>
      <c r="D637" s="299">
        <v>1</v>
      </c>
      <c r="E637" s="300">
        <v>3</v>
      </c>
      <c r="F637" s="300">
        <f>E637*D637</f>
        <v>3</v>
      </c>
      <c r="G637" s="299">
        <f>(4)+17*0.01*2</f>
        <v>4.34</v>
      </c>
      <c r="H637" s="310" t="str">
        <f t="shared" ref="H637:H642" si="663">IF(C637="T6",G637*F637,"")</f>
        <v/>
      </c>
      <c r="I637" s="311" t="str">
        <f t="shared" ref="I637:I642" si="664">IF(C637="T8",F637*G637,"")</f>
        <v/>
      </c>
      <c r="J637" s="311">
        <f t="shared" ref="J637:J642" si="665">IF(C637="T10",F637*G637,"")</f>
        <v>13.02</v>
      </c>
      <c r="K637" s="311" t="str">
        <f t="shared" ref="K637:K642" si="666">IF(C637="T12",F637*G637,"")</f>
        <v/>
      </c>
      <c r="L637" s="310" t="str">
        <f t="shared" ref="L637:L642" si="667">IF(C637="T14",F637*G637,"")</f>
        <v/>
      </c>
      <c r="M637" s="310" t="str">
        <f t="shared" ref="M637:M642" si="668">IF(C637="T16",G637*F637,"")</f>
        <v/>
      </c>
      <c r="N637" s="311" t="str">
        <f t="shared" ref="N637:N642" si="669">IF(C637="T20",G637*F637,"")</f>
        <v/>
      </c>
    </row>
    <row r="638" spans="1:14" s="294" customFormat="1">
      <c r="A638" s="297" t="s">
        <v>1515</v>
      </c>
      <c r="B638" s="298"/>
      <c r="C638" s="299" t="s">
        <v>1516</v>
      </c>
      <c r="D638" s="299">
        <v>1</v>
      </c>
      <c r="E638" s="300">
        <v>3</v>
      </c>
      <c r="F638" s="300">
        <f>E638*D638</f>
        <v>3</v>
      </c>
      <c r="G638" s="299">
        <f>(4)+17*0.012*2</f>
        <v>4.4080000000000004</v>
      </c>
      <c r="H638" s="310" t="str">
        <f t="shared" si="663"/>
        <v/>
      </c>
      <c r="I638" s="311" t="str">
        <f t="shared" si="664"/>
        <v/>
      </c>
      <c r="J638" s="311" t="str">
        <f t="shared" si="665"/>
        <v/>
      </c>
      <c r="K638" s="311">
        <f t="shared" si="666"/>
        <v>13.22</v>
      </c>
      <c r="L638" s="310" t="str">
        <f t="shared" si="667"/>
        <v/>
      </c>
      <c r="M638" s="310" t="str">
        <f t="shared" si="668"/>
        <v/>
      </c>
      <c r="N638" s="311" t="str">
        <f t="shared" si="669"/>
        <v/>
      </c>
    </row>
    <row r="639" spans="1:14" s="294" customFormat="1">
      <c r="A639" s="297" t="s">
        <v>1494</v>
      </c>
      <c r="B639" s="301"/>
      <c r="C639" s="299" t="s">
        <v>1496</v>
      </c>
      <c r="D639" s="299">
        <v>1</v>
      </c>
      <c r="E639" s="300">
        <f>12+15+12</f>
        <v>39</v>
      </c>
      <c r="F639" s="300">
        <f t="shared" ref="F639:F640" si="670">E639*D639</f>
        <v>39</v>
      </c>
      <c r="G639" s="302">
        <f>(0.2+0.55)*2+17*0.008*2</f>
        <v>1.77</v>
      </c>
      <c r="H639" s="310" t="str">
        <f t="shared" si="663"/>
        <v/>
      </c>
      <c r="I639" s="311">
        <f t="shared" si="664"/>
        <v>69.03</v>
      </c>
      <c r="J639" s="311" t="str">
        <f t="shared" si="665"/>
        <v/>
      </c>
      <c r="K639" s="311" t="str">
        <f t="shared" si="666"/>
        <v/>
      </c>
      <c r="L639" s="310" t="str">
        <f t="shared" si="667"/>
        <v/>
      </c>
      <c r="M639" s="310" t="str">
        <f t="shared" si="668"/>
        <v/>
      </c>
      <c r="N639" s="311" t="str">
        <f t="shared" si="669"/>
        <v/>
      </c>
    </row>
    <row r="640" spans="1:14" s="294" customFormat="1">
      <c r="A640" s="297" t="s">
        <v>1517</v>
      </c>
      <c r="B640" s="301"/>
      <c r="C640" s="299" t="s">
        <v>1496</v>
      </c>
      <c r="D640" s="299">
        <v>1</v>
      </c>
      <c r="E640" s="300">
        <f>12+15+12</f>
        <v>39</v>
      </c>
      <c r="F640" s="300">
        <f t="shared" si="670"/>
        <v>39</v>
      </c>
      <c r="G640" s="302">
        <f>(0.55*2)+17*0.008*2</f>
        <v>1.37</v>
      </c>
      <c r="H640" s="310" t="str">
        <f t="shared" si="663"/>
        <v/>
      </c>
      <c r="I640" s="311">
        <f t="shared" si="664"/>
        <v>53.43</v>
      </c>
      <c r="J640" s="311" t="str">
        <f t="shared" si="665"/>
        <v/>
      </c>
      <c r="K640" s="311" t="str">
        <f t="shared" si="666"/>
        <v/>
      </c>
      <c r="L640" s="310" t="str">
        <f t="shared" si="667"/>
        <v/>
      </c>
      <c r="M640" s="310" t="str">
        <f t="shared" si="668"/>
        <v/>
      </c>
      <c r="N640" s="311" t="str">
        <f t="shared" si="669"/>
        <v/>
      </c>
    </row>
    <row r="641" spans="1:14">
      <c r="A641" s="297" t="s">
        <v>1520</v>
      </c>
      <c r="B641" s="254"/>
      <c r="C641" s="299" t="s">
        <v>1492</v>
      </c>
      <c r="D641" s="299">
        <v>1</v>
      </c>
      <c r="E641" s="300">
        <v>6</v>
      </c>
      <c r="F641" s="300">
        <f>E641*D641</f>
        <v>6</v>
      </c>
      <c r="G641" s="302">
        <v>3.8</v>
      </c>
      <c r="H641" s="310" t="str">
        <f t="shared" si="663"/>
        <v/>
      </c>
      <c r="I641" s="311" t="str">
        <f t="shared" si="664"/>
        <v/>
      </c>
      <c r="J641" s="311" t="str">
        <f t="shared" si="665"/>
        <v/>
      </c>
      <c r="K641" s="311" t="str">
        <f t="shared" si="666"/>
        <v/>
      </c>
      <c r="L641" s="310">
        <f t="shared" si="667"/>
        <v>22.8</v>
      </c>
      <c r="M641" s="310" t="str">
        <f t="shared" si="668"/>
        <v/>
      </c>
      <c r="N641" s="311" t="str">
        <f t="shared" si="669"/>
        <v/>
      </c>
    </row>
    <row r="642" spans="1:14">
      <c r="A642" s="253"/>
      <c r="B642" s="254"/>
      <c r="C642" s="299" t="s">
        <v>1492</v>
      </c>
      <c r="D642" s="299">
        <v>1</v>
      </c>
      <c r="E642" s="300">
        <v>3</v>
      </c>
      <c r="F642" s="300">
        <f>E642*D642</f>
        <v>3</v>
      </c>
      <c r="G642" s="302">
        <v>2.8</v>
      </c>
      <c r="H642" s="310" t="str">
        <f t="shared" si="663"/>
        <v/>
      </c>
      <c r="I642" s="311" t="str">
        <f t="shared" si="664"/>
        <v/>
      </c>
      <c r="J642" s="311" t="str">
        <f t="shared" si="665"/>
        <v/>
      </c>
      <c r="K642" s="311" t="str">
        <f t="shared" si="666"/>
        <v/>
      </c>
      <c r="L642" s="310">
        <f t="shared" si="667"/>
        <v>8.4</v>
      </c>
      <c r="M642" s="310" t="str">
        <f t="shared" si="668"/>
        <v/>
      </c>
      <c r="N642" s="311" t="str">
        <f t="shared" si="669"/>
        <v/>
      </c>
    </row>
    <row r="643" spans="1:14">
      <c r="A643" s="253"/>
      <c r="B643" s="254"/>
      <c r="C643" s="299" t="s">
        <v>1492</v>
      </c>
      <c r="D643" s="299">
        <v>1</v>
      </c>
      <c r="E643" s="300">
        <v>3</v>
      </c>
      <c r="F643" s="300">
        <f>E643*D643</f>
        <v>3</v>
      </c>
      <c r="G643" s="302">
        <v>3.5</v>
      </c>
      <c r="H643" s="310" t="str">
        <f t="shared" ref="H643" si="671">IF(C643="T6",G643*F643,"")</f>
        <v/>
      </c>
      <c r="I643" s="311" t="str">
        <f t="shared" ref="I643" si="672">IF(C643="T8",F643*G643,"")</f>
        <v/>
      </c>
      <c r="J643" s="311" t="str">
        <f t="shared" ref="J643" si="673">IF(C643="T10",F643*G643,"")</f>
        <v/>
      </c>
      <c r="K643" s="311" t="str">
        <f t="shared" ref="K643" si="674">IF(C643="T12",F643*G643,"")</f>
        <v/>
      </c>
      <c r="L643" s="310">
        <f t="shared" ref="L643" si="675">IF(C643="T14",F643*G643,"")</f>
        <v>10.5</v>
      </c>
      <c r="M643" s="310" t="str">
        <f t="shared" ref="M643" si="676">IF(C643="T16",G643*F643,"")</f>
        <v/>
      </c>
      <c r="N643" s="311" t="str">
        <f t="shared" ref="N643" si="677">IF(C643="T20",G643*F643,"")</f>
        <v/>
      </c>
    </row>
    <row r="644" spans="1:14">
      <c r="A644" s="253"/>
      <c r="B644" s="254"/>
      <c r="C644" s="299"/>
      <c r="D644" s="299"/>
      <c r="E644" s="300"/>
      <c r="F644" s="300"/>
      <c r="G644" s="299"/>
      <c r="H644" s="310"/>
      <c r="I644" s="311"/>
      <c r="J644" s="311"/>
      <c r="K644" s="311"/>
      <c r="L644" s="310"/>
      <c r="M644" s="310"/>
      <c r="N644" s="311"/>
    </row>
    <row r="645" spans="1:14" ht="16.5">
      <c r="A645" s="303" t="s">
        <v>1635</v>
      </c>
      <c r="B645" s="254"/>
      <c r="C645" s="299"/>
      <c r="D645" s="299"/>
      <c r="E645" s="300"/>
      <c r="F645" s="300"/>
      <c r="G645" s="299"/>
      <c r="H645" s="310"/>
      <c r="I645" s="311"/>
      <c r="J645" s="311"/>
      <c r="K645" s="311"/>
      <c r="L645" s="310"/>
      <c r="M645" s="310"/>
      <c r="N645" s="311"/>
    </row>
    <row r="646" spans="1:14" s="294" customFormat="1">
      <c r="A646" s="297" t="s">
        <v>1515</v>
      </c>
      <c r="B646" s="298"/>
      <c r="C646" s="299" t="s">
        <v>1519</v>
      </c>
      <c r="D646" s="299">
        <v>1</v>
      </c>
      <c r="E646" s="300">
        <v>3</v>
      </c>
      <c r="F646" s="300">
        <f>E646*D646</f>
        <v>3</v>
      </c>
      <c r="G646" s="299">
        <f>(1.85)+17*0.01*2</f>
        <v>2.19</v>
      </c>
      <c r="H646" s="310" t="str">
        <f t="shared" ref="H646:H650" si="678">IF(C646="T6",G646*F646,"")</f>
        <v/>
      </c>
      <c r="I646" s="311" t="str">
        <f t="shared" ref="I646:I650" si="679">IF(C646="T8",F646*G646,"")</f>
        <v/>
      </c>
      <c r="J646" s="311">
        <f t="shared" ref="J646:J650" si="680">IF(C646="T10",F646*G646,"")</f>
        <v>6.57</v>
      </c>
      <c r="K646" s="311" t="str">
        <f t="shared" ref="K646:K650" si="681">IF(C646="T12",F646*G646,"")</f>
        <v/>
      </c>
      <c r="L646" s="310" t="str">
        <f t="shared" ref="L646:L650" si="682">IF(C646="T14",F646*G646,"")</f>
        <v/>
      </c>
      <c r="M646" s="310" t="str">
        <f t="shared" ref="M646:M650" si="683">IF(C646="T16",G646*F646,"")</f>
        <v/>
      </c>
      <c r="N646" s="311" t="str">
        <f t="shared" ref="N646:N650" si="684">IF(C646="T20",G646*F646,"")</f>
        <v/>
      </c>
    </row>
    <row r="647" spans="1:14" s="294" customFormat="1">
      <c r="A647" s="297" t="s">
        <v>1515</v>
      </c>
      <c r="B647" s="298"/>
      <c r="C647" s="299" t="s">
        <v>1516</v>
      </c>
      <c r="D647" s="299">
        <v>1</v>
      </c>
      <c r="E647" s="300">
        <v>3</v>
      </c>
      <c r="F647" s="300">
        <f>E647*D647</f>
        <v>3</v>
      </c>
      <c r="G647" s="299">
        <f>(1.85)+17*0.012*2</f>
        <v>2.258</v>
      </c>
      <c r="H647" s="310" t="str">
        <f t="shared" si="678"/>
        <v/>
      </c>
      <c r="I647" s="311" t="str">
        <f t="shared" si="679"/>
        <v/>
      </c>
      <c r="J647" s="311" t="str">
        <f t="shared" si="680"/>
        <v/>
      </c>
      <c r="K647" s="311">
        <f t="shared" si="681"/>
        <v>6.77</v>
      </c>
      <c r="L647" s="310" t="str">
        <f t="shared" si="682"/>
        <v/>
      </c>
      <c r="M647" s="310" t="str">
        <f t="shared" si="683"/>
        <v/>
      </c>
      <c r="N647" s="311" t="str">
        <f t="shared" si="684"/>
        <v/>
      </c>
    </row>
    <row r="648" spans="1:14" s="294" customFormat="1">
      <c r="A648" s="297" t="s">
        <v>1494</v>
      </c>
      <c r="B648" s="301"/>
      <c r="C648" s="299" t="s">
        <v>1496</v>
      </c>
      <c r="D648" s="299">
        <v>1</v>
      </c>
      <c r="E648" s="300">
        <f>6+7+6</f>
        <v>19</v>
      </c>
      <c r="F648" s="300">
        <f t="shared" ref="F648:F649" si="685">E648*D648</f>
        <v>19</v>
      </c>
      <c r="G648" s="302">
        <f>(0.2+0.3)*2+17*0.008*2</f>
        <v>1.27</v>
      </c>
      <c r="H648" s="310" t="str">
        <f t="shared" si="678"/>
        <v/>
      </c>
      <c r="I648" s="311">
        <f t="shared" si="679"/>
        <v>24.13</v>
      </c>
      <c r="J648" s="311" t="str">
        <f t="shared" si="680"/>
        <v/>
      </c>
      <c r="K648" s="311" t="str">
        <f t="shared" si="681"/>
        <v/>
      </c>
      <c r="L648" s="310" t="str">
        <f t="shared" si="682"/>
        <v/>
      </c>
      <c r="M648" s="310" t="str">
        <f t="shared" si="683"/>
        <v/>
      </c>
      <c r="N648" s="311" t="str">
        <f t="shared" si="684"/>
        <v/>
      </c>
    </row>
    <row r="649" spans="1:14" s="294" customFormat="1">
      <c r="A649" s="297" t="s">
        <v>1517</v>
      </c>
      <c r="B649" s="301"/>
      <c r="C649" s="299" t="s">
        <v>1496</v>
      </c>
      <c r="D649" s="299">
        <v>1</v>
      </c>
      <c r="E649" s="300">
        <f>6+7+6</f>
        <v>19</v>
      </c>
      <c r="F649" s="300">
        <f t="shared" si="685"/>
        <v>19</v>
      </c>
      <c r="G649" s="302">
        <f>(0.3*2)+17*0.008*2</f>
        <v>0.87</v>
      </c>
      <c r="H649" s="310" t="str">
        <f t="shared" si="678"/>
        <v/>
      </c>
      <c r="I649" s="311">
        <f t="shared" si="679"/>
        <v>16.53</v>
      </c>
      <c r="J649" s="311" t="str">
        <f t="shared" si="680"/>
        <v/>
      </c>
      <c r="K649" s="311" t="str">
        <f t="shared" si="681"/>
        <v/>
      </c>
      <c r="L649" s="310" t="str">
        <f t="shared" si="682"/>
        <v/>
      </c>
      <c r="M649" s="310" t="str">
        <f t="shared" si="683"/>
        <v/>
      </c>
      <c r="N649" s="311" t="str">
        <f t="shared" si="684"/>
        <v/>
      </c>
    </row>
    <row r="650" spans="1:14">
      <c r="A650" s="297" t="s">
        <v>1518</v>
      </c>
      <c r="B650" s="254"/>
      <c r="C650" s="299" t="s">
        <v>1516</v>
      </c>
      <c r="D650" s="299">
        <v>1</v>
      </c>
      <c r="E650" s="300">
        <v>6</v>
      </c>
      <c r="F650" s="300">
        <f>E650*D650</f>
        <v>6</v>
      </c>
      <c r="G650" s="302">
        <v>0.8</v>
      </c>
      <c r="H650" s="310" t="str">
        <f t="shared" si="678"/>
        <v/>
      </c>
      <c r="I650" s="311" t="str">
        <f t="shared" si="679"/>
        <v/>
      </c>
      <c r="J650" s="311" t="str">
        <f t="shared" si="680"/>
        <v/>
      </c>
      <c r="K650" s="311">
        <f t="shared" si="681"/>
        <v>4.8</v>
      </c>
      <c r="L650" s="310" t="str">
        <f t="shared" si="682"/>
        <v/>
      </c>
      <c r="M650" s="310" t="str">
        <f t="shared" si="683"/>
        <v/>
      </c>
      <c r="N650" s="311" t="str">
        <f t="shared" si="684"/>
        <v/>
      </c>
    </row>
    <row r="651" spans="1:14">
      <c r="A651" s="253"/>
      <c r="B651" s="254"/>
      <c r="C651" s="299"/>
      <c r="D651" s="299"/>
      <c r="E651" s="300"/>
      <c r="F651" s="300"/>
      <c r="G651" s="302"/>
      <c r="H651" s="310"/>
      <c r="I651" s="311"/>
      <c r="J651" s="311"/>
      <c r="K651" s="311"/>
      <c r="L651" s="310"/>
      <c r="M651" s="310"/>
      <c r="N651" s="311"/>
    </row>
    <row r="652" spans="1:14" ht="16.5">
      <c r="A652" s="303" t="s">
        <v>1634</v>
      </c>
      <c r="B652" s="254"/>
      <c r="C652" s="299"/>
      <c r="D652" s="299"/>
      <c r="E652" s="300"/>
      <c r="F652" s="300"/>
      <c r="G652" s="302"/>
      <c r="H652" s="310"/>
      <c r="I652" s="311"/>
      <c r="J652" s="311"/>
      <c r="K652" s="311"/>
      <c r="L652" s="310"/>
      <c r="M652" s="310"/>
      <c r="N652" s="311"/>
    </row>
    <row r="653" spans="1:14" s="294" customFormat="1">
      <c r="A653" s="297" t="s">
        <v>1515</v>
      </c>
      <c r="B653" s="298"/>
      <c r="C653" s="299" t="s">
        <v>1519</v>
      </c>
      <c r="D653" s="299">
        <v>1</v>
      </c>
      <c r="E653" s="300">
        <v>3</v>
      </c>
      <c r="F653" s="300">
        <f>E653*D653</f>
        <v>3</v>
      </c>
      <c r="G653" s="299">
        <f>(4.1)+17*0.01*2</f>
        <v>4.4400000000000004</v>
      </c>
      <c r="H653" s="310" t="str">
        <f t="shared" ref="H653:H659" si="686">IF(C653="T6",G653*F653,"")</f>
        <v/>
      </c>
      <c r="I653" s="311" t="str">
        <f t="shared" ref="I653:I659" si="687">IF(C653="T8",F653*G653,"")</f>
        <v/>
      </c>
      <c r="J653" s="311">
        <f t="shared" ref="J653:J659" si="688">IF(C653="T10",F653*G653,"")</f>
        <v>13.32</v>
      </c>
      <c r="K653" s="311" t="str">
        <f t="shared" ref="K653:K659" si="689">IF(C653="T12",F653*G653,"")</f>
        <v/>
      </c>
      <c r="L653" s="310" t="str">
        <f t="shared" ref="L653:L659" si="690">IF(C653="T14",F653*G653,"")</f>
        <v/>
      </c>
      <c r="M653" s="310" t="str">
        <f t="shared" ref="M653:M659" si="691">IF(C653="T16",G653*F653,"")</f>
        <v/>
      </c>
      <c r="N653" s="311" t="str">
        <f t="shared" ref="N653:N659" si="692">IF(C653="T20",G653*F653,"")</f>
        <v/>
      </c>
    </row>
    <row r="654" spans="1:14" s="294" customFormat="1">
      <c r="A654" s="297" t="s">
        <v>1515</v>
      </c>
      <c r="B654" s="298"/>
      <c r="C654" s="299" t="s">
        <v>1516</v>
      </c>
      <c r="D654" s="299">
        <v>1</v>
      </c>
      <c r="E654" s="300">
        <v>3</v>
      </c>
      <c r="F654" s="300">
        <f>E654*D654</f>
        <v>3</v>
      </c>
      <c r="G654" s="299">
        <f>(4.1)+17*0.012*2</f>
        <v>4.508</v>
      </c>
      <c r="H654" s="310" t="str">
        <f t="shared" si="686"/>
        <v/>
      </c>
      <c r="I654" s="311" t="str">
        <f t="shared" si="687"/>
        <v/>
      </c>
      <c r="J654" s="311" t="str">
        <f t="shared" si="688"/>
        <v/>
      </c>
      <c r="K654" s="311">
        <f t="shared" si="689"/>
        <v>13.52</v>
      </c>
      <c r="L654" s="310" t="str">
        <f t="shared" si="690"/>
        <v/>
      </c>
      <c r="M654" s="310" t="str">
        <f t="shared" si="691"/>
        <v/>
      </c>
      <c r="N654" s="311" t="str">
        <f t="shared" si="692"/>
        <v/>
      </c>
    </row>
    <row r="655" spans="1:14" s="294" customFormat="1">
      <c r="A655" s="297" t="s">
        <v>1494</v>
      </c>
      <c r="B655" s="301"/>
      <c r="C655" s="299" t="s">
        <v>1496</v>
      </c>
      <c r="D655" s="299">
        <v>1</v>
      </c>
      <c r="E655" s="300">
        <f>13+12+13</f>
        <v>38</v>
      </c>
      <c r="F655" s="300">
        <f t="shared" ref="F655:F656" si="693">E655*D655</f>
        <v>38</v>
      </c>
      <c r="G655" s="302">
        <f>(0.2+0.55)*2+17*0.008*2</f>
        <v>1.77</v>
      </c>
      <c r="H655" s="310" t="str">
        <f t="shared" si="686"/>
        <v/>
      </c>
      <c r="I655" s="311">
        <f t="shared" si="687"/>
        <v>67.260000000000005</v>
      </c>
      <c r="J655" s="311" t="str">
        <f t="shared" si="688"/>
        <v/>
      </c>
      <c r="K655" s="311" t="str">
        <f t="shared" si="689"/>
        <v/>
      </c>
      <c r="L655" s="310" t="str">
        <f t="shared" si="690"/>
        <v/>
      </c>
      <c r="M655" s="310" t="str">
        <f t="shared" si="691"/>
        <v/>
      </c>
      <c r="N655" s="311" t="str">
        <f t="shared" si="692"/>
        <v/>
      </c>
    </row>
    <row r="656" spans="1:14" s="294" customFormat="1">
      <c r="A656" s="297" t="s">
        <v>1517</v>
      </c>
      <c r="B656" s="301"/>
      <c r="C656" s="299" t="s">
        <v>1496</v>
      </c>
      <c r="D656" s="299">
        <v>1</v>
      </c>
      <c r="E656" s="300">
        <f>13+12+13</f>
        <v>38</v>
      </c>
      <c r="F656" s="300">
        <f t="shared" si="693"/>
        <v>38</v>
      </c>
      <c r="G656" s="302">
        <f>(0.55*2)+17*0.008*2</f>
        <v>1.37</v>
      </c>
      <c r="H656" s="310" t="str">
        <f t="shared" si="686"/>
        <v/>
      </c>
      <c r="I656" s="311">
        <f t="shared" si="687"/>
        <v>52.06</v>
      </c>
      <c r="J656" s="311" t="str">
        <f t="shared" si="688"/>
        <v/>
      </c>
      <c r="K656" s="311" t="str">
        <f t="shared" si="689"/>
        <v/>
      </c>
      <c r="L656" s="310" t="str">
        <f t="shared" si="690"/>
        <v/>
      </c>
      <c r="M656" s="310" t="str">
        <f t="shared" si="691"/>
        <v/>
      </c>
      <c r="N656" s="311" t="str">
        <f t="shared" si="692"/>
        <v/>
      </c>
    </row>
    <row r="657" spans="1:14">
      <c r="A657" s="297" t="s">
        <v>1520</v>
      </c>
      <c r="B657" s="254"/>
      <c r="C657" s="299" t="s">
        <v>1492</v>
      </c>
      <c r="D657" s="299">
        <v>1</v>
      </c>
      <c r="E657" s="300">
        <v>3</v>
      </c>
      <c r="F657" s="300">
        <f>E657*D657</f>
        <v>3</v>
      </c>
      <c r="G657" s="302">
        <v>2.9</v>
      </c>
      <c r="H657" s="310" t="str">
        <f t="shared" si="686"/>
        <v/>
      </c>
      <c r="I657" s="311" t="str">
        <f t="shared" si="687"/>
        <v/>
      </c>
      <c r="J657" s="311" t="str">
        <f t="shared" si="688"/>
        <v/>
      </c>
      <c r="K657" s="311" t="str">
        <f t="shared" si="689"/>
        <v/>
      </c>
      <c r="L657" s="310">
        <f t="shared" si="690"/>
        <v>8.6999999999999993</v>
      </c>
      <c r="M657" s="310" t="str">
        <f t="shared" si="691"/>
        <v/>
      </c>
      <c r="N657" s="311" t="str">
        <f t="shared" si="692"/>
        <v/>
      </c>
    </row>
    <row r="658" spans="1:14">
      <c r="A658" s="253"/>
      <c r="B658" s="254"/>
      <c r="C658" s="299" t="s">
        <v>1492</v>
      </c>
      <c r="D658" s="299">
        <v>1</v>
      </c>
      <c r="E658" s="300">
        <v>3</v>
      </c>
      <c r="F658" s="300">
        <f>E658*D658</f>
        <v>3</v>
      </c>
      <c r="G658" s="302">
        <v>2.9</v>
      </c>
      <c r="H658" s="310" t="str">
        <f t="shared" si="686"/>
        <v/>
      </c>
      <c r="I658" s="311" t="str">
        <f t="shared" si="687"/>
        <v/>
      </c>
      <c r="J658" s="311" t="str">
        <f t="shared" si="688"/>
        <v/>
      </c>
      <c r="K658" s="311" t="str">
        <f t="shared" si="689"/>
        <v/>
      </c>
      <c r="L658" s="310">
        <f t="shared" si="690"/>
        <v>8.6999999999999993</v>
      </c>
      <c r="M658" s="310" t="str">
        <f t="shared" si="691"/>
        <v/>
      </c>
      <c r="N658" s="311" t="str">
        <f t="shared" si="692"/>
        <v/>
      </c>
    </row>
    <row r="659" spans="1:14">
      <c r="A659" s="253"/>
      <c r="B659" s="254"/>
      <c r="C659" s="299" t="s">
        <v>1492</v>
      </c>
      <c r="D659" s="299">
        <v>1</v>
      </c>
      <c r="E659" s="300">
        <v>3</v>
      </c>
      <c r="F659" s="300">
        <f>E659*D659</f>
        <v>3</v>
      </c>
      <c r="G659" s="302">
        <v>4.1500000000000004</v>
      </c>
      <c r="H659" s="310" t="str">
        <f t="shared" si="686"/>
        <v/>
      </c>
      <c r="I659" s="311" t="str">
        <f t="shared" si="687"/>
        <v/>
      </c>
      <c r="J659" s="311" t="str">
        <f t="shared" si="688"/>
        <v/>
      </c>
      <c r="K659" s="311" t="str">
        <f t="shared" si="689"/>
        <v/>
      </c>
      <c r="L659" s="310">
        <f t="shared" si="690"/>
        <v>12.45</v>
      </c>
      <c r="M659" s="310" t="str">
        <f t="shared" si="691"/>
        <v/>
      </c>
      <c r="N659" s="311" t="str">
        <f t="shared" si="692"/>
        <v/>
      </c>
    </row>
    <row r="660" spans="1:14">
      <c r="A660" s="253"/>
      <c r="B660" s="254"/>
      <c r="C660" s="299"/>
      <c r="D660" s="299"/>
      <c r="E660" s="300"/>
      <c r="F660" s="300"/>
      <c r="G660" s="299"/>
      <c r="H660" s="310"/>
      <c r="I660" s="311"/>
      <c r="J660" s="311"/>
      <c r="K660" s="311"/>
      <c r="L660" s="310"/>
      <c r="M660" s="310"/>
      <c r="N660" s="311"/>
    </row>
    <row r="661" spans="1:14" ht="16.5">
      <c r="A661" s="303" t="s">
        <v>1633</v>
      </c>
      <c r="B661" s="254"/>
      <c r="C661" s="299"/>
      <c r="D661" s="299"/>
      <c r="E661" s="300"/>
      <c r="F661" s="300"/>
      <c r="G661" s="299"/>
      <c r="H661" s="310"/>
      <c r="I661" s="311"/>
      <c r="J661" s="311"/>
      <c r="K661" s="311"/>
      <c r="L661" s="310"/>
      <c r="M661" s="310"/>
      <c r="N661" s="311"/>
    </row>
    <row r="662" spans="1:14" s="294" customFormat="1">
      <c r="A662" s="297" t="s">
        <v>1515</v>
      </c>
      <c r="B662" s="298"/>
      <c r="C662" s="299" t="s">
        <v>1516</v>
      </c>
      <c r="D662" s="299">
        <v>1</v>
      </c>
      <c r="E662" s="300">
        <v>3</v>
      </c>
      <c r="F662" s="300">
        <f>E662*D662</f>
        <v>3</v>
      </c>
      <c r="G662" s="299">
        <f>(7.1)+17*0.012*2</f>
        <v>7.508</v>
      </c>
      <c r="H662" s="310" t="str">
        <f t="shared" ref="H662:H669" si="694">IF(C662="T6",G662*F662,"")</f>
        <v/>
      </c>
      <c r="I662" s="311" t="str">
        <f t="shared" ref="I662:I669" si="695">IF(C662="T8",F662*G662,"")</f>
        <v/>
      </c>
      <c r="J662" s="311" t="str">
        <f t="shared" ref="J662:J669" si="696">IF(C662="T10",F662*G662,"")</f>
        <v/>
      </c>
      <c r="K662" s="311">
        <f t="shared" ref="K662:K669" si="697">IF(C662="T12",F662*G662,"")</f>
        <v>22.52</v>
      </c>
      <c r="L662" s="310" t="str">
        <f t="shared" ref="L662:L669" si="698">IF(C662="T14",F662*G662,"")</f>
        <v/>
      </c>
      <c r="M662" s="310" t="str">
        <f t="shared" ref="M662:M669" si="699">IF(C662="T16",G662*F662,"")</f>
        <v/>
      </c>
      <c r="N662" s="311" t="str">
        <f t="shared" ref="N662:N669" si="700">IF(C662="T20",G662*F662,"")</f>
        <v/>
      </c>
    </row>
    <row r="663" spans="1:14" s="294" customFormat="1">
      <c r="A663" s="297" t="s">
        <v>1515</v>
      </c>
      <c r="B663" s="298"/>
      <c r="C663" s="299" t="s">
        <v>1492</v>
      </c>
      <c r="D663" s="299">
        <v>1</v>
      </c>
      <c r="E663" s="300">
        <v>3</v>
      </c>
      <c r="F663" s="300">
        <f>E663*D663</f>
        <v>3</v>
      </c>
      <c r="G663" s="299">
        <f>(7.1)+17*0.014*2</f>
        <v>7.5759999999999996</v>
      </c>
      <c r="H663" s="310" t="str">
        <f t="shared" si="694"/>
        <v/>
      </c>
      <c r="I663" s="311" t="str">
        <f t="shared" si="695"/>
        <v/>
      </c>
      <c r="J663" s="311" t="str">
        <f t="shared" si="696"/>
        <v/>
      </c>
      <c r="K663" s="311" t="str">
        <f t="shared" si="697"/>
        <v/>
      </c>
      <c r="L663" s="310">
        <f t="shared" si="698"/>
        <v>22.73</v>
      </c>
      <c r="M663" s="310" t="str">
        <f t="shared" si="699"/>
        <v/>
      </c>
      <c r="N663" s="311" t="str">
        <f t="shared" si="700"/>
        <v/>
      </c>
    </row>
    <row r="664" spans="1:14" s="294" customFormat="1">
      <c r="A664" s="297"/>
      <c r="B664" s="298"/>
      <c r="C664" s="299" t="s">
        <v>1516</v>
      </c>
      <c r="D664" s="299">
        <v>1</v>
      </c>
      <c r="E664" s="300">
        <v>2</v>
      </c>
      <c r="F664" s="300">
        <f>E664*D664</f>
        <v>2</v>
      </c>
      <c r="G664" s="299">
        <v>7.1</v>
      </c>
      <c r="H664" s="310" t="str">
        <f t="shared" si="694"/>
        <v/>
      </c>
      <c r="I664" s="311" t="str">
        <f t="shared" si="695"/>
        <v/>
      </c>
      <c r="J664" s="311" t="str">
        <f t="shared" si="696"/>
        <v/>
      </c>
      <c r="K664" s="311">
        <f t="shared" si="697"/>
        <v>14.2</v>
      </c>
      <c r="L664" s="310" t="str">
        <f t="shared" si="698"/>
        <v/>
      </c>
      <c r="M664" s="310" t="str">
        <f t="shared" si="699"/>
        <v/>
      </c>
      <c r="N664" s="311" t="str">
        <f t="shared" si="700"/>
        <v/>
      </c>
    </row>
    <row r="665" spans="1:14" s="294" customFormat="1">
      <c r="A665" s="297" t="s">
        <v>1494</v>
      </c>
      <c r="B665" s="301"/>
      <c r="C665" s="299" t="s">
        <v>1496</v>
      </c>
      <c r="D665" s="299">
        <v>1</v>
      </c>
      <c r="E665" s="300">
        <f>21+17+21</f>
        <v>59</v>
      </c>
      <c r="F665" s="300">
        <f t="shared" ref="F665:F666" si="701">E665*D665</f>
        <v>59</v>
      </c>
      <c r="G665" s="302">
        <f>(0.2+0.55)*2+17*0.008*2</f>
        <v>1.77</v>
      </c>
      <c r="H665" s="310" t="str">
        <f t="shared" si="694"/>
        <v/>
      </c>
      <c r="I665" s="311">
        <f t="shared" si="695"/>
        <v>104.43</v>
      </c>
      <c r="J665" s="311" t="str">
        <f t="shared" si="696"/>
        <v/>
      </c>
      <c r="K665" s="311" t="str">
        <f t="shared" si="697"/>
        <v/>
      </c>
      <c r="L665" s="310" t="str">
        <f t="shared" si="698"/>
        <v/>
      </c>
      <c r="M665" s="310" t="str">
        <f t="shared" si="699"/>
        <v/>
      </c>
      <c r="N665" s="311" t="str">
        <f t="shared" si="700"/>
        <v/>
      </c>
    </row>
    <row r="666" spans="1:14" s="294" customFormat="1">
      <c r="A666" s="297" t="s">
        <v>1517</v>
      </c>
      <c r="B666" s="301"/>
      <c r="C666" s="299" t="s">
        <v>1496</v>
      </c>
      <c r="D666" s="299">
        <v>1</v>
      </c>
      <c r="E666" s="300">
        <f>21+17+21</f>
        <v>59</v>
      </c>
      <c r="F666" s="300">
        <f t="shared" si="701"/>
        <v>59</v>
      </c>
      <c r="G666" s="302">
        <f>(0.55*2)+17*0.008*2</f>
        <v>1.37</v>
      </c>
      <c r="H666" s="310" t="str">
        <f t="shared" si="694"/>
        <v/>
      </c>
      <c r="I666" s="311">
        <f t="shared" si="695"/>
        <v>80.83</v>
      </c>
      <c r="J666" s="311" t="str">
        <f t="shared" si="696"/>
        <v/>
      </c>
      <c r="K666" s="311" t="str">
        <f t="shared" si="697"/>
        <v/>
      </c>
      <c r="L666" s="310" t="str">
        <f t="shared" si="698"/>
        <v/>
      </c>
      <c r="M666" s="310" t="str">
        <f t="shared" si="699"/>
        <v/>
      </c>
      <c r="N666" s="311" t="str">
        <f t="shared" si="700"/>
        <v/>
      </c>
    </row>
    <row r="667" spans="1:14" s="294" customFormat="1">
      <c r="A667" s="297" t="s">
        <v>1518</v>
      </c>
      <c r="B667" s="301"/>
      <c r="C667" s="299" t="s">
        <v>1492</v>
      </c>
      <c r="D667" s="299">
        <v>1</v>
      </c>
      <c r="E667" s="300">
        <v>3</v>
      </c>
      <c r="F667" s="300">
        <f>E667*D667</f>
        <v>3</v>
      </c>
      <c r="G667" s="299">
        <v>3.1</v>
      </c>
      <c r="H667" s="310" t="str">
        <f t="shared" si="694"/>
        <v/>
      </c>
      <c r="I667" s="311" t="str">
        <f t="shared" si="695"/>
        <v/>
      </c>
      <c r="J667" s="311" t="str">
        <f t="shared" si="696"/>
        <v/>
      </c>
      <c r="K667" s="311" t="str">
        <f t="shared" si="697"/>
        <v/>
      </c>
      <c r="L667" s="310">
        <f t="shared" si="698"/>
        <v>9.3000000000000007</v>
      </c>
      <c r="M667" s="310" t="str">
        <f t="shared" si="699"/>
        <v/>
      </c>
      <c r="N667" s="311" t="str">
        <f t="shared" si="700"/>
        <v/>
      </c>
    </row>
    <row r="668" spans="1:14">
      <c r="A668" s="297" t="s">
        <v>1520</v>
      </c>
      <c r="B668" s="254"/>
      <c r="C668" s="299" t="s">
        <v>1492</v>
      </c>
      <c r="D668" s="299">
        <v>1</v>
      </c>
      <c r="E668" s="300">
        <v>6</v>
      </c>
      <c r="F668" s="300">
        <f>E668*D668</f>
        <v>6</v>
      </c>
      <c r="G668" s="302">
        <v>4.5</v>
      </c>
      <c r="H668" s="310" t="str">
        <f t="shared" si="694"/>
        <v/>
      </c>
      <c r="I668" s="311" t="str">
        <f t="shared" si="695"/>
        <v/>
      </c>
      <c r="J668" s="311" t="str">
        <f t="shared" si="696"/>
        <v/>
      </c>
      <c r="K668" s="311" t="str">
        <f t="shared" si="697"/>
        <v/>
      </c>
      <c r="L668" s="310">
        <f t="shared" si="698"/>
        <v>27</v>
      </c>
      <c r="M668" s="310" t="str">
        <f t="shared" si="699"/>
        <v/>
      </c>
      <c r="N668" s="311" t="str">
        <f t="shared" si="700"/>
        <v/>
      </c>
    </row>
    <row r="669" spans="1:14">
      <c r="A669" s="253"/>
      <c r="B669" s="254"/>
      <c r="C669" s="299" t="s">
        <v>1516</v>
      </c>
      <c r="D669" s="299">
        <v>1</v>
      </c>
      <c r="E669" s="300">
        <v>3</v>
      </c>
      <c r="F669" s="300">
        <f>E669*D669</f>
        <v>3</v>
      </c>
      <c r="G669" s="302">
        <v>6.6</v>
      </c>
      <c r="H669" s="310" t="str">
        <f t="shared" si="694"/>
        <v/>
      </c>
      <c r="I669" s="311" t="str">
        <f t="shared" si="695"/>
        <v/>
      </c>
      <c r="J669" s="311" t="str">
        <f t="shared" si="696"/>
        <v/>
      </c>
      <c r="K669" s="311">
        <f t="shared" si="697"/>
        <v>19.8</v>
      </c>
      <c r="L669" s="310" t="str">
        <f t="shared" si="698"/>
        <v/>
      </c>
      <c r="M669" s="310" t="str">
        <f t="shared" si="699"/>
        <v/>
      </c>
      <c r="N669" s="311" t="str">
        <f t="shared" si="700"/>
        <v/>
      </c>
    </row>
    <row r="670" spans="1:14">
      <c r="A670" s="253"/>
      <c r="B670" s="254"/>
      <c r="C670" s="299"/>
      <c r="D670" s="299"/>
      <c r="E670" s="300"/>
      <c r="F670" s="300"/>
      <c r="G670" s="299"/>
      <c r="H670" s="310"/>
      <c r="I670" s="311"/>
      <c r="J670" s="311"/>
      <c r="K670" s="311"/>
      <c r="L670" s="310"/>
      <c r="M670" s="310"/>
      <c r="N670" s="311"/>
    </row>
    <row r="671" spans="1:14" ht="16.5">
      <c r="A671" s="303" t="s">
        <v>1632</v>
      </c>
      <c r="B671" s="254"/>
      <c r="C671" s="299"/>
      <c r="D671" s="299"/>
      <c r="E671" s="300"/>
      <c r="F671" s="300"/>
      <c r="G671" s="299"/>
      <c r="H671" s="310"/>
      <c r="I671" s="311"/>
      <c r="J671" s="311"/>
      <c r="K671" s="311"/>
      <c r="L671" s="310"/>
      <c r="M671" s="310"/>
      <c r="N671" s="311"/>
    </row>
    <row r="672" spans="1:14" s="294" customFormat="1">
      <c r="A672" s="297" t="s">
        <v>1515</v>
      </c>
      <c r="B672" s="298"/>
      <c r="C672" s="299" t="s">
        <v>1519</v>
      </c>
      <c r="D672" s="299">
        <v>1</v>
      </c>
      <c r="E672" s="300">
        <v>3</v>
      </c>
      <c r="F672" s="300">
        <f>E672*D672</f>
        <v>3</v>
      </c>
      <c r="G672" s="299">
        <f>(4)+17*0.01*2</f>
        <v>4.34</v>
      </c>
      <c r="H672" s="310" t="str">
        <f t="shared" ref="H672:H678" si="702">IF(C672="T6",G672*F672,"")</f>
        <v/>
      </c>
      <c r="I672" s="311" t="str">
        <f t="shared" ref="I672:I678" si="703">IF(C672="T8",F672*G672,"")</f>
        <v/>
      </c>
      <c r="J672" s="311">
        <f t="shared" ref="J672:J678" si="704">IF(C672="T10",F672*G672,"")</f>
        <v>13.02</v>
      </c>
      <c r="K672" s="311" t="str">
        <f t="shared" ref="K672:K678" si="705">IF(C672="T12",F672*G672,"")</f>
        <v/>
      </c>
      <c r="L672" s="310" t="str">
        <f t="shared" ref="L672:L678" si="706">IF(C672="T14",F672*G672,"")</f>
        <v/>
      </c>
      <c r="M672" s="310" t="str">
        <f t="shared" ref="M672:M678" si="707">IF(C672="T16",G672*F672,"")</f>
        <v/>
      </c>
      <c r="N672" s="311" t="str">
        <f t="shared" ref="N672:N678" si="708">IF(C672="T20",G672*F672,"")</f>
        <v/>
      </c>
    </row>
    <row r="673" spans="1:14" s="294" customFormat="1">
      <c r="A673" s="297" t="s">
        <v>1515</v>
      </c>
      <c r="B673" s="298"/>
      <c r="C673" s="299" t="s">
        <v>1516</v>
      </c>
      <c r="D673" s="299">
        <v>1</v>
      </c>
      <c r="E673" s="300">
        <v>3</v>
      </c>
      <c r="F673" s="300">
        <f>E673*D673</f>
        <v>3</v>
      </c>
      <c r="G673" s="299">
        <f>(4)+17*0.012*2</f>
        <v>4.4080000000000004</v>
      </c>
      <c r="H673" s="310" t="str">
        <f t="shared" si="702"/>
        <v/>
      </c>
      <c r="I673" s="311" t="str">
        <f t="shared" si="703"/>
        <v/>
      </c>
      <c r="J673" s="311" t="str">
        <f t="shared" si="704"/>
        <v/>
      </c>
      <c r="K673" s="311">
        <f t="shared" si="705"/>
        <v>13.22</v>
      </c>
      <c r="L673" s="310" t="str">
        <f t="shared" si="706"/>
        <v/>
      </c>
      <c r="M673" s="310" t="str">
        <f t="shared" si="707"/>
        <v/>
      </c>
      <c r="N673" s="311" t="str">
        <f t="shared" si="708"/>
        <v/>
      </c>
    </row>
    <row r="674" spans="1:14" s="294" customFormat="1">
      <c r="A674" s="297" t="s">
        <v>1494</v>
      </c>
      <c r="B674" s="301"/>
      <c r="C674" s="299" t="s">
        <v>1496</v>
      </c>
      <c r="D674" s="299">
        <v>1</v>
      </c>
      <c r="E674" s="300">
        <f>12+15+12</f>
        <v>39</v>
      </c>
      <c r="F674" s="300">
        <f t="shared" ref="F674:F675" si="709">E674*D674</f>
        <v>39</v>
      </c>
      <c r="G674" s="302">
        <f>(0.2+0.55)*2+17*0.008*2</f>
        <v>1.77</v>
      </c>
      <c r="H674" s="310" t="str">
        <f t="shared" si="702"/>
        <v/>
      </c>
      <c r="I674" s="311">
        <f t="shared" si="703"/>
        <v>69.03</v>
      </c>
      <c r="J674" s="311" t="str">
        <f t="shared" si="704"/>
        <v/>
      </c>
      <c r="K674" s="311" t="str">
        <f t="shared" si="705"/>
        <v/>
      </c>
      <c r="L674" s="310" t="str">
        <f t="shared" si="706"/>
        <v/>
      </c>
      <c r="M674" s="310" t="str">
        <f t="shared" si="707"/>
        <v/>
      </c>
      <c r="N674" s="311" t="str">
        <f t="shared" si="708"/>
        <v/>
      </c>
    </row>
    <row r="675" spans="1:14" s="294" customFormat="1">
      <c r="A675" s="297" t="s">
        <v>1517</v>
      </c>
      <c r="B675" s="301"/>
      <c r="C675" s="299" t="s">
        <v>1496</v>
      </c>
      <c r="D675" s="299">
        <v>1</v>
      </c>
      <c r="E675" s="300">
        <f>12+15+12</f>
        <v>39</v>
      </c>
      <c r="F675" s="300">
        <f t="shared" si="709"/>
        <v>39</v>
      </c>
      <c r="G675" s="302">
        <f>(0.55*2)+17*0.008*2</f>
        <v>1.37</v>
      </c>
      <c r="H675" s="310" t="str">
        <f t="shared" si="702"/>
        <v/>
      </c>
      <c r="I675" s="311">
        <f t="shared" si="703"/>
        <v>53.43</v>
      </c>
      <c r="J675" s="311" t="str">
        <f t="shared" si="704"/>
        <v/>
      </c>
      <c r="K675" s="311" t="str">
        <f t="shared" si="705"/>
        <v/>
      </c>
      <c r="L675" s="310" t="str">
        <f t="shared" si="706"/>
        <v/>
      </c>
      <c r="M675" s="310" t="str">
        <f t="shared" si="707"/>
        <v/>
      </c>
      <c r="N675" s="311" t="str">
        <f t="shared" si="708"/>
        <v/>
      </c>
    </row>
    <row r="676" spans="1:14">
      <c r="A676" s="297" t="s">
        <v>1520</v>
      </c>
      <c r="B676" s="254"/>
      <c r="C676" s="299" t="s">
        <v>1492</v>
      </c>
      <c r="D676" s="299">
        <v>1</v>
      </c>
      <c r="E676" s="300">
        <v>6</v>
      </c>
      <c r="F676" s="300">
        <f>E676*D676</f>
        <v>6</v>
      </c>
      <c r="G676" s="302">
        <v>3.8</v>
      </c>
      <c r="H676" s="310" t="str">
        <f t="shared" si="702"/>
        <v/>
      </c>
      <c r="I676" s="311" t="str">
        <f t="shared" si="703"/>
        <v/>
      </c>
      <c r="J676" s="311" t="str">
        <f t="shared" si="704"/>
        <v/>
      </c>
      <c r="K676" s="311" t="str">
        <f t="shared" si="705"/>
        <v/>
      </c>
      <c r="L676" s="310">
        <f t="shared" si="706"/>
        <v>22.8</v>
      </c>
      <c r="M676" s="310" t="str">
        <f t="shared" si="707"/>
        <v/>
      </c>
      <c r="N676" s="311" t="str">
        <f t="shared" si="708"/>
        <v/>
      </c>
    </row>
    <row r="677" spans="1:14">
      <c r="A677" s="253"/>
      <c r="B677" s="254"/>
      <c r="C677" s="299" t="s">
        <v>1492</v>
      </c>
      <c r="D677" s="299">
        <v>1</v>
      </c>
      <c r="E677" s="300">
        <v>3</v>
      </c>
      <c r="F677" s="300">
        <f>E677*D677</f>
        <v>3</v>
      </c>
      <c r="G677" s="302">
        <v>2.8</v>
      </c>
      <c r="H677" s="310" t="str">
        <f t="shared" si="702"/>
        <v/>
      </c>
      <c r="I677" s="311" t="str">
        <f t="shared" si="703"/>
        <v/>
      </c>
      <c r="J677" s="311" t="str">
        <f t="shared" si="704"/>
        <v/>
      </c>
      <c r="K677" s="311" t="str">
        <f t="shared" si="705"/>
        <v/>
      </c>
      <c r="L677" s="310">
        <f t="shared" si="706"/>
        <v>8.4</v>
      </c>
      <c r="M677" s="310" t="str">
        <f t="shared" si="707"/>
        <v/>
      </c>
      <c r="N677" s="311" t="str">
        <f t="shared" si="708"/>
        <v/>
      </c>
    </row>
    <row r="678" spans="1:14">
      <c r="A678" s="253"/>
      <c r="B678" s="254"/>
      <c r="C678" s="299" t="s">
        <v>1492</v>
      </c>
      <c r="D678" s="299">
        <v>1</v>
      </c>
      <c r="E678" s="300">
        <v>3</v>
      </c>
      <c r="F678" s="300">
        <f>E678*D678</f>
        <v>3</v>
      </c>
      <c r="G678" s="302">
        <v>3.5</v>
      </c>
      <c r="H678" s="310" t="str">
        <f t="shared" si="702"/>
        <v/>
      </c>
      <c r="I678" s="311" t="str">
        <f t="shared" si="703"/>
        <v/>
      </c>
      <c r="J678" s="311" t="str">
        <f t="shared" si="704"/>
        <v/>
      </c>
      <c r="K678" s="311" t="str">
        <f t="shared" si="705"/>
        <v/>
      </c>
      <c r="L678" s="310">
        <f t="shared" si="706"/>
        <v>10.5</v>
      </c>
      <c r="M678" s="310" t="str">
        <f t="shared" si="707"/>
        <v/>
      </c>
      <c r="N678" s="311" t="str">
        <f t="shared" si="708"/>
        <v/>
      </c>
    </row>
    <row r="679" spans="1:14">
      <c r="A679" s="253"/>
      <c r="B679" s="254"/>
      <c r="C679" s="299"/>
      <c r="D679" s="299"/>
      <c r="E679" s="300"/>
      <c r="F679" s="300"/>
      <c r="G679" s="299"/>
      <c r="H679" s="310"/>
      <c r="I679" s="311"/>
      <c r="J679" s="311"/>
      <c r="K679" s="311"/>
      <c r="L679" s="310"/>
      <c r="M679" s="310"/>
      <c r="N679" s="311"/>
    </row>
    <row r="680" spans="1:14" ht="16.5">
      <c r="A680" s="303" t="s">
        <v>1631</v>
      </c>
      <c r="B680" s="254"/>
      <c r="C680" s="299"/>
      <c r="D680" s="299"/>
      <c r="E680" s="300"/>
      <c r="F680" s="300"/>
      <c r="G680" s="299"/>
      <c r="H680" s="310"/>
      <c r="I680" s="311"/>
      <c r="J680" s="311"/>
      <c r="K680" s="311"/>
      <c r="L680" s="310"/>
      <c r="M680" s="310"/>
      <c r="N680" s="311"/>
    </row>
    <row r="681" spans="1:14" s="294" customFormat="1">
      <c r="A681" s="297" t="s">
        <v>1515</v>
      </c>
      <c r="B681" s="298"/>
      <c r="C681" s="299" t="s">
        <v>1519</v>
      </c>
      <c r="D681" s="299">
        <v>1</v>
      </c>
      <c r="E681" s="300">
        <v>3</v>
      </c>
      <c r="F681" s="300">
        <f>E681*D681</f>
        <v>3</v>
      </c>
      <c r="G681" s="299">
        <f>(1.85)+17*0.01*2</f>
        <v>2.19</v>
      </c>
      <c r="H681" s="310" t="str">
        <f t="shared" ref="H681:H685" si="710">IF(C681="T6",G681*F681,"")</f>
        <v/>
      </c>
      <c r="I681" s="311" t="str">
        <f t="shared" ref="I681:I685" si="711">IF(C681="T8",F681*G681,"")</f>
        <v/>
      </c>
      <c r="J681" s="311">
        <f t="shared" ref="J681:J685" si="712">IF(C681="T10",F681*G681,"")</f>
        <v>6.57</v>
      </c>
      <c r="K681" s="311" t="str">
        <f t="shared" ref="K681:K685" si="713">IF(C681="T12",F681*G681,"")</f>
        <v/>
      </c>
      <c r="L681" s="310" t="str">
        <f t="shared" ref="L681:L685" si="714">IF(C681="T14",F681*G681,"")</f>
        <v/>
      </c>
      <c r="M681" s="310" t="str">
        <f t="shared" ref="M681:M685" si="715">IF(C681="T16",G681*F681,"")</f>
        <v/>
      </c>
      <c r="N681" s="311" t="str">
        <f t="shared" ref="N681:N685" si="716">IF(C681="T20",G681*F681,"")</f>
        <v/>
      </c>
    </row>
    <row r="682" spans="1:14" s="294" customFormat="1">
      <c r="A682" s="297" t="s">
        <v>1515</v>
      </c>
      <c r="B682" s="298"/>
      <c r="C682" s="299" t="s">
        <v>1516</v>
      </c>
      <c r="D682" s="299">
        <v>1</v>
      </c>
      <c r="E682" s="300">
        <v>3</v>
      </c>
      <c r="F682" s="300">
        <f>E682*D682</f>
        <v>3</v>
      </c>
      <c r="G682" s="299">
        <f>(1.85)+17*0.012*2</f>
        <v>2.258</v>
      </c>
      <c r="H682" s="310" t="str">
        <f t="shared" si="710"/>
        <v/>
      </c>
      <c r="I682" s="311" t="str">
        <f t="shared" si="711"/>
        <v/>
      </c>
      <c r="J682" s="311" t="str">
        <f t="shared" si="712"/>
        <v/>
      </c>
      <c r="K682" s="311">
        <f t="shared" si="713"/>
        <v>6.77</v>
      </c>
      <c r="L682" s="310" t="str">
        <f t="shared" si="714"/>
        <v/>
      </c>
      <c r="M682" s="310" t="str">
        <f t="shared" si="715"/>
        <v/>
      </c>
      <c r="N682" s="311" t="str">
        <f t="shared" si="716"/>
        <v/>
      </c>
    </row>
    <row r="683" spans="1:14" s="294" customFormat="1">
      <c r="A683" s="297" t="s">
        <v>1494</v>
      </c>
      <c r="B683" s="301"/>
      <c r="C683" s="299" t="s">
        <v>1496</v>
      </c>
      <c r="D683" s="299">
        <v>1</v>
      </c>
      <c r="E683" s="300">
        <f>6+7+6</f>
        <v>19</v>
      </c>
      <c r="F683" s="300">
        <f t="shared" ref="F683:F684" si="717">E683*D683</f>
        <v>19</v>
      </c>
      <c r="G683" s="302">
        <f>(0.2+0.3)*2+17*0.008*2</f>
        <v>1.27</v>
      </c>
      <c r="H683" s="310" t="str">
        <f t="shared" si="710"/>
        <v/>
      </c>
      <c r="I683" s="311">
        <f t="shared" si="711"/>
        <v>24.13</v>
      </c>
      <c r="J683" s="311" t="str">
        <f t="shared" si="712"/>
        <v/>
      </c>
      <c r="K683" s="311" t="str">
        <f t="shared" si="713"/>
        <v/>
      </c>
      <c r="L683" s="310" t="str">
        <f t="shared" si="714"/>
        <v/>
      </c>
      <c r="M683" s="310" t="str">
        <f t="shared" si="715"/>
        <v/>
      </c>
      <c r="N683" s="311" t="str">
        <f t="shared" si="716"/>
        <v/>
      </c>
    </row>
    <row r="684" spans="1:14" s="294" customFormat="1">
      <c r="A684" s="297" t="s">
        <v>1517</v>
      </c>
      <c r="B684" s="301"/>
      <c r="C684" s="299" t="s">
        <v>1496</v>
      </c>
      <c r="D684" s="299">
        <v>1</v>
      </c>
      <c r="E684" s="300">
        <f>6+7+6</f>
        <v>19</v>
      </c>
      <c r="F684" s="300">
        <f t="shared" si="717"/>
        <v>19</v>
      </c>
      <c r="G684" s="302">
        <f>(0.53*2)+17*0.008*2</f>
        <v>1.33</v>
      </c>
      <c r="H684" s="310" t="str">
        <f t="shared" si="710"/>
        <v/>
      </c>
      <c r="I684" s="311">
        <f t="shared" si="711"/>
        <v>25.27</v>
      </c>
      <c r="J684" s="311" t="str">
        <f t="shared" si="712"/>
        <v/>
      </c>
      <c r="K684" s="311" t="str">
        <f t="shared" si="713"/>
        <v/>
      </c>
      <c r="L684" s="310" t="str">
        <f t="shared" si="714"/>
        <v/>
      </c>
      <c r="M684" s="310" t="str">
        <f t="shared" si="715"/>
        <v/>
      </c>
      <c r="N684" s="311" t="str">
        <f t="shared" si="716"/>
        <v/>
      </c>
    </row>
    <row r="685" spans="1:14">
      <c r="A685" s="297" t="s">
        <v>1520</v>
      </c>
      <c r="B685" s="254"/>
      <c r="C685" s="299" t="s">
        <v>1516</v>
      </c>
      <c r="D685" s="299">
        <v>1</v>
      </c>
      <c r="E685" s="300">
        <v>6</v>
      </c>
      <c r="F685" s="300">
        <f>E685*D685</f>
        <v>6</v>
      </c>
      <c r="G685" s="302">
        <v>0.8</v>
      </c>
      <c r="H685" s="310" t="str">
        <f t="shared" si="710"/>
        <v/>
      </c>
      <c r="I685" s="311" t="str">
        <f t="shared" si="711"/>
        <v/>
      </c>
      <c r="J685" s="311" t="str">
        <f t="shared" si="712"/>
        <v/>
      </c>
      <c r="K685" s="311">
        <f t="shared" si="713"/>
        <v>4.8</v>
      </c>
      <c r="L685" s="310" t="str">
        <f t="shared" si="714"/>
        <v/>
      </c>
      <c r="M685" s="310" t="str">
        <f t="shared" si="715"/>
        <v/>
      </c>
      <c r="N685" s="311" t="str">
        <f t="shared" si="716"/>
        <v/>
      </c>
    </row>
    <row r="686" spans="1:14">
      <c r="A686" s="253"/>
      <c r="B686" s="254"/>
      <c r="C686" s="299"/>
      <c r="D686" s="299"/>
      <c r="E686" s="300"/>
      <c r="F686" s="300"/>
      <c r="G686" s="299"/>
      <c r="H686" s="310"/>
      <c r="I686" s="311"/>
      <c r="J686" s="311"/>
      <c r="K686" s="311"/>
      <c r="L686" s="310"/>
      <c r="M686" s="310"/>
      <c r="N686" s="311"/>
    </row>
    <row r="687" spans="1:14" ht="16.5">
      <c r="A687" s="303" t="s">
        <v>1630</v>
      </c>
      <c r="B687" s="254"/>
      <c r="C687" s="299"/>
      <c r="D687" s="299"/>
      <c r="E687" s="300"/>
      <c r="F687" s="300"/>
      <c r="G687" s="299"/>
      <c r="H687" s="310"/>
      <c r="I687" s="311"/>
      <c r="J687" s="311"/>
      <c r="K687" s="311"/>
      <c r="L687" s="310"/>
      <c r="M687" s="310"/>
      <c r="N687" s="311"/>
    </row>
    <row r="688" spans="1:14" s="294" customFormat="1">
      <c r="A688" s="297" t="s">
        <v>1515</v>
      </c>
      <c r="B688" s="298"/>
      <c r="C688" s="299" t="s">
        <v>1492</v>
      </c>
      <c r="D688" s="299">
        <v>1</v>
      </c>
      <c r="E688" s="300">
        <v>3</v>
      </c>
      <c r="F688" s="300">
        <f>E688*D688</f>
        <v>3</v>
      </c>
      <c r="G688" s="299">
        <f>(5.45)+17*0.014*2</f>
        <v>5.9260000000000002</v>
      </c>
      <c r="H688" s="310" t="str">
        <f t="shared" ref="H688:H694" si="718">IF(C688="T6",G688*F688,"")</f>
        <v/>
      </c>
      <c r="I688" s="311" t="str">
        <f t="shared" ref="I688:I694" si="719">IF(C688="T8",F688*G688,"")</f>
        <v/>
      </c>
      <c r="J688" s="311" t="str">
        <f t="shared" ref="J688:J694" si="720">IF(C688="T10",F688*G688,"")</f>
        <v/>
      </c>
      <c r="K688" s="311" t="str">
        <f t="shared" ref="K688:K694" si="721">IF(C688="T12",F688*G688,"")</f>
        <v/>
      </c>
      <c r="L688" s="310">
        <f t="shared" ref="L688:L694" si="722">IF(C688="T14",F688*G688,"")</f>
        <v>17.78</v>
      </c>
      <c r="M688" s="310" t="str">
        <f t="shared" ref="M688:M694" si="723">IF(C688="T16",G688*F688,"")</f>
        <v/>
      </c>
      <c r="N688" s="311" t="str">
        <f t="shared" ref="N688:N694" si="724">IF(C688="T20",G688*F688,"")</f>
        <v/>
      </c>
    </row>
    <row r="689" spans="1:14" s="294" customFormat="1">
      <c r="A689" s="297" t="s">
        <v>1515</v>
      </c>
      <c r="B689" s="298"/>
      <c r="C689" s="299" t="s">
        <v>1498</v>
      </c>
      <c r="D689" s="299">
        <v>1</v>
      </c>
      <c r="E689" s="300">
        <v>3</v>
      </c>
      <c r="F689" s="300">
        <f>E689*D689</f>
        <v>3</v>
      </c>
      <c r="G689" s="299">
        <f>(5.45)+17*0.016*2</f>
        <v>5.9939999999999998</v>
      </c>
      <c r="H689" s="310" t="str">
        <f t="shared" si="718"/>
        <v/>
      </c>
      <c r="I689" s="311" t="str">
        <f t="shared" si="719"/>
        <v/>
      </c>
      <c r="J689" s="311" t="str">
        <f t="shared" si="720"/>
        <v/>
      </c>
      <c r="K689" s="311" t="str">
        <f t="shared" si="721"/>
        <v/>
      </c>
      <c r="L689" s="310" t="str">
        <f t="shared" si="722"/>
        <v/>
      </c>
      <c r="M689" s="310">
        <f t="shared" si="723"/>
        <v>17.98</v>
      </c>
      <c r="N689" s="311" t="str">
        <f t="shared" si="724"/>
        <v/>
      </c>
    </row>
    <row r="690" spans="1:14" s="294" customFormat="1">
      <c r="A690" s="297" t="s">
        <v>1494</v>
      </c>
      <c r="B690" s="301"/>
      <c r="C690" s="299" t="s">
        <v>1496</v>
      </c>
      <c r="D690" s="299">
        <v>1</v>
      </c>
      <c r="E690" s="300">
        <f>17+15+17</f>
        <v>49</v>
      </c>
      <c r="F690" s="300">
        <f t="shared" ref="F690:F691" si="725">E690*D690</f>
        <v>49</v>
      </c>
      <c r="G690" s="302">
        <f>(0.2+0.7)*2+17*0.008*2</f>
        <v>2.0699999999999998</v>
      </c>
      <c r="H690" s="310" t="str">
        <f t="shared" si="718"/>
        <v/>
      </c>
      <c r="I690" s="311">
        <f t="shared" si="719"/>
        <v>101.43</v>
      </c>
      <c r="J690" s="311" t="str">
        <f t="shared" si="720"/>
        <v/>
      </c>
      <c r="K690" s="311" t="str">
        <f t="shared" si="721"/>
        <v/>
      </c>
      <c r="L690" s="310" t="str">
        <f t="shared" si="722"/>
        <v/>
      </c>
      <c r="M690" s="310" t="str">
        <f t="shared" si="723"/>
        <v/>
      </c>
      <c r="N690" s="311" t="str">
        <f t="shared" si="724"/>
        <v/>
      </c>
    </row>
    <row r="691" spans="1:14" s="294" customFormat="1">
      <c r="A691" s="297" t="s">
        <v>1517</v>
      </c>
      <c r="B691" s="301"/>
      <c r="C691" s="299" t="s">
        <v>1496</v>
      </c>
      <c r="D691" s="299">
        <v>1</v>
      </c>
      <c r="E691" s="300">
        <f>17+15+17</f>
        <v>49</v>
      </c>
      <c r="F691" s="300">
        <f t="shared" si="725"/>
        <v>49</v>
      </c>
      <c r="G691" s="302">
        <f>(0.7*2)+17*0.008*2</f>
        <v>1.67</v>
      </c>
      <c r="H691" s="310" t="str">
        <f t="shared" si="718"/>
        <v/>
      </c>
      <c r="I691" s="311">
        <f t="shared" si="719"/>
        <v>81.83</v>
      </c>
      <c r="J691" s="311" t="str">
        <f t="shared" si="720"/>
        <v/>
      </c>
      <c r="K691" s="311" t="str">
        <f t="shared" si="721"/>
        <v/>
      </c>
      <c r="L691" s="310" t="str">
        <f t="shared" si="722"/>
        <v/>
      </c>
      <c r="M691" s="310" t="str">
        <f t="shared" si="723"/>
        <v/>
      </c>
      <c r="N691" s="311" t="str">
        <f t="shared" si="724"/>
        <v/>
      </c>
    </row>
    <row r="692" spans="1:14">
      <c r="A692" s="297" t="s">
        <v>1520</v>
      </c>
      <c r="B692" s="254"/>
      <c r="C692" s="299" t="s">
        <v>1498</v>
      </c>
      <c r="D692" s="299">
        <v>1</v>
      </c>
      <c r="E692" s="300">
        <v>6</v>
      </c>
      <c r="F692" s="300">
        <f>E692*D692</f>
        <v>6</v>
      </c>
      <c r="G692" s="302">
        <v>3.8</v>
      </c>
      <c r="H692" s="310" t="str">
        <f t="shared" si="718"/>
        <v/>
      </c>
      <c r="I692" s="311" t="str">
        <f t="shared" si="719"/>
        <v/>
      </c>
      <c r="J692" s="311" t="str">
        <f t="shared" si="720"/>
        <v/>
      </c>
      <c r="K692" s="311" t="str">
        <f t="shared" si="721"/>
        <v/>
      </c>
      <c r="L692" s="310" t="str">
        <f t="shared" si="722"/>
        <v/>
      </c>
      <c r="M692" s="310">
        <f t="shared" si="723"/>
        <v>22.8</v>
      </c>
      <c r="N692" s="311" t="str">
        <f t="shared" si="724"/>
        <v/>
      </c>
    </row>
    <row r="693" spans="1:14">
      <c r="A693" s="253"/>
      <c r="B693" s="254"/>
      <c r="C693" s="299" t="s">
        <v>1498</v>
      </c>
      <c r="D693" s="299">
        <v>1</v>
      </c>
      <c r="E693" s="300">
        <v>6</v>
      </c>
      <c r="F693" s="300">
        <f>E693*D693</f>
        <v>6</v>
      </c>
      <c r="G693" s="302">
        <v>3</v>
      </c>
      <c r="H693" s="310" t="str">
        <f t="shared" si="718"/>
        <v/>
      </c>
      <c r="I693" s="311" t="str">
        <f t="shared" si="719"/>
        <v/>
      </c>
      <c r="J693" s="311" t="str">
        <f t="shared" si="720"/>
        <v/>
      </c>
      <c r="K693" s="311" t="str">
        <f t="shared" si="721"/>
        <v/>
      </c>
      <c r="L693" s="310" t="str">
        <f t="shared" si="722"/>
        <v/>
      </c>
      <c r="M693" s="310">
        <f t="shared" si="723"/>
        <v>18</v>
      </c>
      <c r="N693" s="311" t="str">
        <f t="shared" si="724"/>
        <v/>
      </c>
    </row>
    <row r="694" spans="1:14">
      <c r="A694" s="253"/>
      <c r="B694" s="254"/>
      <c r="C694" s="299" t="s">
        <v>1492</v>
      </c>
      <c r="D694" s="299">
        <v>1</v>
      </c>
      <c r="E694" s="300">
        <v>3</v>
      </c>
      <c r="F694" s="300">
        <f>E694*D694</f>
        <v>3</v>
      </c>
      <c r="G694" s="302">
        <v>4.8</v>
      </c>
      <c r="H694" s="310" t="str">
        <f t="shared" si="718"/>
        <v/>
      </c>
      <c r="I694" s="311" t="str">
        <f t="shared" si="719"/>
        <v/>
      </c>
      <c r="J694" s="311" t="str">
        <f t="shared" si="720"/>
        <v/>
      </c>
      <c r="K694" s="311" t="str">
        <f t="shared" si="721"/>
        <v/>
      </c>
      <c r="L694" s="310">
        <f t="shared" si="722"/>
        <v>14.4</v>
      </c>
      <c r="M694" s="310" t="str">
        <f t="shared" si="723"/>
        <v/>
      </c>
      <c r="N694" s="311" t="str">
        <f t="shared" si="724"/>
        <v/>
      </c>
    </row>
    <row r="695" spans="1:14">
      <c r="A695" s="253"/>
      <c r="B695" s="254"/>
      <c r="C695" s="299" t="s">
        <v>1492</v>
      </c>
      <c r="D695" s="299">
        <v>1</v>
      </c>
      <c r="E695" s="300">
        <v>3</v>
      </c>
      <c r="F695" s="300">
        <f>E695*D695</f>
        <v>3</v>
      </c>
      <c r="G695" s="302">
        <v>5</v>
      </c>
      <c r="H695" s="310" t="str">
        <f t="shared" ref="H695" si="726">IF(C695="T6",G695*F695,"")</f>
        <v/>
      </c>
      <c r="I695" s="311" t="str">
        <f t="shared" ref="I695" si="727">IF(C695="T8",F695*G695,"")</f>
        <v/>
      </c>
      <c r="J695" s="311" t="str">
        <f t="shared" ref="J695" si="728">IF(C695="T10",F695*G695,"")</f>
        <v/>
      </c>
      <c r="K695" s="311" t="str">
        <f t="shared" ref="K695" si="729">IF(C695="T12",F695*G695,"")</f>
        <v/>
      </c>
      <c r="L695" s="310">
        <f t="shared" ref="L695" si="730">IF(C695="T14",F695*G695,"")</f>
        <v>15</v>
      </c>
      <c r="M695" s="310" t="str">
        <f t="shared" ref="M695" si="731">IF(C695="T16",G695*F695,"")</f>
        <v/>
      </c>
      <c r="N695" s="311" t="str">
        <f t="shared" ref="N695" si="732">IF(C695="T20",G695*F695,"")</f>
        <v/>
      </c>
    </row>
    <row r="696" spans="1:14">
      <c r="A696" s="253"/>
      <c r="B696" s="254"/>
      <c r="C696" s="299"/>
      <c r="D696" s="299"/>
      <c r="E696" s="300"/>
      <c r="F696" s="300"/>
      <c r="G696" s="302"/>
      <c r="H696" s="310"/>
      <c r="I696" s="311"/>
      <c r="J696" s="311"/>
      <c r="K696" s="311"/>
      <c r="L696" s="310"/>
      <c r="M696" s="310"/>
      <c r="N696" s="311"/>
    </row>
    <row r="697" spans="1:14" ht="16.5">
      <c r="A697" s="303" t="s">
        <v>1629</v>
      </c>
      <c r="B697" s="254"/>
      <c r="C697" s="299"/>
      <c r="D697" s="299"/>
      <c r="E697" s="300"/>
      <c r="F697" s="300"/>
      <c r="G697" s="302"/>
      <c r="H697" s="310"/>
      <c r="I697" s="311"/>
      <c r="J697" s="311"/>
      <c r="K697" s="311"/>
      <c r="L697" s="310"/>
      <c r="M697" s="310"/>
      <c r="N697" s="311"/>
    </row>
    <row r="698" spans="1:14" s="294" customFormat="1">
      <c r="A698" s="297" t="s">
        <v>1515</v>
      </c>
      <c r="B698" s="298"/>
      <c r="C698" s="299" t="s">
        <v>1516</v>
      </c>
      <c r="D698" s="299">
        <v>1</v>
      </c>
      <c r="E698" s="300">
        <v>3</v>
      </c>
      <c r="F698" s="300">
        <f>E698*D698</f>
        <v>3</v>
      </c>
      <c r="G698" s="299">
        <f>(7.1)+17*0.012*2</f>
        <v>7.508</v>
      </c>
      <c r="H698" s="310" t="str">
        <f t="shared" ref="H698:H705" si="733">IF(C698="T6",G698*F698,"")</f>
        <v/>
      </c>
      <c r="I698" s="311" t="str">
        <f t="shared" ref="I698:I705" si="734">IF(C698="T8",F698*G698,"")</f>
        <v/>
      </c>
      <c r="J698" s="311" t="str">
        <f t="shared" ref="J698:J705" si="735">IF(C698="T10",F698*G698,"")</f>
        <v/>
      </c>
      <c r="K698" s="311">
        <f t="shared" ref="K698:K705" si="736">IF(C698="T12",F698*G698,"")</f>
        <v>22.52</v>
      </c>
      <c r="L698" s="310" t="str">
        <f t="shared" ref="L698:L705" si="737">IF(C698="T14",F698*G698,"")</f>
        <v/>
      </c>
      <c r="M698" s="310" t="str">
        <f t="shared" ref="M698:M705" si="738">IF(C698="T16",G698*F698,"")</f>
        <v/>
      </c>
      <c r="N698" s="311" t="str">
        <f t="shared" ref="N698:N705" si="739">IF(C698="T20",G698*F698,"")</f>
        <v/>
      </c>
    </row>
    <row r="699" spans="1:14" s="294" customFormat="1">
      <c r="A699" s="297" t="s">
        <v>1515</v>
      </c>
      <c r="B699" s="298"/>
      <c r="C699" s="299" t="s">
        <v>1492</v>
      </c>
      <c r="D699" s="299">
        <v>1</v>
      </c>
      <c r="E699" s="300">
        <v>3</v>
      </c>
      <c r="F699" s="300">
        <f>E699*D699</f>
        <v>3</v>
      </c>
      <c r="G699" s="299">
        <f>(7.1)+17*0.014*2</f>
        <v>7.5759999999999996</v>
      </c>
      <c r="H699" s="310" t="str">
        <f t="shared" si="733"/>
        <v/>
      </c>
      <c r="I699" s="311" t="str">
        <f t="shared" si="734"/>
        <v/>
      </c>
      <c r="J699" s="311" t="str">
        <f t="shared" si="735"/>
        <v/>
      </c>
      <c r="K699" s="311" t="str">
        <f t="shared" si="736"/>
        <v/>
      </c>
      <c r="L699" s="310">
        <f t="shared" si="737"/>
        <v>22.73</v>
      </c>
      <c r="M699" s="310" t="str">
        <f t="shared" si="738"/>
        <v/>
      </c>
      <c r="N699" s="311" t="str">
        <f t="shared" si="739"/>
        <v/>
      </c>
    </row>
    <row r="700" spans="1:14" s="294" customFormat="1">
      <c r="A700" s="297"/>
      <c r="B700" s="298"/>
      <c r="C700" s="299" t="s">
        <v>1516</v>
      </c>
      <c r="D700" s="299">
        <v>1</v>
      </c>
      <c r="E700" s="300">
        <v>2</v>
      </c>
      <c r="F700" s="300">
        <f>E700*D700</f>
        <v>2</v>
      </c>
      <c r="G700" s="299">
        <v>7.1</v>
      </c>
      <c r="H700" s="310" t="str">
        <f t="shared" si="733"/>
        <v/>
      </c>
      <c r="I700" s="311" t="str">
        <f t="shared" si="734"/>
        <v/>
      </c>
      <c r="J700" s="311" t="str">
        <f t="shared" si="735"/>
        <v/>
      </c>
      <c r="K700" s="311">
        <f t="shared" si="736"/>
        <v>14.2</v>
      </c>
      <c r="L700" s="310" t="str">
        <f t="shared" si="737"/>
        <v/>
      </c>
      <c r="M700" s="310" t="str">
        <f t="shared" si="738"/>
        <v/>
      </c>
      <c r="N700" s="311" t="str">
        <f t="shared" si="739"/>
        <v/>
      </c>
    </row>
    <row r="701" spans="1:14" s="294" customFormat="1">
      <c r="A701" s="297" t="s">
        <v>1494</v>
      </c>
      <c r="B701" s="301"/>
      <c r="C701" s="299" t="s">
        <v>1496</v>
      </c>
      <c r="D701" s="299">
        <v>1</v>
      </c>
      <c r="E701" s="300">
        <f>21+17+21</f>
        <v>59</v>
      </c>
      <c r="F701" s="300">
        <f t="shared" ref="F701:F702" si="740">E701*D701</f>
        <v>59</v>
      </c>
      <c r="G701" s="302">
        <f>(0.2+0.55)*2+17*0.008*2</f>
        <v>1.77</v>
      </c>
      <c r="H701" s="310" t="str">
        <f t="shared" si="733"/>
        <v/>
      </c>
      <c r="I701" s="311">
        <f t="shared" si="734"/>
        <v>104.43</v>
      </c>
      <c r="J701" s="311" t="str">
        <f t="shared" si="735"/>
        <v/>
      </c>
      <c r="K701" s="311" t="str">
        <f t="shared" si="736"/>
        <v/>
      </c>
      <c r="L701" s="310" t="str">
        <f t="shared" si="737"/>
        <v/>
      </c>
      <c r="M701" s="310" t="str">
        <f t="shared" si="738"/>
        <v/>
      </c>
      <c r="N701" s="311" t="str">
        <f t="shared" si="739"/>
        <v/>
      </c>
    </row>
    <row r="702" spans="1:14" s="294" customFormat="1">
      <c r="A702" s="297" t="s">
        <v>1517</v>
      </c>
      <c r="B702" s="301"/>
      <c r="C702" s="299" t="s">
        <v>1496</v>
      </c>
      <c r="D702" s="299">
        <v>1</v>
      </c>
      <c r="E702" s="300">
        <f>21+17+21</f>
        <v>59</v>
      </c>
      <c r="F702" s="300">
        <f t="shared" si="740"/>
        <v>59</v>
      </c>
      <c r="G702" s="302">
        <f>(0.55*2)+17*0.008*2</f>
        <v>1.37</v>
      </c>
      <c r="H702" s="310" t="str">
        <f t="shared" si="733"/>
        <v/>
      </c>
      <c r="I702" s="311">
        <f t="shared" si="734"/>
        <v>80.83</v>
      </c>
      <c r="J702" s="311" t="str">
        <f t="shared" si="735"/>
        <v/>
      </c>
      <c r="K702" s="311" t="str">
        <f t="shared" si="736"/>
        <v/>
      </c>
      <c r="L702" s="310" t="str">
        <f t="shared" si="737"/>
        <v/>
      </c>
      <c r="M702" s="310" t="str">
        <f t="shared" si="738"/>
        <v/>
      </c>
      <c r="N702" s="311" t="str">
        <f t="shared" si="739"/>
        <v/>
      </c>
    </row>
    <row r="703" spans="1:14" s="294" customFormat="1">
      <c r="A703" s="297" t="s">
        <v>1518</v>
      </c>
      <c r="B703" s="301"/>
      <c r="C703" s="299" t="s">
        <v>1492</v>
      </c>
      <c r="D703" s="299">
        <v>1</v>
      </c>
      <c r="E703" s="300">
        <v>3</v>
      </c>
      <c r="F703" s="300">
        <f>E703*D703</f>
        <v>3</v>
      </c>
      <c r="G703" s="299">
        <v>3.1</v>
      </c>
      <c r="H703" s="310" t="str">
        <f t="shared" si="733"/>
        <v/>
      </c>
      <c r="I703" s="311" t="str">
        <f t="shared" si="734"/>
        <v/>
      </c>
      <c r="J703" s="311" t="str">
        <f t="shared" si="735"/>
        <v/>
      </c>
      <c r="K703" s="311" t="str">
        <f t="shared" si="736"/>
        <v/>
      </c>
      <c r="L703" s="310">
        <f t="shared" si="737"/>
        <v>9.3000000000000007</v>
      </c>
      <c r="M703" s="310" t="str">
        <f t="shared" si="738"/>
        <v/>
      </c>
      <c r="N703" s="311" t="str">
        <f t="shared" si="739"/>
        <v/>
      </c>
    </row>
    <row r="704" spans="1:14">
      <c r="A704" s="297" t="s">
        <v>1520</v>
      </c>
      <c r="B704" s="254"/>
      <c r="C704" s="299" t="s">
        <v>1492</v>
      </c>
      <c r="D704" s="299">
        <v>1</v>
      </c>
      <c r="E704" s="300">
        <v>6</v>
      </c>
      <c r="F704" s="300">
        <f>E704*D704</f>
        <v>6</v>
      </c>
      <c r="G704" s="302">
        <v>4.5</v>
      </c>
      <c r="H704" s="310" t="str">
        <f t="shared" si="733"/>
        <v/>
      </c>
      <c r="I704" s="311" t="str">
        <f t="shared" si="734"/>
        <v/>
      </c>
      <c r="J704" s="311" t="str">
        <f t="shared" si="735"/>
        <v/>
      </c>
      <c r="K704" s="311" t="str">
        <f t="shared" si="736"/>
        <v/>
      </c>
      <c r="L704" s="310">
        <f t="shared" si="737"/>
        <v>27</v>
      </c>
      <c r="M704" s="310" t="str">
        <f t="shared" si="738"/>
        <v/>
      </c>
      <c r="N704" s="311" t="str">
        <f t="shared" si="739"/>
        <v/>
      </c>
    </row>
    <row r="705" spans="1:14">
      <c r="A705" s="253"/>
      <c r="B705" s="254"/>
      <c r="C705" s="299" t="s">
        <v>1516</v>
      </c>
      <c r="D705" s="299">
        <v>1</v>
      </c>
      <c r="E705" s="300">
        <v>3</v>
      </c>
      <c r="F705" s="300">
        <f>E705*D705</f>
        <v>3</v>
      </c>
      <c r="G705" s="302">
        <v>6.6</v>
      </c>
      <c r="H705" s="310" t="str">
        <f t="shared" si="733"/>
        <v/>
      </c>
      <c r="I705" s="311" t="str">
        <f t="shared" si="734"/>
        <v/>
      </c>
      <c r="J705" s="311" t="str">
        <f t="shared" si="735"/>
        <v/>
      </c>
      <c r="K705" s="311">
        <f t="shared" si="736"/>
        <v>19.8</v>
      </c>
      <c r="L705" s="310" t="str">
        <f t="shared" si="737"/>
        <v/>
      </c>
      <c r="M705" s="310" t="str">
        <f t="shared" si="738"/>
        <v/>
      </c>
      <c r="N705" s="311" t="str">
        <f t="shared" si="739"/>
        <v/>
      </c>
    </row>
    <row r="706" spans="1:14">
      <c r="A706" s="253"/>
      <c r="B706" s="254"/>
      <c r="C706" s="299"/>
      <c r="D706" s="299"/>
      <c r="E706" s="300"/>
      <c r="F706" s="300"/>
      <c r="G706" s="302"/>
      <c r="H706" s="310"/>
      <c r="I706" s="311"/>
      <c r="J706" s="311"/>
      <c r="K706" s="311"/>
      <c r="L706" s="310"/>
      <c r="M706" s="310"/>
      <c r="N706" s="311"/>
    </row>
    <row r="707" spans="1:14" ht="16.5">
      <c r="A707" s="303" t="s">
        <v>1628</v>
      </c>
      <c r="B707" s="254"/>
      <c r="C707" s="299"/>
      <c r="D707" s="299"/>
      <c r="E707" s="300"/>
      <c r="F707" s="300"/>
      <c r="G707" s="302"/>
      <c r="H707" s="310"/>
      <c r="I707" s="311"/>
      <c r="J707" s="311"/>
      <c r="K707" s="311"/>
      <c r="L707" s="310"/>
      <c r="M707" s="310"/>
      <c r="N707" s="311"/>
    </row>
    <row r="708" spans="1:14" s="294" customFormat="1">
      <c r="A708" s="297" t="s">
        <v>1515</v>
      </c>
      <c r="B708" s="298"/>
      <c r="C708" s="299" t="s">
        <v>1519</v>
      </c>
      <c r="D708" s="299">
        <v>1</v>
      </c>
      <c r="E708" s="300">
        <v>3</v>
      </c>
      <c r="F708" s="300">
        <f>E708*D708</f>
        <v>3</v>
      </c>
      <c r="G708" s="299">
        <f>(4.15)+17*0.01*2</f>
        <v>4.49</v>
      </c>
      <c r="H708" s="310" t="str">
        <f t="shared" ref="H708:H711" si="741">IF(C708="T6",G708*F708,"")</f>
        <v/>
      </c>
      <c r="I708" s="311" t="str">
        <f t="shared" ref="I708:I711" si="742">IF(C708="T8",F708*G708,"")</f>
        <v/>
      </c>
      <c r="J708" s="311">
        <f t="shared" ref="J708:J711" si="743">IF(C708="T10",F708*G708,"")</f>
        <v>13.47</v>
      </c>
      <c r="K708" s="311" t="str">
        <f t="shared" ref="K708:K711" si="744">IF(C708="T12",F708*G708,"")</f>
        <v/>
      </c>
      <c r="L708" s="310" t="str">
        <f t="shared" ref="L708:L711" si="745">IF(C708="T14",F708*G708,"")</f>
        <v/>
      </c>
      <c r="M708" s="310" t="str">
        <f t="shared" ref="M708:M711" si="746">IF(C708="T16",G708*F708,"")</f>
        <v/>
      </c>
      <c r="N708" s="311" t="str">
        <f t="shared" ref="N708:N711" si="747">IF(C708="T20",G708*F708,"")</f>
        <v/>
      </c>
    </row>
    <row r="709" spans="1:14" s="294" customFormat="1">
      <c r="A709" s="297" t="s">
        <v>1515</v>
      </c>
      <c r="B709" s="298"/>
      <c r="C709" s="299" t="s">
        <v>1492</v>
      </c>
      <c r="D709" s="299">
        <v>1</v>
      </c>
      <c r="E709" s="300">
        <v>3</v>
      </c>
      <c r="F709" s="300">
        <f>E709*D709</f>
        <v>3</v>
      </c>
      <c r="G709" s="299">
        <f>(4.15)+17*0.014*2</f>
        <v>4.6260000000000003</v>
      </c>
      <c r="H709" s="310" t="str">
        <f t="shared" si="741"/>
        <v/>
      </c>
      <c r="I709" s="311" t="str">
        <f t="shared" si="742"/>
        <v/>
      </c>
      <c r="J709" s="311" t="str">
        <f t="shared" si="743"/>
        <v/>
      </c>
      <c r="K709" s="311" t="str">
        <f t="shared" si="744"/>
        <v/>
      </c>
      <c r="L709" s="310">
        <f t="shared" si="745"/>
        <v>13.88</v>
      </c>
      <c r="M709" s="310" t="str">
        <f t="shared" si="746"/>
        <v/>
      </c>
      <c r="N709" s="311" t="str">
        <f t="shared" si="747"/>
        <v/>
      </c>
    </row>
    <row r="710" spans="1:14" s="294" customFormat="1">
      <c r="A710" s="297" t="s">
        <v>1494</v>
      </c>
      <c r="B710" s="301"/>
      <c r="C710" s="299" t="s">
        <v>1496</v>
      </c>
      <c r="D710" s="299">
        <v>1</v>
      </c>
      <c r="E710" s="300">
        <f>4.15/0.15</f>
        <v>28</v>
      </c>
      <c r="F710" s="300">
        <f t="shared" ref="F710:F711" si="748">E710*D710</f>
        <v>28</v>
      </c>
      <c r="G710" s="302">
        <f>(0.2+0.15)*2+17*0.008*2</f>
        <v>0.97</v>
      </c>
      <c r="H710" s="310" t="str">
        <f t="shared" si="741"/>
        <v/>
      </c>
      <c r="I710" s="311">
        <f t="shared" si="742"/>
        <v>27.16</v>
      </c>
      <c r="J710" s="311" t="str">
        <f t="shared" si="743"/>
        <v/>
      </c>
      <c r="K710" s="311" t="str">
        <f t="shared" si="744"/>
        <v/>
      </c>
      <c r="L710" s="310" t="str">
        <f t="shared" si="745"/>
        <v/>
      </c>
      <c r="M710" s="310" t="str">
        <f t="shared" si="746"/>
        <v/>
      </c>
      <c r="N710" s="311" t="str">
        <f t="shared" si="747"/>
        <v/>
      </c>
    </row>
    <row r="711" spans="1:14" s="294" customFormat="1">
      <c r="A711" s="297" t="s">
        <v>1517</v>
      </c>
      <c r="B711" s="301"/>
      <c r="C711" s="299" t="s">
        <v>1496</v>
      </c>
      <c r="D711" s="299">
        <v>1</v>
      </c>
      <c r="E711" s="300">
        <v>28</v>
      </c>
      <c r="F711" s="300">
        <f t="shared" si="748"/>
        <v>28</v>
      </c>
      <c r="G711" s="302">
        <f>(0.2*2)+17*0.008*2</f>
        <v>0.67</v>
      </c>
      <c r="H711" s="310" t="str">
        <f t="shared" si="741"/>
        <v/>
      </c>
      <c r="I711" s="311">
        <f t="shared" si="742"/>
        <v>18.760000000000002</v>
      </c>
      <c r="J711" s="311" t="str">
        <f t="shared" si="743"/>
        <v/>
      </c>
      <c r="K711" s="311" t="str">
        <f t="shared" si="744"/>
        <v/>
      </c>
      <c r="L711" s="310" t="str">
        <f t="shared" si="745"/>
        <v/>
      </c>
      <c r="M711" s="310" t="str">
        <f t="shared" si="746"/>
        <v/>
      </c>
      <c r="N711" s="311" t="str">
        <f t="shared" si="747"/>
        <v/>
      </c>
    </row>
    <row r="712" spans="1:14" ht="16.5">
      <c r="A712" s="265"/>
      <c r="B712" s="254"/>
      <c r="C712" s="299"/>
      <c r="D712" s="299"/>
      <c r="E712" s="300"/>
      <c r="F712" s="300"/>
      <c r="G712" s="302"/>
      <c r="H712" s="310"/>
      <c r="I712" s="311"/>
      <c r="J712" s="311"/>
      <c r="K712" s="311"/>
      <c r="L712" s="310"/>
      <c r="M712" s="310"/>
      <c r="N712" s="311"/>
    </row>
    <row r="713" spans="1:14" ht="16.5">
      <c r="A713" s="303" t="s">
        <v>1590</v>
      </c>
      <c r="B713" s="254"/>
      <c r="C713" s="299"/>
      <c r="D713" s="299"/>
      <c r="E713" s="300"/>
      <c r="F713" s="300"/>
      <c r="G713" s="302"/>
      <c r="H713" s="310"/>
      <c r="I713" s="311"/>
      <c r="J713" s="311"/>
      <c r="K713" s="311"/>
      <c r="L713" s="310"/>
      <c r="M713" s="310"/>
      <c r="N713" s="311"/>
    </row>
    <row r="714" spans="1:14" s="294" customFormat="1">
      <c r="A714" s="297" t="s">
        <v>1515</v>
      </c>
      <c r="B714" s="298"/>
      <c r="C714" s="299" t="s">
        <v>1519</v>
      </c>
      <c r="D714" s="299">
        <v>1</v>
      </c>
      <c r="E714" s="300">
        <v>3</v>
      </c>
      <c r="F714" s="300">
        <f>E714*D714</f>
        <v>3</v>
      </c>
      <c r="G714" s="299">
        <f>(2.72)+17*0.01*2</f>
        <v>3.06</v>
      </c>
      <c r="H714" s="310" t="str">
        <f t="shared" ref="H714:H717" si="749">IF(C714="T6",G714*F714,"")</f>
        <v/>
      </c>
      <c r="I714" s="311" t="str">
        <f t="shared" ref="I714:I717" si="750">IF(C714="T8",F714*G714,"")</f>
        <v/>
      </c>
      <c r="J714" s="311">
        <f t="shared" ref="J714:J717" si="751">IF(C714="T10",F714*G714,"")</f>
        <v>9.18</v>
      </c>
      <c r="K714" s="311" t="str">
        <f t="shared" ref="K714:K717" si="752">IF(C714="T12",F714*G714,"")</f>
        <v/>
      </c>
      <c r="L714" s="310" t="str">
        <f t="shared" ref="L714:L717" si="753">IF(C714="T14",F714*G714,"")</f>
        <v/>
      </c>
      <c r="M714" s="310" t="str">
        <f t="shared" ref="M714:M717" si="754">IF(C714="T16",G714*F714,"")</f>
        <v/>
      </c>
      <c r="N714" s="311" t="str">
        <f t="shared" ref="N714:N717" si="755">IF(C714="T20",G714*F714,"")</f>
        <v/>
      </c>
    </row>
    <row r="715" spans="1:14" s="294" customFormat="1">
      <c r="A715" s="297" t="s">
        <v>1515</v>
      </c>
      <c r="B715" s="298"/>
      <c r="C715" s="299" t="s">
        <v>1492</v>
      </c>
      <c r="D715" s="299">
        <v>1</v>
      </c>
      <c r="E715" s="300">
        <v>3</v>
      </c>
      <c r="F715" s="300">
        <f>E715*D715</f>
        <v>3</v>
      </c>
      <c r="G715" s="299">
        <f>(2.72)+17*0.014*2</f>
        <v>3.1960000000000002</v>
      </c>
      <c r="H715" s="310" t="str">
        <f t="shared" si="749"/>
        <v/>
      </c>
      <c r="I715" s="311" t="str">
        <f t="shared" si="750"/>
        <v/>
      </c>
      <c r="J715" s="311" t="str">
        <f t="shared" si="751"/>
        <v/>
      </c>
      <c r="K715" s="311" t="str">
        <f t="shared" si="752"/>
        <v/>
      </c>
      <c r="L715" s="310">
        <f t="shared" si="753"/>
        <v>9.59</v>
      </c>
      <c r="M715" s="310" t="str">
        <f t="shared" si="754"/>
        <v/>
      </c>
      <c r="N715" s="311" t="str">
        <f t="shared" si="755"/>
        <v/>
      </c>
    </row>
    <row r="716" spans="1:14" s="294" customFormat="1">
      <c r="A716" s="297" t="s">
        <v>1494</v>
      </c>
      <c r="B716" s="301"/>
      <c r="C716" s="299" t="s">
        <v>1496</v>
      </c>
      <c r="D716" s="299">
        <v>1</v>
      </c>
      <c r="E716" s="300">
        <f>2.72/0.15</f>
        <v>18</v>
      </c>
      <c r="F716" s="300">
        <f t="shared" ref="F716:F717" si="756">E716*D716</f>
        <v>18</v>
      </c>
      <c r="G716" s="302">
        <f>(0.2+0.15)*2+17*0.008*2</f>
        <v>0.97</v>
      </c>
      <c r="H716" s="310" t="str">
        <f t="shared" si="749"/>
        <v/>
      </c>
      <c r="I716" s="311">
        <f t="shared" si="750"/>
        <v>17.46</v>
      </c>
      <c r="J716" s="311" t="str">
        <f t="shared" si="751"/>
        <v/>
      </c>
      <c r="K716" s="311" t="str">
        <f t="shared" si="752"/>
        <v/>
      </c>
      <c r="L716" s="310" t="str">
        <f t="shared" si="753"/>
        <v/>
      </c>
      <c r="M716" s="310" t="str">
        <f t="shared" si="754"/>
        <v/>
      </c>
      <c r="N716" s="311" t="str">
        <f t="shared" si="755"/>
        <v/>
      </c>
    </row>
    <row r="717" spans="1:14" s="294" customFormat="1">
      <c r="A717" s="297" t="s">
        <v>1517</v>
      </c>
      <c r="B717" s="301"/>
      <c r="C717" s="299" t="s">
        <v>1496</v>
      </c>
      <c r="D717" s="299">
        <v>1</v>
      </c>
      <c r="E717" s="300">
        <v>18</v>
      </c>
      <c r="F717" s="300">
        <f t="shared" si="756"/>
        <v>18</v>
      </c>
      <c r="G717" s="302">
        <f>(0.2*2)+17*0.008*2</f>
        <v>0.67</v>
      </c>
      <c r="H717" s="310" t="str">
        <f t="shared" si="749"/>
        <v/>
      </c>
      <c r="I717" s="311">
        <f t="shared" si="750"/>
        <v>12.06</v>
      </c>
      <c r="J717" s="311" t="str">
        <f t="shared" si="751"/>
        <v/>
      </c>
      <c r="K717" s="311" t="str">
        <f t="shared" si="752"/>
        <v/>
      </c>
      <c r="L717" s="310" t="str">
        <f t="shared" si="753"/>
        <v/>
      </c>
      <c r="M717" s="310" t="str">
        <f t="shared" si="754"/>
        <v/>
      </c>
      <c r="N717" s="311" t="str">
        <f t="shared" si="755"/>
        <v/>
      </c>
    </row>
    <row r="718" spans="1:14">
      <c r="A718" s="253"/>
      <c r="B718" s="254"/>
      <c r="C718" s="299"/>
      <c r="D718" s="299"/>
      <c r="E718" s="300"/>
      <c r="F718" s="300"/>
      <c r="G718" s="302"/>
      <c r="H718" s="310"/>
      <c r="I718" s="311"/>
      <c r="J718" s="311"/>
      <c r="K718" s="311"/>
      <c r="L718" s="310"/>
      <c r="M718" s="310"/>
      <c r="N718" s="311"/>
    </row>
    <row r="719" spans="1:14" ht="16.5">
      <c r="A719" s="303" t="s">
        <v>1627</v>
      </c>
      <c r="B719" s="254"/>
      <c r="C719" s="299"/>
      <c r="D719" s="299"/>
      <c r="E719" s="300"/>
      <c r="F719" s="300"/>
      <c r="G719" s="302"/>
      <c r="H719" s="310"/>
      <c r="I719" s="311"/>
      <c r="J719" s="311"/>
      <c r="K719" s="311"/>
      <c r="L719" s="310"/>
      <c r="M719" s="310"/>
      <c r="N719" s="311"/>
    </row>
    <row r="720" spans="1:14" s="294" customFormat="1">
      <c r="A720" s="297" t="s">
        <v>1515</v>
      </c>
      <c r="B720" s="298"/>
      <c r="C720" s="299" t="s">
        <v>1519</v>
      </c>
      <c r="D720" s="299">
        <v>1</v>
      </c>
      <c r="E720" s="300">
        <v>3</v>
      </c>
      <c r="F720" s="300">
        <f>E720*D720</f>
        <v>3</v>
      </c>
      <c r="G720" s="299">
        <f>(4.15)+17*0.01*2</f>
        <v>4.49</v>
      </c>
      <c r="H720" s="310" t="str">
        <f t="shared" ref="H720:H726" si="757">IF(C720="T6",G720*F720,"")</f>
        <v/>
      </c>
      <c r="I720" s="311" t="str">
        <f t="shared" ref="I720:I726" si="758">IF(C720="T8",F720*G720,"")</f>
        <v/>
      </c>
      <c r="J720" s="311">
        <f t="shared" ref="J720:J726" si="759">IF(C720="T10",F720*G720,"")</f>
        <v>13.47</v>
      </c>
      <c r="K720" s="311" t="str">
        <f t="shared" ref="K720:K726" si="760">IF(C720="T12",F720*G720,"")</f>
        <v/>
      </c>
      <c r="L720" s="310" t="str">
        <f t="shared" ref="L720:L726" si="761">IF(C720="T14",F720*G720,"")</f>
        <v/>
      </c>
      <c r="M720" s="310" t="str">
        <f t="shared" ref="M720:M726" si="762">IF(C720="T16",G720*F720,"")</f>
        <v/>
      </c>
      <c r="N720" s="311" t="str">
        <f t="shared" ref="N720:N726" si="763">IF(C720="T20",G720*F720,"")</f>
        <v/>
      </c>
    </row>
    <row r="721" spans="1:14" s="294" customFormat="1">
      <c r="A721" s="297" t="s">
        <v>1515</v>
      </c>
      <c r="B721" s="298"/>
      <c r="C721" s="299" t="s">
        <v>1516</v>
      </c>
      <c r="D721" s="299">
        <v>1</v>
      </c>
      <c r="E721" s="300">
        <v>3</v>
      </c>
      <c r="F721" s="300">
        <f>E721*D721</f>
        <v>3</v>
      </c>
      <c r="G721" s="299">
        <f>(4.15)+17*0.012*2</f>
        <v>4.5579999999999998</v>
      </c>
      <c r="H721" s="310" t="str">
        <f t="shared" si="757"/>
        <v/>
      </c>
      <c r="I721" s="311" t="str">
        <f t="shared" si="758"/>
        <v/>
      </c>
      <c r="J721" s="311" t="str">
        <f t="shared" si="759"/>
        <v/>
      </c>
      <c r="K721" s="311">
        <f t="shared" si="760"/>
        <v>13.67</v>
      </c>
      <c r="L721" s="310" t="str">
        <f t="shared" si="761"/>
        <v/>
      </c>
      <c r="M721" s="310" t="str">
        <f t="shared" si="762"/>
        <v/>
      </c>
      <c r="N721" s="311" t="str">
        <f t="shared" si="763"/>
        <v/>
      </c>
    </row>
    <row r="722" spans="1:14" s="294" customFormat="1">
      <c r="A722" s="297" t="s">
        <v>1494</v>
      </c>
      <c r="B722" s="301"/>
      <c r="C722" s="299" t="s">
        <v>1496</v>
      </c>
      <c r="D722" s="299">
        <v>1</v>
      </c>
      <c r="E722" s="300">
        <f>13+12+13</f>
        <v>38</v>
      </c>
      <c r="F722" s="300">
        <f t="shared" ref="F722:F723" si="764">E722*D722</f>
        <v>38</v>
      </c>
      <c r="G722" s="302">
        <f>(0.2+0.55)*2+17*0.008*2</f>
        <v>1.77</v>
      </c>
      <c r="H722" s="310" t="str">
        <f t="shared" si="757"/>
        <v/>
      </c>
      <c r="I722" s="311">
        <f t="shared" si="758"/>
        <v>67.260000000000005</v>
      </c>
      <c r="J722" s="311" t="str">
        <f t="shared" si="759"/>
        <v/>
      </c>
      <c r="K722" s="311" t="str">
        <f t="shared" si="760"/>
        <v/>
      </c>
      <c r="L722" s="310" t="str">
        <f t="shared" si="761"/>
        <v/>
      </c>
      <c r="M722" s="310" t="str">
        <f t="shared" si="762"/>
        <v/>
      </c>
      <c r="N722" s="311" t="str">
        <f t="shared" si="763"/>
        <v/>
      </c>
    </row>
    <row r="723" spans="1:14" s="294" customFormat="1">
      <c r="A723" s="297" t="s">
        <v>1517</v>
      </c>
      <c r="B723" s="301"/>
      <c r="C723" s="299" t="s">
        <v>1496</v>
      </c>
      <c r="D723" s="299">
        <v>1</v>
      </c>
      <c r="E723" s="300">
        <f>13+12+13</f>
        <v>38</v>
      </c>
      <c r="F723" s="300">
        <f t="shared" si="764"/>
        <v>38</v>
      </c>
      <c r="G723" s="302">
        <f>(0.55*2)+17*0.008*2</f>
        <v>1.37</v>
      </c>
      <c r="H723" s="310" t="str">
        <f t="shared" si="757"/>
        <v/>
      </c>
      <c r="I723" s="311">
        <f t="shared" si="758"/>
        <v>52.06</v>
      </c>
      <c r="J723" s="311" t="str">
        <f t="shared" si="759"/>
        <v/>
      </c>
      <c r="K723" s="311" t="str">
        <f t="shared" si="760"/>
        <v/>
      </c>
      <c r="L723" s="310" t="str">
        <f t="shared" si="761"/>
        <v/>
      </c>
      <c r="M723" s="310" t="str">
        <f t="shared" si="762"/>
        <v/>
      </c>
      <c r="N723" s="311" t="str">
        <f t="shared" si="763"/>
        <v/>
      </c>
    </row>
    <row r="724" spans="1:14">
      <c r="A724" s="297" t="s">
        <v>1520</v>
      </c>
      <c r="B724" s="254"/>
      <c r="C724" s="299" t="s">
        <v>1492</v>
      </c>
      <c r="D724" s="299">
        <v>1</v>
      </c>
      <c r="E724" s="300">
        <v>3</v>
      </c>
      <c r="F724" s="300">
        <f>E724*D724</f>
        <v>3</v>
      </c>
      <c r="G724" s="302">
        <v>2.9</v>
      </c>
      <c r="H724" s="310" t="str">
        <f t="shared" si="757"/>
        <v/>
      </c>
      <c r="I724" s="311" t="str">
        <f t="shared" si="758"/>
        <v/>
      </c>
      <c r="J724" s="311" t="str">
        <f t="shared" si="759"/>
        <v/>
      </c>
      <c r="K724" s="311" t="str">
        <f t="shared" si="760"/>
        <v/>
      </c>
      <c r="L724" s="310">
        <f t="shared" si="761"/>
        <v>8.6999999999999993</v>
      </c>
      <c r="M724" s="310" t="str">
        <f t="shared" si="762"/>
        <v/>
      </c>
      <c r="N724" s="311" t="str">
        <f t="shared" si="763"/>
        <v/>
      </c>
    </row>
    <row r="725" spans="1:14">
      <c r="A725" s="253"/>
      <c r="B725" s="254"/>
      <c r="C725" s="299" t="s">
        <v>1492</v>
      </c>
      <c r="D725" s="299">
        <v>1</v>
      </c>
      <c r="E725" s="300">
        <v>3</v>
      </c>
      <c r="F725" s="300">
        <f>E725*D725</f>
        <v>3</v>
      </c>
      <c r="G725" s="302">
        <v>2.9</v>
      </c>
      <c r="H725" s="310" t="str">
        <f t="shared" si="757"/>
        <v/>
      </c>
      <c r="I725" s="311" t="str">
        <f t="shared" si="758"/>
        <v/>
      </c>
      <c r="J725" s="311" t="str">
        <f t="shared" si="759"/>
        <v/>
      </c>
      <c r="K725" s="311" t="str">
        <f t="shared" si="760"/>
        <v/>
      </c>
      <c r="L725" s="310">
        <f t="shared" si="761"/>
        <v>8.6999999999999993</v>
      </c>
      <c r="M725" s="310" t="str">
        <f t="shared" si="762"/>
        <v/>
      </c>
      <c r="N725" s="311" t="str">
        <f t="shared" si="763"/>
        <v/>
      </c>
    </row>
    <row r="726" spans="1:14">
      <c r="A726" s="253"/>
      <c r="B726" s="254"/>
      <c r="C726" s="299" t="s">
        <v>1492</v>
      </c>
      <c r="D726" s="299">
        <v>1</v>
      </c>
      <c r="E726" s="300">
        <v>3</v>
      </c>
      <c r="F726" s="300">
        <f>E726*D726</f>
        <v>3</v>
      </c>
      <c r="G726" s="302">
        <v>4.1500000000000004</v>
      </c>
      <c r="H726" s="310" t="str">
        <f t="shared" si="757"/>
        <v/>
      </c>
      <c r="I726" s="311" t="str">
        <f t="shared" si="758"/>
        <v/>
      </c>
      <c r="J726" s="311" t="str">
        <f t="shared" si="759"/>
        <v/>
      </c>
      <c r="K726" s="311" t="str">
        <f t="shared" si="760"/>
        <v/>
      </c>
      <c r="L726" s="310">
        <f t="shared" si="761"/>
        <v>12.45</v>
      </c>
      <c r="M726" s="310" t="str">
        <f t="shared" si="762"/>
        <v/>
      </c>
      <c r="N726" s="311" t="str">
        <f t="shared" si="763"/>
        <v/>
      </c>
    </row>
    <row r="727" spans="1:14">
      <c r="A727" s="253"/>
      <c r="B727" s="254"/>
      <c r="C727" s="299"/>
      <c r="D727" s="299"/>
      <c r="E727" s="300"/>
      <c r="F727" s="300"/>
      <c r="G727" s="302"/>
      <c r="H727" s="310"/>
      <c r="I727" s="311"/>
      <c r="J727" s="311"/>
      <c r="K727" s="311"/>
      <c r="L727" s="310"/>
      <c r="M727" s="310"/>
      <c r="N727" s="311"/>
    </row>
    <row r="728" spans="1:14" ht="16.5">
      <c r="A728" s="303" t="s">
        <v>1626</v>
      </c>
      <c r="B728" s="254"/>
      <c r="C728" s="299"/>
      <c r="D728" s="299"/>
      <c r="E728" s="300"/>
      <c r="F728" s="300"/>
      <c r="G728" s="302"/>
      <c r="H728" s="310"/>
      <c r="I728" s="311"/>
      <c r="J728" s="311"/>
      <c r="K728" s="311"/>
      <c r="L728" s="310"/>
      <c r="M728" s="310"/>
      <c r="N728" s="311"/>
    </row>
    <row r="729" spans="1:14" s="294" customFormat="1">
      <c r="A729" s="297" t="s">
        <v>1515</v>
      </c>
      <c r="B729" s="298"/>
      <c r="C729" s="299" t="s">
        <v>1516</v>
      </c>
      <c r="D729" s="299">
        <v>1</v>
      </c>
      <c r="E729" s="300">
        <v>3</v>
      </c>
      <c r="F729" s="300">
        <f>E729*D729</f>
        <v>3</v>
      </c>
      <c r="G729" s="299">
        <f>(7.1)+17*0.012*2</f>
        <v>7.508</v>
      </c>
      <c r="H729" s="310" t="str">
        <f t="shared" ref="H729:H736" si="765">IF(C729="T6",G729*F729,"")</f>
        <v/>
      </c>
      <c r="I729" s="311" t="str">
        <f t="shared" ref="I729:I736" si="766">IF(C729="T8",F729*G729,"")</f>
        <v/>
      </c>
      <c r="J729" s="311" t="str">
        <f t="shared" ref="J729:J736" si="767">IF(C729="T10",F729*G729,"")</f>
        <v/>
      </c>
      <c r="K729" s="311">
        <f t="shared" ref="K729:K736" si="768">IF(C729="T12",F729*G729,"")</f>
        <v>22.52</v>
      </c>
      <c r="L729" s="310" t="str">
        <f t="shared" ref="L729:L736" si="769">IF(C729="T14",F729*G729,"")</f>
        <v/>
      </c>
      <c r="M729" s="310" t="str">
        <f t="shared" ref="M729:M736" si="770">IF(C729="T16",G729*F729,"")</f>
        <v/>
      </c>
      <c r="N729" s="311" t="str">
        <f t="shared" ref="N729:N736" si="771">IF(C729="T20",G729*F729,"")</f>
        <v/>
      </c>
    </row>
    <row r="730" spans="1:14" s="294" customFormat="1">
      <c r="A730" s="297" t="s">
        <v>1515</v>
      </c>
      <c r="B730" s="298"/>
      <c r="C730" s="299" t="s">
        <v>1492</v>
      </c>
      <c r="D730" s="299">
        <v>1</v>
      </c>
      <c r="E730" s="300">
        <v>3</v>
      </c>
      <c r="F730" s="300">
        <f>E730*D730</f>
        <v>3</v>
      </c>
      <c r="G730" s="299">
        <f>(7.1)+17*0.014*2</f>
        <v>7.5759999999999996</v>
      </c>
      <c r="H730" s="310" t="str">
        <f t="shared" si="765"/>
        <v/>
      </c>
      <c r="I730" s="311" t="str">
        <f t="shared" si="766"/>
        <v/>
      </c>
      <c r="J730" s="311" t="str">
        <f t="shared" si="767"/>
        <v/>
      </c>
      <c r="K730" s="311" t="str">
        <f t="shared" si="768"/>
        <v/>
      </c>
      <c r="L730" s="310">
        <f t="shared" si="769"/>
        <v>22.73</v>
      </c>
      <c r="M730" s="310" t="str">
        <f t="shared" si="770"/>
        <v/>
      </c>
      <c r="N730" s="311" t="str">
        <f t="shared" si="771"/>
        <v/>
      </c>
    </row>
    <row r="731" spans="1:14" s="294" customFormat="1">
      <c r="A731" s="297"/>
      <c r="B731" s="298"/>
      <c r="C731" s="299" t="s">
        <v>1516</v>
      </c>
      <c r="D731" s="299">
        <v>1</v>
      </c>
      <c r="E731" s="300">
        <v>2</v>
      </c>
      <c r="F731" s="300">
        <f>E731*D731</f>
        <v>2</v>
      </c>
      <c r="G731" s="299">
        <v>7.1</v>
      </c>
      <c r="H731" s="310" t="str">
        <f t="shared" si="765"/>
        <v/>
      </c>
      <c r="I731" s="311" t="str">
        <f t="shared" si="766"/>
        <v/>
      </c>
      <c r="J731" s="311" t="str">
        <f t="shared" si="767"/>
        <v/>
      </c>
      <c r="K731" s="311">
        <f t="shared" si="768"/>
        <v>14.2</v>
      </c>
      <c r="L731" s="310" t="str">
        <f t="shared" si="769"/>
        <v/>
      </c>
      <c r="M731" s="310" t="str">
        <f t="shared" si="770"/>
        <v/>
      </c>
      <c r="N731" s="311" t="str">
        <f t="shared" si="771"/>
        <v/>
      </c>
    </row>
    <row r="732" spans="1:14" s="294" customFormat="1">
      <c r="A732" s="297" t="s">
        <v>1494</v>
      </c>
      <c r="B732" s="301"/>
      <c r="C732" s="299" t="s">
        <v>1496</v>
      </c>
      <c r="D732" s="299">
        <v>1</v>
      </c>
      <c r="E732" s="300">
        <f>21+17+21</f>
        <v>59</v>
      </c>
      <c r="F732" s="300">
        <f t="shared" ref="F732:F733" si="772">E732*D732</f>
        <v>59</v>
      </c>
      <c r="G732" s="302">
        <f>(0.2+0.55)*2+17*0.008*2</f>
        <v>1.77</v>
      </c>
      <c r="H732" s="310" t="str">
        <f t="shared" si="765"/>
        <v/>
      </c>
      <c r="I732" s="311">
        <f t="shared" si="766"/>
        <v>104.43</v>
      </c>
      <c r="J732" s="311" t="str">
        <f t="shared" si="767"/>
        <v/>
      </c>
      <c r="K732" s="311" t="str">
        <f t="shared" si="768"/>
        <v/>
      </c>
      <c r="L732" s="310" t="str">
        <f t="shared" si="769"/>
        <v/>
      </c>
      <c r="M732" s="310" t="str">
        <f t="shared" si="770"/>
        <v/>
      </c>
      <c r="N732" s="311" t="str">
        <f t="shared" si="771"/>
        <v/>
      </c>
    </row>
    <row r="733" spans="1:14" s="294" customFormat="1">
      <c r="A733" s="297" t="s">
        <v>1517</v>
      </c>
      <c r="B733" s="301"/>
      <c r="C733" s="299" t="s">
        <v>1496</v>
      </c>
      <c r="D733" s="299">
        <v>1</v>
      </c>
      <c r="E733" s="300">
        <f>21+17+21</f>
        <v>59</v>
      </c>
      <c r="F733" s="300">
        <f t="shared" si="772"/>
        <v>59</v>
      </c>
      <c r="G733" s="302">
        <f>(0.55*2)+17*0.008*2</f>
        <v>1.37</v>
      </c>
      <c r="H733" s="310" t="str">
        <f t="shared" si="765"/>
        <v/>
      </c>
      <c r="I733" s="311">
        <f t="shared" si="766"/>
        <v>80.83</v>
      </c>
      <c r="J733" s="311" t="str">
        <f t="shared" si="767"/>
        <v/>
      </c>
      <c r="K733" s="311" t="str">
        <f t="shared" si="768"/>
        <v/>
      </c>
      <c r="L733" s="310" t="str">
        <f t="shared" si="769"/>
        <v/>
      </c>
      <c r="M733" s="310" t="str">
        <f t="shared" si="770"/>
        <v/>
      </c>
      <c r="N733" s="311" t="str">
        <f t="shared" si="771"/>
        <v/>
      </c>
    </row>
    <row r="734" spans="1:14" s="294" customFormat="1">
      <c r="A734" s="297" t="s">
        <v>1518</v>
      </c>
      <c r="B734" s="301"/>
      <c r="C734" s="299" t="s">
        <v>1492</v>
      </c>
      <c r="D734" s="299">
        <v>1</v>
      </c>
      <c r="E734" s="300">
        <v>3</v>
      </c>
      <c r="F734" s="300">
        <f>E734*D734</f>
        <v>3</v>
      </c>
      <c r="G734" s="299">
        <v>3.1</v>
      </c>
      <c r="H734" s="310" t="str">
        <f t="shared" si="765"/>
        <v/>
      </c>
      <c r="I734" s="311" t="str">
        <f t="shared" si="766"/>
        <v/>
      </c>
      <c r="J734" s="311" t="str">
        <f t="shared" si="767"/>
        <v/>
      </c>
      <c r="K734" s="311" t="str">
        <f t="shared" si="768"/>
        <v/>
      </c>
      <c r="L734" s="310">
        <f t="shared" si="769"/>
        <v>9.3000000000000007</v>
      </c>
      <c r="M734" s="310" t="str">
        <f t="shared" si="770"/>
        <v/>
      </c>
      <c r="N734" s="311" t="str">
        <f t="shared" si="771"/>
        <v/>
      </c>
    </row>
    <row r="735" spans="1:14">
      <c r="A735" s="297" t="s">
        <v>1520</v>
      </c>
      <c r="B735" s="254"/>
      <c r="C735" s="299" t="s">
        <v>1492</v>
      </c>
      <c r="D735" s="299">
        <v>1</v>
      </c>
      <c r="E735" s="300">
        <v>6</v>
      </c>
      <c r="F735" s="300">
        <f>E735*D735</f>
        <v>6</v>
      </c>
      <c r="G735" s="302">
        <v>4.5</v>
      </c>
      <c r="H735" s="310" t="str">
        <f t="shared" si="765"/>
        <v/>
      </c>
      <c r="I735" s="311" t="str">
        <f t="shared" si="766"/>
        <v/>
      </c>
      <c r="J735" s="311" t="str">
        <f t="shared" si="767"/>
        <v/>
      </c>
      <c r="K735" s="311" t="str">
        <f t="shared" si="768"/>
        <v/>
      </c>
      <c r="L735" s="310">
        <f t="shared" si="769"/>
        <v>27</v>
      </c>
      <c r="M735" s="310" t="str">
        <f t="shared" si="770"/>
        <v/>
      </c>
      <c r="N735" s="311" t="str">
        <f t="shared" si="771"/>
        <v/>
      </c>
    </row>
    <row r="736" spans="1:14">
      <c r="A736" s="253"/>
      <c r="B736" s="254"/>
      <c r="C736" s="299" t="s">
        <v>1516</v>
      </c>
      <c r="D736" s="299">
        <v>1</v>
      </c>
      <c r="E736" s="300">
        <v>3</v>
      </c>
      <c r="F736" s="300">
        <f>E736*D736</f>
        <v>3</v>
      </c>
      <c r="G736" s="302">
        <v>6.6</v>
      </c>
      <c r="H736" s="310" t="str">
        <f t="shared" si="765"/>
        <v/>
      </c>
      <c r="I736" s="311" t="str">
        <f t="shared" si="766"/>
        <v/>
      </c>
      <c r="J736" s="311" t="str">
        <f t="shared" si="767"/>
        <v/>
      </c>
      <c r="K736" s="311">
        <f t="shared" si="768"/>
        <v>19.8</v>
      </c>
      <c r="L736" s="310" t="str">
        <f t="shared" si="769"/>
        <v/>
      </c>
      <c r="M736" s="310" t="str">
        <f t="shared" si="770"/>
        <v/>
      </c>
      <c r="N736" s="311" t="str">
        <f t="shared" si="771"/>
        <v/>
      </c>
    </row>
    <row r="737" spans="1:14">
      <c r="A737" s="253"/>
      <c r="B737" s="254"/>
      <c r="C737" s="299"/>
      <c r="D737" s="299"/>
      <c r="E737" s="300"/>
      <c r="F737" s="300"/>
      <c r="G737" s="302"/>
      <c r="H737" s="310"/>
      <c r="I737" s="311"/>
      <c r="J737" s="311"/>
      <c r="K737" s="311"/>
      <c r="L737" s="310"/>
      <c r="M737" s="310"/>
      <c r="N737" s="311"/>
    </row>
    <row r="738" spans="1:14" ht="16.5">
      <c r="A738" s="303" t="s">
        <v>1625</v>
      </c>
      <c r="B738" s="254"/>
      <c r="C738" s="299"/>
      <c r="D738" s="299"/>
      <c r="E738" s="300"/>
      <c r="F738" s="300"/>
      <c r="G738" s="302"/>
      <c r="H738" s="310"/>
      <c r="I738" s="311"/>
      <c r="J738" s="311"/>
      <c r="K738" s="311"/>
      <c r="L738" s="310"/>
      <c r="M738" s="310"/>
      <c r="N738" s="311"/>
    </row>
    <row r="739" spans="1:14" s="294" customFormat="1">
      <c r="A739" s="297" t="s">
        <v>1515</v>
      </c>
      <c r="B739" s="298"/>
      <c r="C739" s="299" t="s">
        <v>1519</v>
      </c>
      <c r="D739" s="299">
        <v>1</v>
      </c>
      <c r="E739" s="300">
        <v>3</v>
      </c>
      <c r="F739" s="300">
        <f>E739*D739</f>
        <v>3</v>
      </c>
      <c r="G739" s="299">
        <f>(4)+17*0.01*2</f>
        <v>4.34</v>
      </c>
      <c r="H739" s="310" t="str">
        <f t="shared" ref="H739:H745" si="773">IF(C739="T6",G739*F739,"")</f>
        <v/>
      </c>
      <c r="I739" s="311" t="str">
        <f t="shared" ref="I739:I745" si="774">IF(C739="T8",F739*G739,"")</f>
        <v/>
      </c>
      <c r="J739" s="311">
        <f t="shared" ref="J739:J745" si="775">IF(C739="T10",F739*G739,"")</f>
        <v>13.02</v>
      </c>
      <c r="K739" s="311" t="str">
        <f t="shared" ref="K739:K745" si="776">IF(C739="T12",F739*G739,"")</f>
        <v/>
      </c>
      <c r="L739" s="310" t="str">
        <f t="shared" ref="L739:L745" si="777">IF(C739="T14",F739*G739,"")</f>
        <v/>
      </c>
      <c r="M739" s="310" t="str">
        <f t="shared" ref="M739:M745" si="778">IF(C739="T16",G739*F739,"")</f>
        <v/>
      </c>
      <c r="N739" s="311" t="str">
        <f t="shared" ref="N739:N745" si="779">IF(C739="T20",G739*F739,"")</f>
        <v/>
      </c>
    </row>
    <row r="740" spans="1:14" s="294" customFormat="1">
      <c r="A740" s="297" t="s">
        <v>1515</v>
      </c>
      <c r="B740" s="298"/>
      <c r="C740" s="299" t="s">
        <v>1516</v>
      </c>
      <c r="D740" s="299">
        <v>1</v>
      </c>
      <c r="E740" s="300">
        <v>3</v>
      </c>
      <c r="F740" s="300">
        <f>E740*D740</f>
        <v>3</v>
      </c>
      <c r="G740" s="299">
        <f>(4)+17*0.012*2</f>
        <v>4.4080000000000004</v>
      </c>
      <c r="H740" s="310" t="str">
        <f t="shared" si="773"/>
        <v/>
      </c>
      <c r="I740" s="311" t="str">
        <f t="shared" si="774"/>
        <v/>
      </c>
      <c r="J740" s="311" t="str">
        <f t="shared" si="775"/>
        <v/>
      </c>
      <c r="K740" s="311">
        <f t="shared" si="776"/>
        <v>13.22</v>
      </c>
      <c r="L740" s="310" t="str">
        <f t="shared" si="777"/>
        <v/>
      </c>
      <c r="M740" s="310" t="str">
        <f t="shared" si="778"/>
        <v/>
      </c>
      <c r="N740" s="311" t="str">
        <f t="shared" si="779"/>
        <v/>
      </c>
    </row>
    <row r="741" spans="1:14" s="294" customFormat="1">
      <c r="A741" s="297" t="s">
        <v>1494</v>
      </c>
      <c r="B741" s="301"/>
      <c r="C741" s="299" t="s">
        <v>1496</v>
      </c>
      <c r="D741" s="299">
        <v>1</v>
      </c>
      <c r="E741" s="300">
        <f>12+15+12</f>
        <v>39</v>
      </c>
      <c r="F741" s="300">
        <f t="shared" ref="F741:F742" si="780">E741*D741</f>
        <v>39</v>
      </c>
      <c r="G741" s="302">
        <f>(0.2+0.3)*2+17*0.008*2</f>
        <v>1.27</v>
      </c>
      <c r="H741" s="310" t="str">
        <f t="shared" si="773"/>
        <v/>
      </c>
      <c r="I741" s="311">
        <f t="shared" si="774"/>
        <v>49.53</v>
      </c>
      <c r="J741" s="311" t="str">
        <f t="shared" si="775"/>
        <v/>
      </c>
      <c r="K741" s="311" t="str">
        <f t="shared" si="776"/>
        <v/>
      </c>
      <c r="L741" s="310" t="str">
        <f t="shared" si="777"/>
        <v/>
      </c>
      <c r="M741" s="310" t="str">
        <f t="shared" si="778"/>
        <v/>
      </c>
      <c r="N741" s="311" t="str">
        <f t="shared" si="779"/>
        <v/>
      </c>
    </row>
    <row r="742" spans="1:14" s="294" customFormat="1">
      <c r="A742" s="297" t="s">
        <v>1517</v>
      </c>
      <c r="B742" s="301"/>
      <c r="C742" s="299" t="s">
        <v>1496</v>
      </c>
      <c r="D742" s="299">
        <v>1</v>
      </c>
      <c r="E742" s="300">
        <f>12+15+12</f>
        <v>39</v>
      </c>
      <c r="F742" s="300">
        <f t="shared" si="780"/>
        <v>39</v>
      </c>
      <c r="G742" s="302">
        <f>(0.3*2)+17*0.008*2</f>
        <v>0.87</v>
      </c>
      <c r="H742" s="310" t="str">
        <f t="shared" si="773"/>
        <v/>
      </c>
      <c r="I742" s="311">
        <f t="shared" si="774"/>
        <v>33.93</v>
      </c>
      <c r="J742" s="311" t="str">
        <f t="shared" si="775"/>
        <v/>
      </c>
      <c r="K742" s="311" t="str">
        <f t="shared" si="776"/>
        <v/>
      </c>
      <c r="L742" s="310" t="str">
        <f t="shared" si="777"/>
        <v/>
      </c>
      <c r="M742" s="310" t="str">
        <f t="shared" si="778"/>
        <v/>
      </c>
      <c r="N742" s="311" t="str">
        <f t="shared" si="779"/>
        <v/>
      </c>
    </row>
    <row r="743" spans="1:14">
      <c r="A743" s="297" t="s">
        <v>1520</v>
      </c>
      <c r="B743" s="254"/>
      <c r="C743" s="299" t="s">
        <v>1492</v>
      </c>
      <c r="D743" s="299">
        <v>1</v>
      </c>
      <c r="E743" s="300">
        <v>6</v>
      </c>
      <c r="F743" s="300">
        <f>E743*D743</f>
        <v>6</v>
      </c>
      <c r="G743" s="302">
        <v>3.8</v>
      </c>
      <c r="H743" s="310" t="str">
        <f t="shared" si="773"/>
        <v/>
      </c>
      <c r="I743" s="311" t="str">
        <f t="shared" si="774"/>
        <v/>
      </c>
      <c r="J743" s="311" t="str">
        <f t="shared" si="775"/>
        <v/>
      </c>
      <c r="K743" s="311" t="str">
        <f t="shared" si="776"/>
        <v/>
      </c>
      <c r="L743" s="310">
        <f t="shared" si="777"/>
        <v>22.8</v>
      </c>
      <c r="M743" s="310" t="str">
        <f t="shared" si="778"/>
        <v/>
      </c>
      <c r="N743" s="311" t="str">
        <f t="shared" si="779"/>
        <v/>
      </c>
    </row>
    <row r="744" spans="1:14">
      <c r="A744" s="253"/>
      <c r="B744" s="254"/>
      <c r="C744" s="299" t="s">
        <v>1492</v>
      </c>
      <c r="D744" s="299">
        <v>1</v>
      </c>
      <c r="E744" s="300">
        <v>3</v>
      </c>
      <c r="F744" s="300">
        <f>E744*D744</f>
        <v>3</v>
      </c>
      <c r="G744" s="302">
        <v>2.8</v>
      </c>
      <c r="H744" s="310" t="str">
        <f t="shared" si="773"/>
        <v/>
      </c>
      <c r="I744" s="311" t="str">
        <f t="shared" si="774"/>
        <v/>
      </c>
      <c r="J744" s="311" t="str">
        <f t="shared" si="775"/>
        <v/>
      </c>
      <c r="K744" s="311" t="str">
        <f t="shared" si="776"/>
        <v/>
      </c>
      <c r="L744" s="310">
        <f t="shared" si="777"/>
        <v>8.4</v>
      </c>
      <c r="M744" s="310" t="str">
        <f t="shared" si="778"/>
        <v/>
      </c>
      <c r="N744" s="311" t="str">
        <f t="shared" si="779"/>
        <v/>
      </c>
    </row>
    <row r="745" spans="1:14">
      <c r="A745" s="253"/>
      <c r="B745" s="254"/>
      <c r="C745" s="299" t="s">
        <v>1492</v>
      </c>
      <c r="D745" s="299">
        <v>1</v>
      </c>
      <c r="E745" s="300">
        <v>3</v>
      </c>
      <c r="F745" s="300">
        <f>E745*D745</f>
        <v>3</v>
      </c>
      <c r="G745" s="302">
        <v>3.5</v>
      </c>
      <c r="H745" s="310" t="str">
        <f t="shared" si="773"/>
        <v/>
      </c>
      <c r="I745" s="311" t="str">
        <f t="shared" si="774"/>
        <v/>
      </c>
      <c r="J745" s="311" t="str">
        <f t="shared" si="775"/>
        <v/>
      </c>
      <c r="K745" s="311" t="str">
        <f t="shared" si="776"/>
        <v/>
      </c>
      <c r="L745" s="310">
        <f t="shared" si="777"/>
        <v>10.5</v>
      </c>
      <c r="M745" s="310" t="str">
        <f t="shared" si="778"/>
        <v/>
      </c>
      <c r="N745" s="311" t="str">
        <f t="shared" si="779"/>
        <v/>
      </c>
    </row>
    <row r="746" spans="1:14">
      <c r="A746" s="253"/>
      <c r="B746" s="254"/>
      <c r="C746" s="299"/>
      <c r="D746" s="299"/>
      <c r="E746" s="300"/>
      <c r="F746" s="300"/>
      <c r="G746" s="302"/>
      <c r="H746" s="310"/>
      <c r="I746" s="311"/>
      <c r="J746" s="311"/>
      <c r="K746" s="311"/>
      <c r="L746" s="310"/>
      <c r="M746" s="310"/>
      <c r="N746" s="311"/>
    </row>
    <row r="747" spans="1:14" ht="16.5">
      <c r="A747" s="303" t="s">
        <v>1624</v>
      </c>
      <c r="B747" s="254"/>
      <c r="C747" s="299"/>
      <c r="D747" s="299"/>
      <c r="E747" s="300"/>
      <c r="F747" s="300"/>
      <c r="G747" s="302"/>
      <c r="H747" s="310"/>
      <c r="I747" s="311"/>
      <c r="J747" s="311"/>
      <c r="K747" s="311"/>
      <c r="L747" s="310"/>
      <c r="M747" s="310"/>
      <c r="N747" s="311"/>
    </row>
    <row r="748" spans="1:14" s="294" customFormat="1">
      <c r="A748" s="297" t="s">
        <v>1515</v>
      </c>
      <c r="B748" s="298"/>
      <c r="C748" s="299" t="s">
        <v>1519</v>
      </c>
      <c r="D748" s="299">
        <v>1</v>
      </c>
      <c r="E748" s="300">
        <v>3</v>
      </c>
      <c r="F748" s="300">
        <f>E748*D748</f>
        <v>3</v>
      </c>
      <c r="G748" s="299">
        <f>(2.7)+17*0.01*2</f>
        <v>3.04</v>
      </c>
      <c r="H748" s="310" t="str">
        <f t="shared" ref="H748:H753" si="781">IF(C748="T6",G748*F748,"")</f>
        <v/>
      </c>
      <c r="I748" s="311" t="str">
        <f t="shared" ref="I748:I753" si="782">IF(C748="T8",F748*G748,"")</f>
        <v/>
      </c>
      <c r="J748" s="311">
        <f t="shared" ref="J748:J753" si="783">IF(C748="T10",F748*G748,"")</f>
        <v>9.1199999999999992</v>
      </c>
      <c r="K748" s="311" t="str">
        <f t="shared" ref="K748:K753" si="784">IF(C748="T12",F748*G748,"")</f>
        <v/>
      </c>
      <c r="L748" s="310" t="str">
        <f t="shared" ref="L748:L753" si="785">IF(C748="T14",F748*G748,"")</f>
        <v/>
      </c>
      <c r="M748" s="310" t="str">
        <f t="shared" ref="M748:M753" si="786">IF(C748="T16",G748*F748,"")</f>
        <v/>
      </c>
      <c r="N748" s="311" t="str">
        <f t="shared" ref="N748:N753" si="787">IF(C748="T20",G748*F748,"")</f>
        <v/>
      </c>
    </row>
    <row r="749" spans="1:14" s="294" customFormat="1">
      <c r="A749" s="297" t="s">
        <v>1515</v>
      </c>
      <c r="B749" s="298"/>
      <c r="C749" s="299" t="s">
        <v>1516</v>
      </c>
      <c r="D749" s="299">
        <v>1</v>
      </c>
      <c r="E749" s="300">
        <v>3</v>
      </c>
      <c r="F749" s="300">
        <f>E749*D749</f>
        <v>3</v>
      </c>
      <c r="G749" s="299">
        <f>(2.7)+17*0.012*2</f>
        <v>3.1080000000000001</v>
      </c>
      <c r="H749" s="310" t="str">
        <f t="shared" si="781"/>
        <v/>
      </c>
      <c r="I749" s="311" t="str">
        <f t="shared" si="782"/>
        <v/>
      </c>
      <c r="J749" s="311" t="str">
        <f t="shared" si="783"/>
        <v/>
      </c>
      <c r="K749" s="311">
        <f t="shared" si="784"/>
        <v>9.32</v>
      </c>
      <c r="L749" s="310" t="str">
        <f t="shared" si="785"/>
        <v/>
      </c>
      <c r="M749" s="310" t="str">
        <f t="shared" si="786"/>
        <v/>
      </c>
      <c r="N749" s="311" t="str">
        <f t="shared" si="787"/>
        <v/>
      </c>
    </row>
    <row r="750" spans="1:14" s="294" customFormat="1">
      <c r="A750" s="297" t="s">
        <v>1494</v>
      </c>
      <c r="B750" s="301"/>
      <c r="C750" s="299" t="s">
        <v>1496</v>
      </c>
      <c r="D750" s="299">
        <v>1</v>
      </c>
      <c r="E750" s="300">
        <f>9+7+9</f>
        <v>25</v>
      </c>
      <c r="F750" s="300">
        <f t="shared" ref="F750:F751" si="788">E750*D750</f>
        <v>25</v>
      </c>
      <c r="G750" s="302">
        <f>(0.2+0.3)*2+17*0.008*2</f>
        <v>1.27</v>
      </c>
      <c r="H750" s="310" t="str">
        <f t="shared" si="781"/>
        <v/>
      </c>
      <c r="I750" s="311">
        <f t="shared" si="782"/>
        <v>31.75</v>
      </c>
      <c r="J750" s="311" t="str">
        <f t="shared" si="783"/>
        <v/>
      </c>
      <c r="K750" s="311" t="str">
        <f t="shared" si="784"/>
        <v/>
      </c>
      <c r="L750" s="310" t="str">
        <f t="shared" si="785"/>
        <v/>
      </c>
      <c r="M750" s="310" t="str">
        <f t="shared" si="786"/>
        <v/>
      </c>
      <c r="N750" s="311" t="str">
        <f t="shared" si="787"/>
        <v/>
      </c>
    </row>
    <row r="751" spans="1:14" s="294" customFormat="1">
      <c r="A751" s="297" t="s">
        <v>1517</v>
      </c>
      <c r="B751" s="301"/>
      <c r="C751" s="299" t="s">
        <v>1496</v>
      </c>
      <c r="D751" s="299">
        <v>1</v>
      </c>
      <c r="E751" s="300">
        <f>9+7+9</f>
        <v>25</v>
      </c>
      <c r="F751" s="300">
        <f t="shared" si="788"/>
        <v>25</v>
      </c>
      <c r="G751" s="302">
        <f>(0.3*2)+17*0.008*2</f>
        <v>0.87</v>
      </c>
      <c r="H751" s="310" t="str">
        <f t="shared" si="781"/>
        <v/>
      </c>
      <c r="I751" s="311">
        <f t="shared" si="782"/>
        <v>21.75</v>
      </c>
      <c r="J751" s="311" t="str">
        <f t="shared" si="783"/>
        <v/>
      </c>
      <c r="K751" s="311" t="str">
        <f t="shared" si="784"/>
        <v/>
      </c>
      <c r="L751" s="310" t="str">
        <f t="shared" si="785"/>
        <v/>
      </c>
      <c r="M751" s="310" t="str">
        <f t="shared" si="786"/>
        <v/>
      </c>
      <c r="N751" s="311" t="str">
        <f t="shared" si="787"/>
        <v/>
      </c>
    </row>
    <row r="752" spans="1:14">
      <c r="A752" s="297" t="s">
        <v>1520</v>
      </c>
      <c r="B752" s="254"/>
      <c r="C752" s="299" t="s">
        <v>1492</v>
      </c>
      <c r="D752" s="299">
        <v>1</v>
      </c>
      <c r="E752" s="300">
        <v>3</v>
      </c>
      <c r="F752" s="300">
        <f>E752*D752</f>
        <v>3</v>
      </c>
      <c r="G752" s="302">
        <v>3.8</v>
      </c>
      <c r="H752" s="310" t="str">
        <f t="shared" si="781"/>
        <v/>
      </c>
      <c r="I752" s="311" t="str">
        <f t="shared" si="782"/>
        <v/>
      </c>
      <c r="J752" s="311" t="str">
        <f t="shared" si="783"/>
        <v/>
      </c>
      <c r="K752" s="311" t="str">
        <f t="shared" si="784"/>
        <v/>
      </c>
      <c r="L752" s="310">
        <f t="shared" si="785"/>
        <v>11.4</v>
      </c>
      <c r="M752" s="310" t="str">
        <f t="shared" si="786"/>
        <v/>
      </c>
      <c r="N752" s="311" t="str">
        <f t="shared" si="787"/>
        <v/>
      </c>
    </row>
    <row r="753" spans="1:14">
      <c r="A753" s="253"/>
      <c r="B753" s="254"/>
      <c r="C753" s="299" t="s">
        <v>1492</v>
      </c>
      <c r="D753" s="299">
        <v>1</v>
      </c>
      <c r="E753" s="300">
        <v>6</v>
      </c>
      <c r="F753" s="300">
        <f>E753*D753</f>
        <v>6</v>
      </c>
      <c r="G753" s="302">
        <v>3.2</v>
      </c>
      <c r="H753" s="310" t="str">
        <f t="shared" si="781"/>
        <v/>
      </c>
      <c r="I753" s="311" t="str">
        <f t="shared" si="782"/>
        <v/>
      </c>
      <c r="J753" s="311" t="str">
        <f t="shared" si="783"/>
        <v/>
      </c>
      <c r="K753" s="311" t="str">
        <f t="shared" si="784"/>
        <v/>
      </c>
      <c r="L753" s="310">
        <f t="shared" si="785"/>
        <v>19.2</v>
      </c>
      <c r="M753" s="310" t="str">
        <f t="shared" si="786"/>
        <v/>
      </c>
      <c r="N753" s="311" t="str">
        <f t="shared" si="787"/>
        <v/>
      </c>
    </row>
    <row r="754" spans="1:14">
      <c r="A754" s="253"/>
      <c r="B754" s="254"/>
      <c r="C754" s="299"/>
      <c r="D754" s="299"/>
      <c r="E754" s="300"/>
      <c r="F754" s="300"/>
      <c r="G754" s="302"/>
      <c r="H754" s="310"/>
      <c r="I754" s="311"/>
      <c r="J754" s="311"/>
      <c r="K754" s="311"/>
      <c r="L754" s="310"/>
      <c r="M754" s="310"/>
      <c r="N754" s="311"/>
    </row>
    <row r="755" spans="1:14" ht="16.5">
      <c r="A755" s="303" t="s">
        <v>1623</v>
      </c>
      <c r="B755" s="254"/>
      <c r="C755" s="299"/>
      <c r="D755" s="299"/>
      <c r="E755" s="300"/>
      <c r="F755" s="300"/>
      <c r="G755" s="302"/>
      <c r="H755" s="310"/>
      <c r="I755" s="311"/>
      <c r="J755" s="311"/>
      <c r="K755" s="311"/>
      <c r="L755" s="310"/>
      <c r="M755" s="310"/>
      <c r="N755" s="311"/>
    </row>
    <row r="756" spans="1:14" s="294" customFormat="1">
      <c r="A756" s="297" t="s">
        <v>1515</v>
      </c>
      <c r="B756" s="298"/>
      <c r="C756" s="299" t="s">
        <v>1516</v>
      </c>
      <c r="D756" s="299">
        <v>1</v>
      </c>
      <c r="E756" s="300">
        <v>3</v>
      </c>
      <c r="F756" s="300">
        <f>E756*D756</f>
        <v>3</v>
      </c>
      <c r="G756" s="299">
        <f>(7.1)+17*0.012*2</f>
        <v>7.508</v>
      </c>
      <c r="H756" s="310" t="str">
        <f t="shared" ref="H756:H763" si="789">IF(C756="T6",G756*F756,"")</f>
        <v/>
      </c>
      <c r="I756" s="311" t="str">
        <f t="shared" ref="I756:I763" si="790">IF(C756="T8",F756*G756,"")</f>
        <v/>
      </c>
      <c r="J756" s="311" t="str">
        <f t="shared" ref="J756:J763" si="791">IF(C756="T10",F756*G756,"")</f>
        <v/>
      </c>
      <c r="K756" s="311">
        <f t="shared" ref="K756:K763" si="792">IF(C756="T12",F756*G756,"")</f>
        <v>22.52</v>
      </c>
      <c r="L756" s="310" t="str">
        <f t="shared" ref="L756:L763" si="793">IF(C756="T14",F756*G756,"")</f>
        <v/>
      </c>
      <c r="M756" s="310" t="str">
        <f t="shared" ref="M756:M763" si="794">IF(C756="T16",G756*F756,"")</f>
        <v/>
      </c>
      <c r="N756" s="311" t="str">
        <f t="shared" ref="N756:N763" si="795">IF(C756="T20",G756*F756,"")</f>
        <v/>
      </c>
    </row>
    <row r="757" spans="1:14" s="294" customFormat="1">
      <c r="A757" s="297" t="s">
        <v>1515</v>
      </c>
      <c r="B757" s="298"/>
      <c r="C757" s="299" t="s">
        <v>1492</v>
      </c>
      <c r="D757" s="299">
        <v>1</v>
      </c>
      <c r="E757" s="300">
        <v>3</v>
      </c>
      <c r="F757" s="300">
        <f>E757*D757</f>
        <v>3</v>
      </c>
      <c r="G757" s="299">
        <f>(7.1)+17*0.014*2</f>
        <v>7.5759999999999996</v>
      </c>
      <c r="H757" s="310" t="str">
        <f t="shared" si="789"/>
        <v/>
      </c>
      <c r="I757" s="311" t="str">
        <f t="shared" si="790"/>
        <v/>
      </c>
      <c r="J757" s="311" t="str">
        <f t="shared" si="791"/>
        <v/>
      </c>
      <c r="K757" s="311" t="str">
        <f t="shared" si="792"/>
        <v/>
      </c>
      <c r="L757" s="310">
        <f t="shared" si="793"/>
        <v>22.73</v>
      </c>
      <c r="M757" s="310" t="str">
        <f t="shared" si="794"/>
        <v/>
      </c>
      <c r="N757" s="311" t="str">
        <f t="shared" si="795"/>
        <v/>
      </c>
    </row>
    <row r="758" spans="1:14" s="294" customFormat="1">
      <c r="A758" s="297"/>
      <c r="B758" s="298"/>
      <c r="C758" s="299" t="s">
        <v>1516</v>
      </c>
      <c r="D758" s="299">
        <v>1</v>
      </c>
      <c r="E758" s="300">
        <v>2</v>
      </c>
      <c r="F758" s="300">
        <f>E758*D758</f>
        <v>2</v>
      </c>
      <c r="G758" s="299">
        <v>7.1</v>
      </c>
      <c r="H758" s="310" t="str">
        <f t="shared" si="789"/>
        <v/>
      </c>
      <c r="I758" s="311" t="str">
        <f t="shared" si="790"/>
        <v/>
      </c>
      <c r="J758" s="311" t="str">
        <f t="shared" si="791"/>
        <v/>
      </c>
      <c r="K758" s="311">
        <f t="shared" si="792"/>
        <v>14.2</v>
      </c>
      <c r="L758" s="310" t="str">
        <f t="shared" si="793"/>
        <v/>
      </c>
      <c r="M758" s="310" t="str">
        <f t="shared" si="794"/>
        <v/>
      </c>
      <c r="N758" s="311" t="str">
        <f t="shared" si="795"/>
        <v/>
      </c>
    </row>
    <row r="759" spans="1:14" s="294" customFormat="1">
      <c r="A759" s="297" t="s">
        <v>1494</v>
      </c>
      <c r="B759" s="301"/>
      <c r="C759" s="299" t="s">
        <v>1496</v>
      </c>
      <c r="D759" s="299">
        <v>1</v>
      </c>
      <c r="E759" s="300">
        <f>21+17+21</f>
        <v>59</v>
      </c>
      <c r="F759" s="300">
        <f t="shared" ref="F759:F760" si="796">E759*D759</f>
        <v>59</v>
      </c>
      <c r="G759" s="302">
        <f>(0.2+0.55)*2+17*0.008*2</f>
        <v>1.77</v>
      </c>
      <c r="H759" s="310" t="str">
        <f t="shared" si="789"/>
        <v/>
      </c>
      <c r="I759" s="311">
        <f t="shared" si="790"/>
        <v>104.43</v>
      </c>
      <c r="J759" s="311" t="str">
        <f t="shared" si="791"/>
        <v/>
      </c>
      <c r="K759" s="311" t="str">
        <f t="shared" si="792"/>
        <v/>
      </c>
      <c r="L759" s="310" t="str">
        <f t="shared" si="793"/>
        <v/>
      </c>
      <c r="M759" s="310" t="str">
        <f t="shared" si="794"/>
        <v/>
      </c>
      <c r="N759" s="311" t="str">
        <f t="shared" si="795"/>
        <v/>
      </c>
    </row>
    <row r="760" spans="1:14" s="294" customFormat="1">
      <c r="A760" s="297" t="s">
        <v>1517</v>
      </c>
      <c r="B760" s="301"/>
      <c r="C760" s="299" t="s">
        <v>1496</v>
      </c>
      <c r="D760" s="299">
        <v>1</v>
      </c>
      <c r="E760" s="300">
        <f>21+17+21</f>
        <v>59</v>
      </c>
      <c r="F760" s="300">
        <f t="shared" si="796"/>
        <v>59</v>
      </c>
      <c r="G760" s="302">
        <f>(0.55*2)+17*0.008*2</f>
        <v>1.37</v>
      </c>
      <c r="H760" s="310" t="str">
        <f t="shared" si="789"/>
        <v/>
      </c>
      <c r="I760" s="311">
        <f t="shared" si="790"/>
        <v>80.83</v>
      </c>
      <c r="J760" s="311" t="str">
        <f t="shared" si="791"/>
        <v/>
      </c>
      <c r="K760" s="311" t="str">
        <f t="shared" si="792"/>
        <v/>
      </c>
      <c r="L760" s="310" t="str">
        <f t="shared" si="793"/>
        <v/>
      </c>
      <c r="M760" s="310" t="str">
        <f t="shared" si="794"/>
        <v/>
      </c>
      <c r="N760" s="311" t="str">
        <f t="shared" si="795"/>
        <v/>
      </c>
    </row>
    <row r="761" spans="1:14" s="294" customFormat="1">
      <c r="A761" s="297" t="s">
        <v>1518</v>
      </c>
      <c r="B761" s="301"/>
      <c r="C761" s="299" t="s">
        <v>1492</v>
      </c>
      <c r="D761" s="299">
        <v>1</v>
      </c>
      <c r="E761" s="300">
        <v>3</v>
      </c>
      <c r="F761" s="300">
        <f>E761*D761</f>
        <v>3</v>
      </c>
      <c r="G761" s="299">
        <v>3.1</v>
      </c>
      <c r="H761" s="310" t="str">
        <f t="shared" si="789"/>
        <v/>
      </c>
      <c r="I761" s="311" t="str">
        <f t="shared" si="790"/>
        <v/>
      </c>
      <c r="J761" s="311" t="str">
        <f t="shared" si="791"/>
        <v/>
      </c>
      <c r="K761" s="311" t="str">
        <f t="shared" si="792"/>
        <v/>
      </c>
      <c r="L761" s="310">
        <f t="shared" si="793"/>
        <v>9.3000000000000007</v>
      </c>
      <c r="M761" s="310" t="str">
        <f t="shared" si="794"/>
        <v/>
      </c>
      <c r="N761" s="311" t="str">
        <f t="shared" si="795"/>
        <v/>
      </c>
    </row>
    <row r="762" spans="1:14">
      <c r="A762" s="297" t="s">
        <v>1520</v>
      </c>
      <c r="B762" s="254"/>
      <c r="C762" s="299" t="s">
        <v>1492</v>
      </c>
      <c r="D762" s="299">
        <v>1</v>
      </c>
      <c r="E762" s="300">
        <v>6</v>
      </c>
      <c r="F762" s="300">
        <f>E762*D762</f>
        <v>6</v>
      </c>
      <c r="G762" s="302">
        <v>4.5</v>
      </c>
      <c r="H762" s="310" t="str">
        <f t="shared" si="789"/>
        <v/>
      </c>
      <c r="I762" s="311" t="str">
        <f t="shared" si="790"/>
        <v/>
      </c>
      <c r="J762" s="311" t="str">
        <f t="shared" si="791"/>
        <v/>
      </c>
      <c r="K762" s="311" t="str">
        <f t="shared" si="792"/>
        <v/>
      </c>
      <c r="L762" s="310">
        <f t="shared" si="793"/>
        <v>27</v>
      </c>
      <c r="M762" s="310" t="str">
        <f t="shared" si="794"/>
        <v/>
      </c>
      <c r="N762" s="311" t="str">
        <f t="shared" si="795"/>
        <v/>
      </c>
    </row>
    <row r="763" spans="1:14">
      <c r="A763" s="253"/>
      <c r="B763" s="254"/>
      <c r="C763" s="299" t="s">
        <v>1516</v>
      </c>
      <c r="D763" s="299">
        <v>1</v>
      </c>
      <c r="E763" s="300">
        <v>3</v>
      </c>
      <c r="F763" s="300">
        <f>E763*D763</f>
        <v>3</v>
      </c>
      <c r="G763" s="302">
        <v>6.6</v>
      </c>
      <c r="H763" s="310" t="str">
        <f t="shared" si="789"/>
        <v/>
      </c>
      <c r="I763" s="311" t="str">
        <f t="shared" si="790"/>
        <v/>
      </c>
      <c r="J763" s="311" t="str">
        <f t="shared" si="791"/>
        <v/>
      </c>
      <c r="K763" s="311">
        <f t="shared" si="792"/>
        <v>19.8</v>
      </c>
      <c r="L763" s="310" t="str">
        <f t="shared" si="793"/>
        <v/>
      </c>
      <c r="M763" s="310" t="str">
        <f t="shared" si="794"/>
        <v/>
      </c>
      <c r="N763" s="311" t="str">
        <f t="shared" si="795"/>
        <v/>
      </c>
    </row>
    <row r="764" spans="1:14">
      <c r="A764" s="253"/>
      <c r="B764" s="254"/>
      <c r="C764" s="299"/>
      <c r="D764" s="299"/>
      <c r="E764" s="300"/>
      <c r="F764" s="300"/>
      <c r="G764" s="302"/>
      <c r="H764" s="310"/>
      <c r="I764" s="311"/>
      <c r="J764" s="311"/>
      <c r="K764" s="311"/>
      <c r="L764" s="310"/>
      <c r="M764" s="310"/>
      <c r="N764" s="311"/>
    </row>
    <row r="765" spans="1:14" ht="16.5">
      <c r="A765" s="303" t="s">
        <v>1622</v>
      </c>
      <c r="B765" s="254"/>
      <c r="C765" s="299"/>
      <c r="D765" s="299"/>
      <c r="E765" s="300"/>
      <c r="F765" s="300"/>
      <c r="G765" s="302"/>
      <c r="H765" s="310"/>
      <c r="I765" s="311"/>
      <c r="J765" s="311"/>
      <c r="K765" s="311"/>
      <c r="L765" s="310"/>
      <c r="M765" s="310"/>
      <c r="N765" s="311"/>
    </row>
    <row r="766" spans="1:14" s="294" customFormat="1">
      <c r="A766" s="297" t="s">
        <v>1515</v>
      </c>
      <c r="B766" s="298"/>
      <c r="C766" s="299" t="s">
        <v>1519</v>
      </c>
      <c r="D766" s="299">
        <v>1</v>
      </c>
      <c r="E766" s="300">
        <v>3</v>
      </c>
      <c r="F766" s="300">
        <f>E766*D766</f>
        <v>3</v>
      </c>
      <c r="G766" s="299">
        <f>(2.75)+17*0.01*2</f>
        <v>3.09</v>
      </c>
      <c r="H766" s="310" t="str">
        <f t="shared" ref="H766:H771" si="797">IF(C766="T6",G766*F766,"")</f>
        <v/>
      </c>
      <c r="I766" s="311" t="str">
        <f t="shared" ref="I766:I771" si="798">IF(C766="T8",F766*G766,"")</f>
        <v/>
      </c>
      <c r="J766" s="311">
        <f t="shared" ref="J766:J771" si="799">IF(C766="T10",F766*G766,"")</f>
        <v>9.27</v>
      </c>
      <c r="K766" s="311" t="str">
        <f t="shared" ref="K766:K771" si="800">IF(C766="T12",F766*G766,"")</f>
        <v/>
      </c>
      <c r="L766" s="310" t="str">
        <f t="shared" ref="L766:L771" si="801">IF(C766="T14",F766*G766,"")</f>
        <v/>
      </c>
      <c r="M766" s="310" t="str">
        <f t="shared" ref="M766:M771" si="802">IF(C766="T16",G766*F766,"")</f>
        <v/>
      </c>
      <c r="N766" s="311" t="str">
        <f t="shared" ref="N766:N771" si="803">IF(C766="T20",G766*F766,"")</f>
        <v/>
      </c>
    </row>
    <row r="767" spans="1:14" s="294" customFormat="1">
      <c r="A767" s="297" t="s">
        <v>1515</v>
      </c>
      <c r="B767" s="298"/>
      <c r="C767" s="299" t="s">
        <v>1492</v>
      </c>
      <c r="D767" s="299">
        <v>1</v>
      </c>
      <c r="E767" s="300">
        <v>3</v>
      </c>
      <c r="F767" s="300">
        <f>E767*D767</f>
        <v>3</v>
      </c>
      <c r="G767" s="302">
        <f>(2.75)+17*0.014*2</f>
        <v>3.23</v>
      </c>
      <c r="H767" s="310" t="str">
        <f t="shared" si="797"/>
        <v/>
      </c>
      <c r="I767" s="311" t="str">
        <f t="shared" si="798"/>
        <v/>
      </c>
      <c r="J767" s="311" t="str">
        <f t="shared" si="799"/>
        <v/>
      </c>
      <c r="K767" s="311" t="str">
        <f t="shared" si="800"/>
        <v/>
      </c>
      <c r="L767" s="310">
        <f t="shared" si="801"/>
        <v>9.69</v>
      </c>
      <c r="M767" s="310" t="str">
        <f t="shared" si="802"/>
        <v/>
      </c>
      <c r="N767" s="311" t="str">
        <f t="shared" si="803"/>
        <v/>
      </c>
    </row>
    <row r="768" spans="1:14" s="294" customFormat="1">
      <c r="A768" s="297" t="s">
        <v>1494</v>
      </c>
      <c r="B768" s="301"/>
      <c r="C768" s="299" t="s">
        <v>1496</v>
      </c>
      <c r="D768" s="299">
        <v>1</v>
      </c>
      <c r="E768" s="300">
        <f>9+10+9</f>
        <v>28</v>
      </c>
      <c r="F768" s="300">
        <f t="shared" ref="F768:F769" si="804">E768*D768</f>
        <v>28</v>
      </c>
      <c r="G768" s="302">
        <f>(0.2+0.35)*2+17*0.008*2</f>
        <v>1.37</v>
      </c>
      <c r="H768" s="310" t="str">
        <f t="shared" si="797"/>
        <v/>
      </c>
      <c r="I768" s="311">
        <f t="shared" si="798"/>
        <v>38.36</v>
      </c>
      <c r="J768" s="311" t="str">
        <f t="shared" si="799"/>
        <v/>
      </c>
      <c r="K768" s="311" t="str">
        <f t="shared" si="800"/>
        <v/>
      </c>
      <c r="L768" s="310" t="str">
        <f t="shared" si="801"/>
        <v/>
      </c>
      <c r="M768" s="310" t="str">
        <f t="shared" si="802"/>
        <v/>
      </c>
      <c r="N768" s="311" t="str">
        <f t="shared" si="803"/>
        <v/>
      </c>
    </row>
    <row r="769" spans="1:14" s="294" customFormat="1">
      <c r="A769" s="297" t="s">
        <v>1517</v>
      </c>
      <c r="B769" s="301"/>
      <c r="C769" s="299" t="s">
        <v>1496</v>
      </c>
      <c r="D769" s="299">
        <v>1</v>
      </c>
      <c r="E769" s="300">
        <f>9+10+9</f>
        <v>28</v>
      </c>
      <c r="F769" s="300">
        <f t="shared" si="804"/>
        <v>28</v>
      </c>
      <c r="G769" s="302">
        <f>(0.35*2)+17*0.008*2</f>
        <v>0.97</v>
      </c>
      <c r="H769" s="310" t="str">
        <f t="shared" si="797"/>
        <v/>
      </c>
      <c r="I769" s="311">
        <f t="shared" si="798"/>
        <v>27.16</v>
      </c>
      <c r="J769" s="311" t="str">
        <f t="shared" si="799"/>
        <v/>
      </c>
      <c r="K769" s="311" t="str">
        <f t="shared" si="800"/>
        <v/>
      </c>
      <c r="L769" s="310" t="str">
        <f t="shared" si="801"/>
        <v/>
      </c>
      <c r="M769" s="310" t="str">
        <f t="shared" si="802"/>
        <v/>
      </c>
      <c r="N769" s="311" t="str">
        <f t="shared" si="803"/>
        <v/>
      </c>
    </row>
    <row r="770" spans="1:14">
      <c r="A770" s="297" t="s">
        <v>1520</v>
      </c>
      <c r="B770" s="254"/>
      <c r="C770" s="299" t="s">
        <v>1492</v>
      </c>
      <c r="D770" s="299">
        <v>1</v>
      </c>
      <c r="E770" s="300">
        <v>3</v>
      </c>
      <c r="F770" s="300">
        <f>E770*D770</f>
        <v>3</v>
      </c>
      <c r="G770" s="302">
        <v>3.5</v>
      </c>
      <c r="H770" s="310" t="str">
        <f t="shared" si="797"/>
        <v/>
      </c>
      <c r="I770" s="311" t="str">
        <f t="shared" si="798"/>
        <v/>
      </c>
      <c r="J770" s="311" t="str">
        <f t="shared" si="799"/>
        <v/>
      </c>
      <c r="K770" s="311" t="str">
        <f t="shared" si="800"/>
        <v/>
      </c>
      <c r="L770" s="310">
        <f t="shared" si="801"/>
        <v>10.5</v>
      </c>
      <c r="M770" s="310" t="str">
        <f t="shared" si="802"/>
        <v/>
      </c>
      <c r="N770" s="311" t="str">
        <f t="shared" si="803"/>
        <v/>
      </c>
    </row>
    <row r="771" spans="1:14">
      <c r="A771" s="253"/>
      <c r="B771" s="254"/>
      <c r="C771" s="299" t="s">
        <v>1516</v>
      </c>
      <c r="D771" s="299">
        <v>1</v>
      </c>
      <c r="E771" s="300">
        <v>3</v>
      </c>
      <c r="F771" s="300">
        <f>E771*D771</f>
        <v>3</v>
      </c>
      <c r="G771" s="302">
        <v>1</v>
      </c>
      <c r="H771" s="310" t="str">
        <f t="shared" si="797"/>
        <v/>
      </c>
      <c r="I771" s="311" t="str">
        <f t="shared" si="798"/>
        <v/>
      </c>
      <c r="J771" s="311" t="str">
        <f t="shared" si="799"/>
        <v/>
      </c>
      <c r="K771" s="311">
        <f t="shared" si="800"/>
        <v>3</v>
      </c>
      <c r="L771" s="310" t="str">
        <f t="shared" si="801"/>
        <v/>
      </c>
      <c r="M771" s="310" t="str">
        <f t="shared" si="802"/>
        <v/>
      </c>
      <c r="N771" s="311" t="str">
        <f t="shared" si="803"/>
        <v/>
      </c>
    </row>
    <row r="772" spans="1:14">
      <c r="A772" s="253"/>
      <c r="B772" s="254"/>
      <c r="C772" s="299"/>
      <c r="D772" s="299"/>
      <c r="E772" s="300"/>
      <c r="F772" s="300"/>
      <c r="G772" s="302"/>
      <c r="H772" s="310"/>
      <c r="I772" s="311"/>
      <c r="J772" s="311"/>
      <c r="K772" s="311"/>
      <c r="L772" s="310"/>
      <c r="M772" s="310"/>
      <c r="N772" s="311"/>
    </row>
    <row r="773" spans="1:14" ht="16.5">
      <c r="A773" s="303" t="s">
        <v>1621</v>
      </c>
      <c r="B773" s="254"/>
      <c r="C773" s="299"/>
      <c r="D773" s="299"/>
      <c r="E773" s="300"/>
      <c r="F773" s="300"/>
      <c r="G773" s="302"/>
      <c r="H773" s="310"/>
      <c r="I773" s="311"/>
      <c r="J773" s="311"/>
      <c r="K773" s="311"/>
      <c r="L773" s="310"/>
      <c r="M773" s="310"/>
      <c r="N773" s="311"/>
    </row>
    <row r="774" spans="1:14" s="294" customFormat="1">
      <c r="A774" s="297" t="s">
        <v>1515</v>
      </c>
      <c r="B774" s="298"/>
      <c r="C774" s="299" t="s">
        <v>1492</v>
      </c>
      <c r="D774" s="299">
        <v>1</v>
      </c>
      <c r="E774" s="300">
        <v>3</v>
      </c>
      <c r="F774" s="300">
        <f>E774*D774</f>
        <v>3</v>
      </c>
      <c r="G774" s="299">
        <f>(6.2)+17*0.014*2</f>
        <v>6.6760000000000002</v>
      </c>
      <c r="H774" s="310" t="str">
        <f t="shared" ref="H774:H781" si="805">IF(C774="T6",G774*F774,"")</f>
        <v/>
      </c>
      <c r="I774" s="311" t="str">
        <f t="shared" ref="I774:I781" si="806">IF(C774="T8",F774*G774,"")</f>
        <v/>
      </c>
      <c r="J774" s="311" t="str">
        <f t="shared" ref="J774:J781" si="807">IF(C774="T10",F774*G774,"")</f>
        <v/>
      </c>
      <c r="K774" s="311" t="str">
        <f t="shared" ref="K774:K781" si="808">IF(C774="T12",F774*G774,"")</f>
        <v/>
      </c>
      <c r="L774" s="310">
        <f t="shared" ref="L774:L781" si="809">IF(C774="T14",F774*G774,"")</f>
        <v>20.03</v>
      </c>
      <c r="M774" s="310" t="str">
        <f t="shared" ref="M774:M781" si="810">IF(C774="T16",G774*F774,"")</f>
        <v/>
      </c>
      <c r="N774" s="311" t="str">
        <f t="shared" ref="N774:N781" si="811">IF(C774="T20",G774*F774,"")</f>
        <v/>
      </c>
    </row>
    <row r="775" spans="1:14" s="294" customFormat="1">
      <c r="A775" s="297" t="s">
        <v>1515</v>
      </c>
      <c r="B775" s="298"/>
      <c r="C775" s="299" t="s">
        <v>1492</v>
      </c>
      <c r="D775" s="299">
        <v>1</v>
      </c>
      <c r="E775" s="300">
        <v>3</v>
      </c>
      <c r="F775" s="300">
        <f>E775*D775</f>
        <v>3</v>
      </c>
      <c r="G775" s="299">
        <f>(6.2)+17*0.014*2</f>
        <v>6.6760000000000002</v>
      </c>
      <c r="H775" s="310" t="str">
        <f t="shared" si="805"/>
        <v/>
      </c>
      <c r="I775" s="311" t="str">
        <f t="shared" si="806"/>
        <v/>
      </c>
      <c r="J775" s="311" t="str">
        <f t="shared" si="807"/>
        <v/>
      </c>
      <c r="K775" s="311" t="str">
        <f t="shared" si="808"/>
        <v/>
      </c>
      <c r="L775" s="310">
        <f t="shared" si="809"/>
        <v>20.03</v>
      </c>
      <c r="M775" s="310" t="str">
        <f t="shared" si="810"/>
        <v/>
      </c>
      <c r="N775" s="311" t="str">
        <f t="shared" si="811"/>
        <v/>
      </c>
    </row>
    <row r="776" spans="1:14" s="294" customFormat="1">
      <c r="A776" s="297"/>
      <c r="B776" s="298"/>
      <c r="C776" s="299" t="s">
        <v>1516</v>
      </c>
      <c r="D776" s="299">
        <v>1</v>
      </c>
      <c r="E776" s="300">
        <v>2</v>
      </c>
      <c r="F776" s="300">
        <f>E776*D776</f>
        <v>2</v>
      </c>
      <c r="G776" s="299">
        <v>6.2</v>
      </c>
      <c r="H776" s="310" t="str">
        <f t="shared" si="805"/>
        <v/>
      </c>
      <c r="I776" s="311" t="str">
        <f t="shared" si="806"/>
        <v/>
      </c>
      <c r="J776" s="311" t="str">
        <f t="shared" si="807"/>
        <v/>
      </c>
      <c r="K776" s="311">
        <f t="shared" si="808"/>
        <v>12.4</v>
      </c>
      <c r="L776" s="310" t="str">
        <f t="shared" si="809"/>
        <v/>
      </c>
      <c r="M776" s="310" t="str">
        <f t="shared" si="810"/>
        <v/>
      </c>
      <c r="N776" s="311" t="str">
        <f t="shared" si="811"/>
        <v/>
      </c>
    </row>
    <row r="777" spans="1:14" s="294" customFormat="1">
      <c r="A777" s="297" t="s">
        <v>1494</v>
      </c>
      <c r="B777" s="301"/>
      <c r="C777" s="299" t="s">
        <v>1496</v>
      </c>
      <c r="D777" s="299">
        <v>1</v>
      </c>
      <c r="E777" s="300">
        <f>18+20+18</f>
        <v>56</v>
      </c>
      <c r="F777" s="300">
        <f t="shared" ref="F777:F778" si="812">E777*D777</f>
        <v>56</v>
      </c>
      <c r="G777" s="302">
        <f>(0.2+0.55)*2+17*0.008*2</f>
        <v>1.77</v>
      </c>
      <c r="H777" s="310" t="str">
        <f t="shared" si="805"/>
        <v/>
      </c>
      <c r="I777" s="311">
        <f t="shared" si="806"/>
        <v>99.12</v>
      </c>
      <c r="J777" s="311" t="str">
        <f t="shared" si="807"/>
        <v/>
      </c>
      <c r="K777" s="311" t="str">
        <f t="shared" si="808"/>
        <v/>
      </c>
      <c r="L777" s="310" t="str">
        <f t="shared" si="809"/>
        <v/>
      </c>
      <c r="M777" s="310" t="str">
        <f t="shared" si="810"/>
        <v/>
      </c>
      <c r="N777" s="311" t="str">
        <f t="shared" si="811"/>
        <v/>
      </c>
    </row>
    <row r="778" spans="1:14" s="294" customFormat="1">
      <c r="A778" s="297" t="s">
        <v>1517</v>
      </c>
      <c r="B778" s="301"/>
      <c r="C778" s="299" t="s">
        <v>1496</v>
      </c>
      <c r="D778" s="299">
        <v>1</v>
      </c>
      <c r="E778" s="300">
        <f>18+20+18</f>
        <v>56</v>
      </c>
      <c r="F778" s="300">
        <f t="shared" si="812"/>
        <v>56</v>
      </c>
      <c r="G778" s="302">
        <f>(0.55*2)+17*0.008*2</f>
        <v>1.37</v>
      </c>
      <c r="H778" s="310" t="str">
        <f t="shared" si="805"/>
        <v/>
      </c>
      <c r="I778" s="311">
        <f t="shared" si="806"/>
        <v>76.72</v>
      </c>
      <c r="J778" s="311" t="str">
        <f t="shared" si="807"/>
        <v/>
      </c>
      <c r="K778" s="311" t="str">
        <f t="shared" si="808"/>
        <v/>
      </c>
      <c r="L778" s="310" t="str">
        <f t="shared" si="809"/>
        <v/>
      </c>
      <c r="M778" s="310" t="str">
        <f t="shared" si="810"/>
        <v/>
      </c>
      <c r="N778" s="311" t="str">
        <f t="shared" si="811"/>
        <v/>
      </c>
    </row>
    <row r="779" spans="1:14" s="294" customFormat="1">
      <c r="A779" s="297" t="s">
        <v>1518</v>
      </c>
      <c r="B779" s="301"/>
      <c r="C779" s="299" t="s">
        <v>1492</v>
      </c>
      <c r="D779" s="299">
        <v>1</v>
      </c>
      <c r="E779" s="300">
        <v>6</v>
      </c>
      <c r="F779" s="300">
        <f>E779*D779</f>
        <v>6</v>
      </c>
      <c r="G779" s="299">
        <v>2.6</v>
      </c>
      <c r="H779" s="310" t="str">
        <f t="shared" si="805"/>
        <v/>
      </c>
      <c r="I779" s="311" t="str">
        <f t="shared" si="806"/>
        <v/>
      </c>
      <c r="J779" s="311" t="str">
        <f t="shared" si="807"/>
        <v/>
      </c>
      <c r="K779" s="311" t="str">
        <f t="shared" si="808"/>
        <v/>
      </c>
      <c r="L779" s="310">
        <f t="shared" si="809"/>
        <v>15.6</v>
      </c>
      <c r="M779" s="310" t="str">
        <f t="shared" si="810"/>
        <v/>
      </c>
      <c r="N779" s="311" t="str">
        <f t="shared" si="811"/>
        <v/>
      </c>
    </row>
    <row r="780" spans="1:14">
      <c r="A780" s="297" t="s">
        <v>1520</v>
      </c>
      <c r="B780" s="254"/>
      <c r="C780" s="299" t="s">
        <v>1492</v>
      </c>
      <c r="D780" s="299">
        <v>1</v>
      </c>
      <c r="E780" s="300">
        <v>6</v>
      </c>
      <c r="F780" s="300">
        <f>E780*D780</f>
        <v>6</v>
      </c>
      <c r="G780" s="302">
        <v>3.5</v>
      </c>
      <c r="H780" s="310" t="str">
        <f t="shared" si="805"/>
        <v/>
      </c>
      <c r="I780" s="311" t="str">
        <f t="shared" si="806"/>
        <v/>
      </c>
      <c r="J780" s="311" t="str">
        <f t="shared" si="807"/>
        <v/>
      </c>
      <c r="K780" s="311" t="str">
        <f t="shared" si="808"/>
        <v/>
      </c>
      <c r="L780" s="310">
        <f t="shared" si="809"/>
        <v>21</v>
      </c>
      <c r="M780" s="310" t="str">
        <f t="shared" si="810"/>
        <v/>
      </c>
      <c r="N780" s="311" t="str">
        <f t="shared" si="811"/>
        <v/>
      </c>
    </row>
    <row r="781" spans="1:14">
      <c r="A781" s="253"/>
      <c r="B781" s="254"/>
      <c r="C781" s="299" t="s">
        <v>1492</v>
      </c>
      <c r="D781" s="299">
        <v>1</v>
      </c>
      <c r="E781" s="300">
        <v>3</v>
      </c>
      <c r="F781" s="300">
        <f>E781*D781</f>
        <v>3</v>
      </c>
      <c r="G781" s="302">
        <v>5.8</v>
      </c>
      <c r="H781" s="310" t="str">
        <f t="shared" si="805"/>
        <v/>
      </c>
      <c r="I781" s="311" t="str">
        <f t="shared" si="806"/>
        <v/>
      </c>
      <c r="J781" s="311" t="str">
        <f t="shared" si="807"/>
        <v/>
      </c>
      <c r="K781" s="311" t="str">
        <f t="shared" si="808"/>
        <v/>
      </c>
      <c r="L781" s="310">
        <f t="shared" si="809"/>
        <v>17.399999999999999</v>
      </c>
      <c r="M781" s="310" t="str">
        <f t="shared" si="810"/>
        <v/>
      </c>
      <c r="N781" s="311" t="str">
        <f t="shared" si="811"/>
        <v/>
      </c>
    </row>
    <row r="782" spans="1:14">
      <c r="A782" s="253"/>
      <c r="B782" s="254"/>
      <c r="C782" s="299"/>
      <c r="D782" s="299"/>
      <c r="E782" s="300"/>
      <c r="F782" s="300"/>
      <c r="G782" s="302"/>
      <c r="H782" s="310"/>
      <c r="I782" s="311"/>
      <c r="J782" s="311"/>
      <c r="K782" s="311"/>
      <c r="L782" s="310"/>
      <c r="M782" s="310"/>
      <c r="N782" s="311"/>
    </row>
    <row r="783" spans="1:14" ht="16.5">
      <c r="A783" s="303" t="s">
        <v>1620</v>
      </c>
      <c r="B783" s="254"/>
      <c r="C783" s="299"/>
      <c r="D783" s="299"/>
      <c r="E783" s="300"/>
      <c r="F783" s="300"/>
      <c r="G783" s="302"/>
      <c r="H783" s="310"/>
      <c r="I783" s="311"/>
      <c r="J783" s="311"/>
      <c r="K783" s="311"/>
      <c r="L783" s="310"/>
      <c r="M783" s="310"/>
      <c r="N783" s="311"/>
    </row>
    <row r="784" spans="1:14" s="294" customFormat="1">
      <c r="A784" s="297" t="s">
        <v>1515</v>
      </c>
      <c r="B784" s="298"/>
      <c r="C784" s="299" t="s">
        <v>1519</v>
      </c>
      <c r="D784" s="299">
        <v>1</v>
      </c>
      <c r="E784" s="300">
        <v>3</v>
      </c>
      <c r="F784" s="300">
        <f>E784*D784</f>
        <v>3</v>
      </c>
      <c r="G784" s="299">
        <f>(2.75)+17*0.01*2</f>
        <v>3.09</v>
      </c>
      <c r="H784" s="310" t="str">
        <f t="shared" ref="H784:H789" si="813">IF(C784="T6",G784*F784,"")</f>
        <v/>
      </c>
      <c r="I784" s="311" t="str">
        <f t="shared" ref="I784:I789" si="814">IF(C784="T8",F784*G784,"")</f>
        <v/>
      </c>
      <c r="J784" s="311">
        <f t="shared" ref="J784:J789" si="815">IF(C784="T10",F784*G784,"")</f>
        <v>9.27</v>
      </c>
      <c r="K784" s="311" t="str">
        <f t="shared" ref="K784:K789" si="816">IF(C784="T12",F784*G784,"")</f>
        <v/>
      </c>
      <c r="L784" s="310" t="str">
        <f t="shared" ref="L784:L789" si="817">IF(C784="T14",F784*G784,"")</f>
        <v/>
      </c>
      <c r="M784" s="310" t="str">
        <f t="shared" ref="M784:M789" si="818">IF(C784="T16",G784*F784,"")</f>
        <v/>
      </c>
      <c r="N784" s="311" t="str">
        <f t="shared" ref="N784:N789" si="819">IF(C784="T20",G784*F784,"")</f>
        <v/>
      </c>
    </row>
    <row r="785" spans="1:14" s="294" customFormat="1">
      <c r="A785" s="297" t="s">
        <v>1515</v>
      </c>
      <c r="B785" s="298"/>
      <c r="C785" s="299" t="s">
        <v>1492</v>
      </c>
      <c r="D785" s="299">
        <v>1</v>
      </c>
      <c r="E785" s="300">
        <v>3</v>
      </c>
      <c r="F785" s="300">
        <f>E785*D785</f>
        <v>3</v>
      </c>
      <c r="G785" s="302">
        <f>(2.75)+17*0.014*2</f>
        <v>3.23</v>
      </c>
      <c r="H785" s="310" t="str">
        <f t="shared" si="813"/>
        <v/>
      </c>
      <c r="I785" s="311" t="str">
        <f t="shared" si="814"/>
        <v/>
      </c>
      <c r="J785" s="311" t="str">
        <f t="shared" si="815"/>
        <v/>
      </c>
      <c r="K785" s="311" t="str">
        <f t="shared" si="816"/>
        <v/>
      </c>
      <c r="L785" s="310">
        <f t="shared" si="817"/>
        <v>9.69</v>
      </c>
      <c r="M785" s="310" t="str">
        <f t="shared" si="818"/>
        <v/>
      </c>
      <c r="N785" s="311" t="str">
        <f t="shared" si="819"/>
        <v/>
      </c>
    </row>
    <row r="786" spans="1:14" s="294" customFormat="1">
      <c r="A786" s="297" t="s">
        <v>1494</v>
      </c>
      <c r="B786" s="301"/>
      <c r="C786" s="299" t="s">
        <v>1496</v>
      </c>
      <c r="D786" s="299">
        <v>1</v>
      </c>
      <c r="E786" s="300">
        <f>9+10+9</f>
        <v>28</v>
      </c>
      <c r="F786" s="300">
        <f t="shared" ref="F786:F787" si="820">E786*D786</f>
        <v>28</v>
      </c>
      <c r="G786" s="302">
        <f>(0.2+0.35)*2+17*0.008*2</f>
        <v>1.37</v>
      </c>
      <c r="H786" s="310" t="str">
        <f t="shared" si="813"/>
        <v/>
      </c>
      <c r="I786" s="311">
        <f t="shared" si="814"/>
        <v>38.36</v>
      </c>
      <c r="J786" s="311" t="str">
        <f t="shared" si="815"/>
        <v/>
      </c>
      <c r="K786" s="311" t="str">
        <f t="shared" si="816"/>
        <v/>
      </c>
      <c r="L786" s="310" t="str">
        <f t="shared" si="817"/>
        <v/>
      </c>
      <c r="M786" s="310" t="str">
        <f t="shared" si="818"/>
        <v/>
      </c>
      <c r="N786" s="311" t="str">
        <f t="shared" si="819"/>
        <v/>
      </c>
    </row>
    <row r="787" spans="1:14" s="294" customFormat="1">
      <c r="A787" s="297" t="s">
        <v>1517</v>
      </c>
      <c r="B787" s="301"/>
      <c r="C787" s="299" t="s">
        <v>1496</v>
      </c>
      <c r="D787" s="299">
        <v>1</v>
      </c>
      <c r="E787" s="300">
        <f>9+10+9</f>
        <v>28</v>
      </c>
      <c r="F787" s="300">
        <f t="shared" si="820"/>
        <v>28</v>
      </c>
      <c r="G787" s="302">
        <f>(0.35*2)+17*0.008*2</f>
        <v>0.97</v>
      </c>
      <c r="H787" s="310" t="str">
        <f t="shared" si="813"/>
        <v/>
      </c>
      <c r="I787" s="311">
        <f t="shared" si="814"/>
        <v>27.16</v>
      </c>
      <c r="J787" s="311" t="str">
        <f t="shared" si="815"/>
        <v/>
      </c>
      <c r="K787" s="311" t="str">
        <f t="shared" si="816"/>
        <v/>
      </c>
      <c r="L787" s="310" t="str">
        <f t="shared" si="817"/>
        <v/>
      </c>
      <c r="M787" s="310" t="str">
        <f t="shared" si="818"/>
        <v/>
      </c>
      <c r="N787" s="311" t="str">
        <f t="shared" si="819"/>
        <v/>
      </c>
    </row>
    <row r="788" spans="1:14">
      <c r="A788" s="297" t="s">
        <v>1520</v>
      </c>
      <c r="B788" s="254"/>
      <c r="C788" s="299" t="s">
        <v>1492</v>
      </c>
      <c r="D788" s="299">
        <v>1</v>
      </c>
      <c r="E788" s="300">
        <v>3</v>
      </c>
      <c r="F788" s="300">
        <f>E788*D788</f>
        <v>3</v>
      </c>
      <c r="G788" s="302">
        <v>3.5</v>
      </c>
      <c r="H788" s="310" t="str">
        <f t="shared" si="813"/>
        <v/>
      </c>
      <c r="I788" s="311" t="str">
        <f t="shared" si="814"/>
        <v/>
      </c>
      <c r="J788" s="311" t="str">
        <f t="shared" si="815"/>
        <v/>
      </c>
      <c r="K788" s="311" t="str">
        <f t="shared" si="816"/>
        <v/>
      </c>
      <c r="L788" s="310">
        <f t="shared" si="817"/>
        <v>10.5</v>
      </c>
      <c r="M788" s="310" t="str">
        <f t="shared" si="818"/>
        <v/>
      </c>
      <c r="N788" s="311" t="str">
        <f t="shared" si="819"/>
        <v/>
      </c>
    </row>
    <row r="789" spans="1:14">
      <c r="A789" s="253"/>
      <c r="B789" s="254"/>
      <c r="C789" s="299" t="s">
        <v>1516</v>
      </c>
      <c r="D789" s="299">
        <v>1</v>
      </c>
      <c r="E789" s="300">
        <v>3</v>
      </c>
      <c r="F789" s="300">
        <f>E789*D789</f>
        <v>3</v>
      </c>
      <c r="G789" s="302">
        <v>1</v>
      </c>
      <c r="H789" s="310" t="str">
        <f t="shared" si="813"/>
        <v/>
      </c>
      <c r="I789" s="311" t="str">
        <f t="shared" si="814"/>
        <v/>
      </c>
      <c r="J789" s="311" t="str">
        <f t="shared" si="815"/>
        <v/>
      </c>
      <c r="K789" s="311">
        <f t="shared" si="816"/>
        <v>3</v>
      </c>
      <c r="L789" s="310" t="str">
        <f t="shared" si="817"/>
        <v/>
      </c>
      <c r="M789" s="310" t="str">
        <f t="shared" si="818"/>
        <v/>
      </c>
      <c r="N789" s="311" t="str">
        <f t="shared" si="819"/>
        <v/>
      </c>
    </row>
    <row r="790" spans="1:14">
      <c r="A790" s="297"/>
      <c r="B790" s="254"/>
      <c r="C790" s="299"/>
      <c r="D790" s="299"/>
      <c r="E790" s="300"/>
      <c r="F790" s="300"/>
      <c r="G790" s="302"/>
      <c r="H790" s="310"/>
      <c r="I790" s="311"/>
      <c r="J790" s="311"/>
      <c r="K790" s="311"/>
      <c r="L790" s="310"/>
      <c r="M790" s="310"/>
      <c r="N790" s="311"/>
    </row>
    <row r="791" spans="1:14" ht="16.5">
      <c r="A791" s="303" t="s">
        <v>1619</v>
      </c>
      <c r="B791" s="254"/>
      <c r="C791" s="299"/>
      <c r="D791" s="299"/>
      <c r="E791" s="300"/>
      <c r="F791" s="300"/>
      <c r="G791" s="302"/>
      <c r="H791" s="310"/>
      <c r="I791" s="311"/>
      <c r="J791" s="311"/>
      <c r="K791" s="311"/>
      <c r="L791" s="310"/>
      <c r="M791" s="310"/>
      <c r="N791" s="311"/>
    </row>
    <row r="792" spans="1:14" s="294" customFormat="1">
      <c r="A792" s="297" t="s">
        <v>1515</v>
      </c>
      <c r="B792" s="298"/>
      <c r="C792" s="299" t="s">
        <v>1519</v>
      </c>
      <c r="D792" s="299">
        <v>1</v>
      </c>
      <c r="E792" s="300">
        <v>3</v>
      </c>
      <c r="F792" s="300">
        <f>E792*D792</f>
        <v>3</v>
      </c>
      <c r="G792" s="299">
        <f>(2.75)+17*0.01*2</f>
        <v>3.09</v>
      </c>
      <c r="H792" s="310" t="str">
        <f t="shared" ref="H792:H797" si="821">IF(C792="T6",G792*F792,"")</f>
        <v/>
      </c>
      <c r="I792" s="311" t="str">
        <f t="shared" ref="I792:I797" si="822">IF(C792="T8",F792*G792,"")</f>
        <v/>
      </c>
      <c r="J792" s="311">
        <f t="shared" ref="J792:J797" si="823">IF(C792="T10",F792*G792,"")</f>
        <v>9.27</v>
      </c>
      <c r="K792" s="311" t="str">
        <f t="shared" ref="K792:K797" si="824">IF(C792="T12",F792*G792,"")</f>
        <v/>
      </c>
      <c r="L792" s="310" t="str">
        <f t="shared" ref="L792:L797" si="825">IF(C792="T14",F792*G792,"")</f>
        <v/>
      </c>
      <c r="M792" s="310" t="str">
        <f t="shared" ref="M792:M797" si="826">IF(C792="T16",G792*F792,"")</f>
        <v/>
      </c>
      <c r="N792" s="311" t="str">
        <f t="shared" ref="N792:N797" si="827">IF(C792="T20",G792*F792,"")</f>
        <v/>
      </c>
    </row>
    <row r="793" spans="1:14" s="294" customFormat="1">
      <c r="A793" s="297" t="s">
        <v>1515</v>
      </c>
      <c r="B793" s="298"/>
      <c r="C793" s="299" t="s">
        <v>1492</v>
      </c>
      <c r="D793" s="299">
        <v>1</v>
      </c>
      <c r="E793" s="300">
        <v>3</v>
      </c>
      <c r="F793" s="300">
        <f>E793*D793</f>
        <v>3</v>
      </c>
      <c r="G793" s="302">
        <f>(2.75)+17*0.014*2</f>
        <v>3.23</v>
      </c>
      <c r="H793" s="310" t="str">
        <f t="shared" si="821"/>
        <v/>
      </c>
      <c r="I793" s="311" t="str">
        <f t="shared" si="822"/>
        <v/>
      </c>
      <c r="J793" s="311" t="str">
        <f t="shared" si="823"/>
        <v/>
      </c>
      <c r="K793" s="311" t="str">
        <f t="shared" si="824"/>
        <v/>
      </c>
      <c r="L793" s="310">
        <f t="shared" si="825"/>
        <v>9.69</v>
      </c>
      <c r="M793" s="310" t="str">
        <f t="shared" si="826"/>
        <v/>
      </c>
      <c r="N793" s="311" t="str">
        <f t="shared" si="827"/>
        <v/>
      </c>
    </row>
    <row r="794" spans="1:14" s="294" customFormat="1">
      <c r="A794" s="297" t="s">
        <v>1494</v>
      </c>
      <c r="B794" s="301"/>
      <c r="C794" s="299" t="s">
        <v>1496</v>
      </c>
      <c r="D794" s="299">
        <v>1</v>
      </c>
      <c r="E794" s="300">
        <f>9+10+9</f>
        <v>28</v>
      </c>
      <c r="F794" s="300">
        <f t="shared" ref="F794:F795" si="828">E794*D794</f>
        <v>28</v>
      </c>
      <c r="G794" s="302">
        <f>(0.2+0.35)*2+17*0.008*2</f>
        <v>1.37</v>
      </c>
      <c r="H794" s="310" t="str">
        <f t="shared" si="821"/>
        <v/>
      </c>
      <c r="I794" s="311">
        <f t="shared" si="822"/>
        <v>38.36</v>
      </c>
      <c r="J794" s="311" t="str">
        <f t="shared" si="823"/>
        <v/>
      </c>
      <c r="K794" s="311" t="str">
        <f t="shared" si="824"/>
        <v/>
      </c>
      <c r="L794" s="310" t="str">
        <f t="shared" si="825"/>
        <v/>
      </c>
      <c r="M794" s="310" t="str">
        <f t="shared" si="826"/>
        <v/>
      </c>
      <c r="N794" s="311" t="str">
        <f t="shared" si="827"/>
        <v/>
      </c>
    </row>
    <row r="795" spans="1:14" s="294" customFormat="1">
      <c r="A795" s="297" t="s">
        <v>1517</v>
      </c>
      <c r="B795" s="301"/>
      <c r="C795" s="299" t="s">
        <v>1496</v>
      </c>
      <c r="D795" s="299">
        <v>1</v>
      </c>
      <c r="E795" s="300">
        <f>9+10+9</f>
        <v>28</v>
      </c>
      <c r="F795" s="300">
        <f t="shared" si="828"/>
        <v>28</v>
      </c>
      <c r="G795" s="302">
        <f>(0.35*2)+17*0.008*2</f>
        <v>0.97</v>
      </c>
      <c r="H795" s="310" t="str">
        <f t="shared" si="821"/>
        <v/>
      </c>
      <c r="I795" s="311">
        <f t="shared" si="822"/>
        <v>27.16</v>
      </c>
      <c r="J795" s="311" t="str">
        <f t="shared" si="823"/>
        <v/>
      </c>
      <c r="K795" s="311" t="str">
        <f t="shared" si="824"/>
        <v/>
      </c>
      <c r="L795" s="310" t="str">
        <f t="shared" si="825"/>
        <v/>
      </c>
      <c r="M795" s="310" t="str">
        <f t="shared" si="826"/>
        <v/>
      </c>
      <c r="N795" s="311" t="str">
        <f t="shared" si="827"/>
        <v/>
      </c>
    </row>
    <row r="796" spans="1:14">
      <c r="A796" s="297" t="s">
        <v>1520</v>
      </c>
      <c r="B796" s="254"/>
      <c r="C796" s="299" t="s">
        <v>1492</v>
      </c>
      <c r="D796" s="299">
        <v>1</v>
      </c>
      <c r="E796" s="300">
        <v>3</v>
      </c>
      <c r="F796" s="300">
        <f>E796*D796</f>
        <v>3</v>
      </c>
      <c r="G796" s="302">
        <v>3.5</v>
      </c>
      <c r="H796" s="310" t="str">
        <f t="shared" si="821"/>
        <v/>
      </c>
      <c r="I796" s="311" t="str">
        <f t="shared" si="822"/>
        <v/>
      </c>
      <c r="J796" s="311" t="str">
        <f t="shared" si="823"/>
        <v/>
      </c>
      <c r="K796" s="311" t="str">
        <f t="shared" si="824"/>
        <v/>
      </c>
      <c r="L796" s="310">
        <f t="shared" si="825"/>
        <v>10.5</v>
      </c>
      <c r="M796" s="310" t="str">
        <f t="shared" si="826"/>
        <v/>
      </c>
      <c r="N796" s="311" t="str">
        <f t="shared" si="827"/>
        <v/>
      </c>
    </row>
    <row r="797" spans="1:14">
      <c r="A797" s="253"/>
      <c r="B797" s="254"/>
      <c r="C797" s="299" t="s">
        <v>1516</v>
      </c>
      <c r="D797" s="299">
        <v>1</v>
      </c>
      <c r="E797" s="300">
        <v>3</v>
      </c>
      <c r="F797" s="300">
        <f>E797*D797</f>
        <v>3</v>
      </c>
      <c r="G797" s="302">
        <v>1</v>
      </c>
      <c r="H797" s="310" t="str">
        <f t="shared" si="821"/>
        <v/>
      </c>
      <c r="I797" s="311" t="str">
        <f t="shared" si="822"/>
        <v/>
      </c>
      <c r="J797" s="311" t="str">
        <f t="shared" si="823"/>
        <v/>
      </c>
      <c r="K797" s="311">
        <f t="shared" si="824"/>
        <v>3</v>
      </c>
      <c r="L797" s="310" t="str">
        <f t="shared" si="825"/>
        <v/>
      </c>
      <c r="M797" s="310" t="str">
        <f t="shared" si="826"/>
        <v/>
      </c>
      <c r="N797" s="311" t="str">
        <f t="shared" si="827"/>
        <v/>
      </c>
    </row>
    <row r="798" spans="1:14">
      <c r="A798" s="253"/>
      <c r="B798" s="254"/>
      <c r="C798" s="299"/>
      <c r="D798" s="299"/>
      <c r="E798" s="300"/>
      <c r="F798" s="300"/>
      <c r="G798" s="302"/>
      <c r="H798" s="310"/>
      <c r="I798" s="311"/>
      <c r="J798" s="311"/>
      <c r="K798" s="311"/>
      <c r="L798" s="310"/>
      <c r="M798" s="310"/>
      <c r="N798" s="311"/>
    </row>
    <row r="799" spans="1:14" ht="16.5">
      <c r="A799" s="303" t="s">
        <v>1618</v>
      </c>
      <c r="B799" s="254"/>
      <c r="C799" s="299"/>
      <c r="D799" s="299"/>
      <c r="E799" s="300"/>
      <c r="F799" s="300"/>
      <c r="G799" s="302"/>
      <c r="H799" s="310"/>
      <c r="I799" s="311"/>
      <c r="J799" s="311"/>
      <c r="K799" s="311"/>
      <c r="L799" s="310"/>
      <c r="M799" s="310"/>
      <c r="N799" s="311"/>
    </row>
    <row r="800" spans="1:14" s="294" customFormat="1">
      <c r="A800" s="297" t="s">
        <v>1515</v>
      </c>
      <c r="B800" s="298"/>
      <c r="C800" s="299" t="s">
        <v>1519</v>
      </c>
      <c r="D800" s="299">
        <v>1</v>
      </c>
      <c r="E800" s="300">
        <v>3</v>
      </c>
      <c r="F800" s="300">
        <f>E800*D800</f>
        <v>3</v>
      </c>
      <c r="G800" s="299">
        <f>(2.7)+17*0.01*2</f>
        <v>3.04</v>
      </c>
      <c r="H800" s="310" t="str">
        <f t="shared" ref="H800:H805" si="829">IF(C800="T6",G800*F800,"")</f>
        <v/>
      </c>
      <c r="I800" s="311" t="str">
        <f t="shared" ref="I800:I805" si="830">IF(C800="T8",F800*G800,"")</f>
        <v/>
      </c>
      <c r="J800" s="311">
        <f t="shared" ref="J800:J805" si="831">IF(C800="T10",F800*G800,"")</f>
        <v>9.1199999999999992</v>
      </c>
      <c r="K800" s="311" t="str">
        <f t="shared" ref="K800:K805" si="832">IF(C800="T12",F800*G800,"")</f>
        <v/>
      </c>
      <c r="L800" s="310" t="str">
        <f t="shared" ref="L800:L805" si="833">IF(C800="T14",F800*G800,"")</f>
        <v/>
      </c>
      <c r="M800" s="310" t="str">
        <f t="shared" ref="M800:M805" si="834">IF(C800="T16",G800*F800,"")</f>
        <v/>
      </c>
      <c r="N800" s="311" t="str">
        <f t="shared" ref="N800:N805" si="835">IF(C800="T20",G800*F800,"")</f>
        <v/>
      </c>
    </row>
    <row r="801" spans="1:14" s="294" customFormat="1">
      <c r="A801" s="297" t="s">
        <v>1515</v>
      </c>
      <c r="B801" s="298"/>
      <c r="C801" s="299" t="s">
        <v>1492</v>
      </c>
      <c r="D801" s="299">
        <v>1</v>
      </c>
      <c r="E801" s="300">
        <v>3</v>
      </c>
      <c r="F801" s="300">
        <f>E801*D801</f>
        <v>3</v>
      </c>
      <c r="G801" s="302">
        <f>(2.7)+17*0.014*2</f>
        <v>3.18</v>
      </c>
      <c r="H801" s="310" t="str">
        <f t="shared" si="829"/>
        <v/>
      </c>
      <c r="I801" s="311" t="str">
        <f t="shared" si="830"/>
        <v/>
      </c>
      <c r="J801" s="311" t="str">
        <f t="shared" si="831"/>
        <v/>
      </c>
      <c r="K801" s="311" t="str">
        <f t="shared" si="832"/>
        <v/>
      </c>
      <c r="L801" s="310">
        <f t="shared" si="833"/>
        <v>9.5399999999999991</v>
      </c>
      <c r="M801" s="310" t="str">
        <f t="shared" si="834"/>
        <v/>
      </c>
      <c r="N801" s="311" t="str">
        <f t="shared" si="835"/>
        <v/>
      </c>
    </row>
    <row r="802" spans="1:14" s="294" customFormat="1">
      <c r="A802" s="297" t="s">
        <v>1494</v>
      </c>
      <c r="B802" s="301"/>
      <c r="C802" s="299" t="s">
        <v>1496</v>
      </c>
      <c r="D802" s="299">
        <v>1</v>
      </c>
      <c r="E802" s="300">
        <f>9+7+9</f>
        <v>25</v>
      </c>
      <c r="F802" s="300">
        <f t="shared" ref="F802:F803" si="836">E802*D802</f>
        <v>25</v>
      </c>
      <c r="G802" s="302">
        <f>(0.2+0.35)*2+17*0.008*2</f>
        <v>1.37</v>
      </c>
      <c r="H802" s="310" t="str">
        <f t="shared" si="829"/>
        <v/>
      </c>
      <c r="I802" s="311">
        <f t="shared" si="830"/>
        <v>34.25</v>
      </c>
      <c r="J802" s="311" t="str">
        <f t="shared" si="831"/>
        <v/>
      </c>
      <c r="K802" s="311" t="str">
        <f t="shared" si="832"/>
        <v/>
      </c>
      <c r="L802" s="310" t="str">
        <f t="shared" si="833"/>
        <v/>
      </c>
      <c r="M802" s="310" t="str">
        <f t="shared" si="834"/>
        <v/>
      </c>
      <c r="N802" s="311" t="str">
        <f t="shared" si="835"/>
        <v/>
      </c>
    </row>
    <row r="803" spans="1:14" s="294" customFormat="1">
      <c r="A803" s="297" t="s">
        <v>1517</v>
      </c>
      <c r="B803" s="301"/>
      <c r="C803" s="299" t="s">
        <v>1496</v>
      </c>
      <c r="D803" s="299">
        <v>1</v>
      </c>
      <c r="E803" s="300">
        <f>9+7+9</f>
        <v>25</v>
      </c>
      <c r="F803" s="300">
        <f t="shared" si="836"/>
        <v>25</v>
      </c>
      <c r="G803" s="302">
        <f>(0.35*2)+17*0.008*2</f>
        <v>0.97</v>
      </c>
      <c r="H803" s="310" t="str">
        <f t="shared" si="829"/>
        <v/>
      </c>
      <c r="I803" s="311">
        <f t="shared" si="830"/>
        <v>24.25</v>
      </c>
      <c r="J803" s="311" t="str">
        <f t="shared" si="831"/>
        <v/>
      </c>
      <c r="K803" s="311" t="str">
        <f t="shared" si="832"/>
        <v/>
      </c>
      <c r="L803" s="310" t="str">
        <f t="shared" si="833"/>
        <v/>
      </c>
      <c r="M803" s="310" t="str">
        <f t="shared" si="834"/>
        <v/>
      </c>
      <c r="N803" s="311" t="str">
        <f t="shared" si="835"/>
        <v/>
      </c>
    </row>
    <row r="804" spans="1:14">
      <c r="A804" s="297" t="s">
        <v>1520</v>
      </c>
      <c r="B804" s="254"/>
      <c r="C804" s="299" t="s">
        <v>1492</v>
      </c>
      <c r="D804" s="299">
        <v>1</v>
      </c>
      <c r="E804" s="300">
        <v>3</v>
      </c>
      <c r="F804" s="300">
        <f>E804*D804</f>
        <v>3</v>
      </c>
      <c r="G804" s="302">
        <v>1.6</v>
      </c>
      <c r="H804" s="310" t="str">
        <f t="shared" si="829"/>
        <v/>
      </c>
      <c r="I804" s="311" t="str">
        <f t="shared" si="830"/>
        <v/>
      </c>
      <c r="J804" s="311" t="str">
        <f t="shared" si="831"/>
        <v/>
      </c>
      <c r="K804" s="311" t="str">
        <f t="shared" si="832"/>
        <v/>
      </c>
      <c r="L804" s="310">
        <f t="shared" si="833"/>
        <v>4.8</v>
      </c>
      <c r="M804" s="310" t="str">
        <f t="shared" si="834"/>
        <v/>
      </c>
      <c r="N804" s="311" t="str">
        <f t="shared" si="835"/>
        <v/>
      </c>
    </row>
    <row r="805" spans="1:14">
      <c r="A805" s="253"/>
      <c r="B805" s="254"/>
      <c r="C805" s="299" t="s">
        <v>1498</v>
      </c>
      <c r="D805" s="299">
        <v>1</v>
      </c>
      <c r="E805" s="300">
        <v>6</v>
      </c>
      <c r="F805" s="300">
        <f>E805*D805</f>
        <v>6</v>
      </c>
      <c r="G805" s="302">
        <v>3.8</v>
      </c>
      <c r="H805" s="310" t="str">
        <f t="shared" si="829"/>
        <v/>
      </c>
      <c r="I805" s="311" t="str">
        <f t="shared" si="830"/>
        <v/>
      </c>
      <c r="J805" s="311" t="str">
        <f t="shared" si="831"/>
        <v/>
      </c>
      <c r="K805" s="311" t="str">
        <f t="shared" si="832"/>
        <v/>
      </c>
      <c r="L805" s="310" t="str">
        <f t="shared" si="833"/>
        <v/>
      </c>
      <c r="M805" s="310">
        <f t="shared" si="834"/>
        <v>22.8</v>
      </c>
      <c r="N805" s="311" t="str">
        <f t="shared" si="835"/>
        <v/>
      </c>
    </row>
    <row r="806" spans="1:14">
      <c r="A806" s="253"/>
      <c r="B806" s="254"/>
      <c r="C806" s="299"/>
      <c r="D806" s="299"/>
      <c r="E806" s="300"/>
      <c r="F806" s="300"/>
      <c r="G806" s="302"/>
      <c r="H806" s="310"/>
      <c r="I806" s="311"/>
      <c r="J806" s="311"/>
      <c r="K806" s="311"/>
      <c r="L806" s="310"/>
      <c r="M806" s="310"/>
      <c r="N806" s="311"/>
    </row>
    <row r="807" spans="1:14" ht="16.5">
      <c r="A807" s="303" t="s">
        <v>1617</v>
      </c>
      <c r="B807" s="254"/>
      <c r="C807" s="299"/>
      <c r="D807" s="299"/>
      <c r="E807" s="300"/>
      <c r="F807" s="300"/>
      <c r="G807" s="302"/>
      <c r="H807" s="310"/>
      <c r="I807" s="311"/>
      <c r="J807" s="311"/>
      <c r="K807" s="311"/>
      <c r="L807" s="310"/>
      <c r="M807" s="310"/>
      <c r="N807" s="311"/>
    </row>
    <row r="808" spans="1:14" s="294" customFormat="1">
      <c r="A808" s="297" t="s">
        <v>1515</v>
      </c>
      <c r="B808" s="298"/>
      <c r="C808" s="299" t="s">
        <v>1492</v>
      </c>
      <c r="D808" s="299">
        <v>1</v>
      </c>
      <c r="E808" s="300">
        <v>3</v>
      </c>
      <c r="F808" s="300">
        <f>E808*D808</f>
        <v>3</v>
      </c>
      <c r="G808" s="299">
        <f>(5.45)+17*0.014*2</f>
        <v>5.9260000000000002</v>
      </c>
      <c r="H808" s="310" t="str">
        <f t="shared" ref="H808:H816" si="837">IF(C808="T6",G808*F808,"")</f>
        <v/>
      </c>
      <c r="I808" s="311" t="str">
        <f t="shared" ref="I808:I816" si="838">IF(C808="T8",F808*G808,"")</f>
        <v/>
      </c>
      <c r="J808" s="311" t="str">
        <f t="shared" ref="J808:J816" si="839">IF(C808="T10",F808*G808,"")</f>
        <v/>
      </c>
      <c r="K808" s="311" t="str">
        <f t="shared" ref="K808:K816" si="840">IF(C808="T12",F808*G808,"")</f>
        <v/>
      </c>
      <c r="L808" s="310">
        <f t="shared" ref="L808:L816" si="841">IF(C808="T14",F808*G808,"")</f>
        <v>17.78</v>
      </c>
      <c r="M808" s="310" t="str">
        <f t="shared" ref="M808:M816" si="842">IF(C808="T16",G808*F808,"")</f>
        <v/>
      </c>
      <c r="N808" s="311" t="str">
        <f t="shared" ref="N808:N816" si="843">IF(C808="T20",G808*F808,"")</f>
        <v/>
      </c>
    </row>
    <row r="809" spans="1:14" s="294" customFormat="1">
      <c r="A809" s="297" t="s">
        <v>1515</v>
      </c>
      <c r="B809" s="298"/>
      <c r="C809" s="299" t="s">
        <v>1498</v>
      </c>
      <c r="D809" s="299">
        <v>1</v>
      </c>
      <c r="E809" s="300">
        <v>3</v>
      </c>
      <c r="F809" s="300">
        <f>E809*D809</f>
        <v>3</v>
      </c>
      <c r="G809" s="299">
        <f>(5.45)+17*0.016*2</f>
        <v>5.9939999999999998</v>
      </c>
      <c r="H809" s="310" t="str">
        <f t="shared" si="837"/>
        <v/>
      </c>
      <c r="I809" s="311" t="str">
        <f t="shared" si="838"/>
        <v/>
      </c>
      <c r="J809" s="311" t="str">
        <f t="shared" si="839"/>
        <v/>
      </c>
      <c r="K809" s="311" t="str">
        <f t="shared" si="840"/>
        <v/>
      </c>
      <c r="L809" s="310" t="str">
        <f t="shared" si="841"/>
        <v/>
      </c>
      <c r="M809" s="310">
        <f t="shared" si="842"/>
        <v>17.98</v>
      </c>
      <c r="N809" s="311" t="str">
        <f t="shared" si="843"/>
        <v/>
      </c>
    </row>
    <row r="810" spans="1:14" s="294" customFormat="1">
      <c r="A810" s="297"/>
      <c r="B810" s="298"/>
      <c r="C810" s="299" t="s">
        <v>1516</v>
      </c>
      <c r="D810" s="299">
        <v>1</v>
      </c>
      <c r="E810" s="300">
        <v>2</v>
      </c>
      <c r="F810" s="300">
        <f>E810*D810</f>
        <v>2</v>
      </c>
      <c r="G810" s="299">
        <v>5.45</v>
      </c>
      <c r="H810" s="310" t="str">
        <f t="shared" ref="H810" si="844">IF(C810="T6",G810*F810,"")</f>
        <v/>
      </c>
      <c r="I810" s="311" t="str">
        <f t="shared" ref="I810" si="845">IF(C810="T8",F810*G810,"")</f>
        <v/>
      </c>
      <c r="J810" s="311" t="str">
        <f t="shared" ref="J810" si="846">IF(C810="T10",F810*G810,"")</f>
        <v/>
      </c>
      <c r="K810" s="311">
        <f t="shared" ref="K810" si="847">IF(C810="T12",F810*G810,"")</f>
        <v>10.9</v>
      </c>
      <c r="L810" s="310" t="str">
        <f t="shared" ref="L810" si="848">IF(C810="T14",F810*G810,"")</f>
        <v/>
      </c>
      <c r="M810" s="310" t="str">
        <f t="shared" ref="M810" si="849">IF(C810="T16",G810*F810,"")</f>
        <v/>
      </c>
      <c r="N810" s="311" t="str">
        <f t="shared" ref="N810" si="850">IF(C810="T20",G810*F810,"")</f>
        <v/>
      </c>
    </row>
    <row r="811" spans="1:14" s="294" customFormat="1">
      <c r="A811" s="297" t="s">
        <v>1494</v>
      </c>
      <c r="B811" s="301"/>
      <c r="C811" s="299" t="s">
        <v>1496</v>
      </c>
      <c r="D811" s="299">
        <v>1</v>
      </c>
      <c r="E811" s="300">
        <f>17+15+17</f>
        <v>49</v>
      </c>
      <c r="F811" s="300">
        <f t="shared" ref="F811:F812" si="851">E811*D811</f>
        <v>49</v>
      </c>
      <c r="G811" s="302">
        <f>(0.2+0.7)*2+17*0.008*2</f>
        <v>2.0699999999999998</v>
      </c>
      <c r="H811" s="310" t="str">
        <f t="shared" si="837"/>
        <v/>
      </c>
      <c r="I811" s="311">
        <f t="shared" si="838"/>
        <v>101.43</v>
      </c>
      <c r="J811" s="311" t="str">
        <f t="shared" si="839"/>
        <v/>
      </c>
      <c r="K811" s="311" t="str">
        <f t="shared" si="840"/>
        <v/>
      </c>
      <c r="L811" s="310" t="str">
        <f t="shared" si="841"/>
        <v/>
      </c>
      <c r="M811" s="310" t="str">
        <f t="shared" si="842"/>
        <v/>
      </c>
      <c r="N811" s="311" t="str">
        <f t="shared" si="843"/>
        <v/>
      </c>
    </row>
    <row r="812" spans="1:14" s="294" customFormat="1">
      <c r="A812" s="297" t="s">
        <v>1517</v>
      </c>
      <c r="B812" s="301"/>
      <c r="C812" s="299" t="s">
        <v>1496</v>
      </c>
      <c r="D812" s="299">
        <v>1</v>
      </c>
      <c r="E812" s="300">
        <f>17+15+17</f>
        <v>49</v>
      </c>
      <c r="F812" s="300">
        <f t="shared" si="851"/>
        <v>49</v>
      </c>
      <c r="G812" s="302">
        <f>(0.7*2)+17*0.008*2</f>
        <v>1.67</v>
      </c>
      <c r="H812" s="310" t="str">
        <f t="shared" si="837"/>
        <v/>
      </c>
      <c r="I812" s="311">
        <f t="shared" si="838"/>
        <v>81.83</v>
      </c>
      <c r="J812" s="311" t="str">
        <f t="shared" si="839"/>
        <v/>
      </c>
      <c r="K812" s="311" t="str">
        <f t="shared" si="840"/>
        <v/>
      </c>
      <c r="L812" s="310" t="str">
        <f t="shared" si="841"/>
        <v/>
      </c>
      <c r="M812" s="310" t="str">
        <f t="shared" si="842"/>
        <v/>
      </c>
      <c r="N812" s="311" t="str">
        <f t="shared" si="843"/>
        <v/>
      </c>
    </row>
    <row r="813" spans="1:14">
      <c r="A813" s="297" t="s">
        <v>1520</v>
      </c>
      <c r="B813" s="254"/>
      <c r="C813" s="299" t="s">
        <v>1498</v>
      </c>
      <c r="D813" s="299">
        <v>1</v>
      </c>
      <c r="E813" s="300">
        <v>6</v>
      </c>
      <c r="F813" s="300">
        <f>E813*D813</f>
        <v>6</v>
      </c>
      <c r="G813" s="302">
        <v>3.8</v>
      </c>
      <c r="H813" s="310" t="str">
        <f t="shared" si="837"/>
        <v/>
      </c>
      <c r="I813" s="311" t="str">
        <f t="shared" si="838"/>
        <v/>
      </c>
      <c r="J813" s="311" t="str">
        <f t="shared" si="839"/>
        <v/>
      </c>
      <c r="K813" s="311" t="str">
        <f t="shared" si="840"/>
        <v/>
      </c>
      <c r="L813" s="310" t="str">
        <f t="shared" si="841"/>
        <v/>
      </c>
      <c r="M813" s="310">
        <f t="shared" si="842"/>
        <v>22.8</v>
      </c>
      <c r="N813" s="311" t="str">
        <f t="shared" si="843"/>
        <v/>
      </c>
    </row>
    <row r="814" spans="1:14">
      <c r="A814" s="253"/>
      <c r="B814" s="254"/>
      <c r="C814" s="299" t="s">
        <v>1498</v>
      </c>
      <c r="D814" s="299">
        <v>1</v>
      </c>
      <c r="E814" s="300">
        <v>6</v>
      </c>
      <c r="F814" s="300">
        <f>E814*D814</f>
        <v>6</v>
      </c>
      <c r="G814" s="302">
        <v>3</v>
      </c>
      <c r="H814" s="310" t="str">
        <f t="shared" si="837"/>
        <v/>
      </c>
      <c r="I814" s="311" t="str">
        <f t="shared" si="838"/>
        <v/>
      </c>
      <c r="J814" s="311" t="str">
        <f t="shared" si="839"/>
        <v/>
      </c>
      <c r="K814" s="311" t="str">
        <f t="shared" si="840"/>
        <v/>
      </c>
      <c r="L814" s="310" t="str">
        <f t="shared" si="841"/>
        <v/>
      </c>
      <c r="M814" s="310">
        <f t="shared" si="842"/>
        <v>18</v>
      </c>
      <c r="N814" s="311" t="str">
        <f t="shared" si="843"/>
        <v/>
      </c>
    </row>
    <row r="815" spans="1:14">
      <c r="A815" s="253"/>
      <c r="B815" s="254"/>
      <c r="C815" s="299" t="s">
        <v>1492</v>
      </c>
      <c r="D815" s="299">
        <v>1</v>
      </c>
      <c r="E815" s="300">
        <v>3</v>
      </c>
      <c r="F815" s="300">
        <f>E815*D815</f>
        <v>3</v>
      </c>
      <c r="G815" s="302">
        <v>4.8</v>
      </c>
      <c r="H815" s="310" t="str">
        <f t="shared" si="837"/>
        <v/>
      </c>
      <c r="I815" s="311" t="str">
        <f t="shared" si="838"/>
        <v/>
      </c>
      <c r="J815" s="311" t="str">
        <f t="shared" si="839"/>
        <v/>
      </c>
      <c r="K815" s="311" t="str">
        <f t="shared" si="840"/>
        <v/>
      </c>
      <c r="L815" s="310">
        <f t="shared" si="841"/>
        <v>14.4</v>
      </c>
      <c r="M815" s="310" t="str">
        <f t="shared" si="842"/>
        <v/>
      </c>
      <c r="N815" s="311" t="str">
        <f t="shared" si="843"/>
        <v/>
      </c>
    </row>
    <row r="816" spans="1:14">
      <c r="A816" s="253"/>
      <c r="B816" s="254"/>
      <c r="C816" s="299" t="s">
        <v>1492</v>
      </c>
      <c r="D816" s="299">
        <v>1</v>
      </c>
      <c r="E816" s="300">
        <v>3</v>
      </c>
      <c r="F816" s="300">
        <f>E816*D816</f>
        <v>3</v>
      </c>
      <c r="G816" s="302">
        <v>5</v>
      </c>
      <c r="H816" s="310" t="str">
        <f t="shared" si="837"/>
        <v/>
      </c>
      <c r="I816" s="311" t="str">
        <f t="shared" si="838"/>
        <v/>
      </c>
      <c r="J816" s="311" t="str">
        <f t="shared" si="839"/>
        <v/>
      </c>
      <c r="K816" s="311" t="str">
        <f t="shared" si="840"/>
        <v/>
      </c>
      <c r="L816" s="310">
        <f t="shared" si="841"/>
        <v>15</v>
      </c>
      <c r="M816" s="310" t="str">
        <f t="shared" si="842"/>
        <v/>
      </c>
      <c r="N816" s="311" t="str">
        <f t="shared" si="843"/>
        <v/>
      </c>
    </row>
    <row r="817" spans="1:14">
      <c r="A817" s="253"/>
      <c r="B817" s="254"/>
      <c r="C817" s="299"/>
      <c r="D817" s="299"/>
      <c r="E817" s="300"/>
      <c r="F817" s="300"/>
      <c r="G817" s="302"/>
      <c r="H817" s="310"/>
      <c r="I817" s="311"/>
      <c r="J817" s="311"/>
      <c r="K817" s="311"/>
      <c r="L817" s="310"/>
      <c r="M817" s="310"/>
      <c r="N817" s="311"/>
    </row>
    <row r="818" spans="1:14" ht="16.5">
      <c r="A818" s="303" t="s">
        <v>1616</v>
      </c>
      <c r="B818" s="254"/>
      <c r="C818" s="299"/>
      <c r="D818" s="299"/>
      <c r="E818" s="300"/>
      <c r="F818" s="300"/>
      <c r="G818" s="302"/>
      <c r="H818" s="310"/>
      <c r="I818" s="311"/>
      <c r="J818" s="311"/>
      <c r="K818" s="311"/>
      <c r="L818" s="310"/>
      <c r="M818" s="310"/>
      <c r="N818" s="311"/>
    </row>
    <row r="819" spans="1:14" s="294" customFormat="1">
      <c r="A819" s="297" t="s">
        <v>1515</v>
      </c>
      <c r="B819" s="298"/>
      <c r="C819" s="299" t="s">
        <v>1519</v>
      </c>
      <c r="D819" s="299">
        <v>1</v>
      </c>
      <c r="E819" s="300">
        <v>3</v>
      </c>
      <c r="F819" s="300">
        <f>E819*D819</f>
        <v>3</v>
      </c>
      <c r="G819" s="299">
        <f>(2.7)+17*0.01*2</f>
        <v>3.04</v>
      </c>
      <c r="H819" s="310" t="str">
        <f t="shared" ref="H819:H824" si="852">IF(C819="T6",G819*F819,"")</f>
        <v/>
      </c>
      <c r="I819" s="311" t="str">
        <f t="shared" ref="I819:I824" si="853">IF(C819="T8",F819*G819,"")</f>
        <v/>
      </c>
      <c r="J819" s="311">
        <f t="shared" ref="J819:J824" si="854">IF(C819="T10",F819*G819,"")</f>
        <v>9.1199999999999992</v>
      </c>
      <c r="K819" s="311" t="str">
        <f t="shared" ref="K819:K824" si="855">IF(C819="T12",F819*G819,"")</f>
        <v/>
      </c>
      <c r="L819" s="310" t="str">
        <f t="shared" ref="L819:L824" si="856">IF(C819="T14",F819*G819,"")</f>
        <v/>
      </c>
      <c r="M819" s="310" t="str">
        <f t="shared" ref="M819:M824" si="857">IF(C819="T16",G819*F819,"")</f>
        <v/>
      </c>
      <c r="N819" s="311" t="str">
        <f t="shared" ref="N819:N824" si="858">IF(C819="T20",G819*F819,"")</f>
        <v/>
      </c>
    </row>
    <row r="820" spans="1:14" s="294" customFormat="1">
      <c r="A820" s="297" t="s">
        <v>1515</v>
      </c>
      <c r="B820" s="298"/>
      <c r="C820" s="299" t="s">
        <v>1492</v>
      </c>
      <c r="D820" s="299">
        <v>1</v>
      </c>
      <c r="E820" s="300">
        <v>3</v>
      </c>
      <c r="F820" s="300">
        <f>E820*D820</f>
        <v>3</v>
      </c>
      <c r="G820" s="302">
        <f>(2.7)+17*0.014*2</f>
        <v>3.18</v>
      </c>
      <c r="H820" s="310" t="str">
        <f t="shared" si="852"/>
        <v/>
      </c>
      <c r="I820" s="311" t="str">
        <f t="shared" si="853"/>
        <v/>
      </c>
      <c r="J820" s="311" t="str">
        <f t="shared" si="854"/>
        <v/>
      </c>
      <c r="K820" s="311" t="str">
        <f t="shared" si="855"/>
        <v/>
      </c>
      <c r="L820" s="310">
        <f t="shared" si="856"/>
        <v>9.5399999999999991</v>
      </c>
      <c r="M820" s="310" t="str">
        <f t="shared" si="857"/>
        <v/>
      </c>
      <c r="N820" s="311" t="str">
        <f t="shared" si="858"/>
        <v/>
      </c>
    </row>
    <row r="821" spans="1:14" s="294" customFormat="1">
      <c r="A821" s="297" t="s">
        <v>1494</v>
      </c>
      <c r="B821" s="301"/>
      <c r="C821" s="299" t="s">
        <v>1496</v>
      </c>
      <c r="D821" s="299">
        <v>1</v>
      </c>
      <c r="E821" s="300">
        <f>9+7+9</f>
        <v>25</v>
      </c>
      <c r="F821" s="300">
        <f t="shared" ref="F821:F822" si="859">E821*D821</f>
        <v>25</v>
      </c>
      <c r="G821" s="302">
        <f>(0.2+0.35)*2+17*0.008*2</f>
        <v>1.37</v>
      </c>
      <c r="H821" s="310" t="str">
        <f t="shared" si="852"/>
        <v/>
      </c>
      <c r="I821" s="311">
        <f t="shared" si="853"/>
        <v>34.25</v>
      </c>
      <c r="J821" s="311" t="str">
        <f t="shared" si="854"/>
        <v/>
      </c>
      <c r="K821" s="311" t="str">
        <f t="shared" si="855"/>
        <v/>
      </c>
      <c r="L821" s="310" t="str">
        <f t="shared" si="856"/>
        <v/>
      </c>
      <c r="M821" s="310" t="str">
        <f t="shared" si="857"/>
        <v/>
      </c>
      <c r="N821" s="311" t="str">
        <f t="shared" si="858"/>
        <v/>
      </c>
    </row>
    <row r="822" spans="1:14" s="294" customFormat="1">
      <c r="A822" s="297" t="s">
        <v>1517</v>
      </c>
      <c r="B822" s="301"/>
      <c r="C822" s="299" t="s">
        <v>1496</v>
      </c>
      <c r="D822" s="299">
        <v>1</v>
      </c>
      <c r="E822" s="300">
        <f>9+7+9</f>
        <v>25</v>
      </c>
      <c r="F822" s="300">
        <f t="shared" si="859"/>
        <v>25</v>
      </c>
      <c r="G822" s="302">
        <f>(0.35*2)+17*0.008*2</f>
        <v>0.97</v>
      </c>
      <c r="H822" s="310" t="str">
        <f t="shared" si="852"/>
        <v/>
      </c>
      <c r="I822" s="311">
        <f t="shared" si="853"/>
        <v>24.25</v>
      </c>
      <c r="J822" s="311" t="str">
        <f t="shared" si="854"/>
        <v/>
      </c>
      <c r="K822" s="311" t="str">
        <f t="shared" si="855"/>
        <v/>
      </c>
      <c r="L822" s="310" t="str">
        <f t="shared" si="856"/>
        <v/>
      </c>
      <c r="M822" s="310" t="str">
        <f t="shared" si="857"/>
        <v/>
      </c>
      <c r="N822" s="311" t="str">
        <f t="shared" si="858"/>
        <v/>
      </c>
    </row>
    <row r="823" spans="1:14">
      <c r="A823" s="297" t="s">
        <v>1520</v>
      </c>
      <c r="B823" s="254"/>
      <c r="C823" s="299" t="s">
        <v>1492</v>
      </c>
      <c r="D823" s="299">
        <v>1</v>
      </c>
      <c r="E823" s="300">
        <v>3</v>
      </c>
      <c r="F823" s="300">
        <f>E823*D823</f>
        <v>3</v>
      </c>
      <c r="G823" s="302">
        <v>2.2000000000000002</v>
      </c>
      <c r="H823" s="310" t="str">
        <f t="shared" si="852"/>
        <v/>
      </c>
      <c r="I823" s="311" t="str">
        <f t="shared" si="853"/>
        <v/>
      </c>
      <c r="J823" s="311" t="str">
        <f t="shared" si="854"/>
        <v/>
      </c>
      <c r="K823" s="311" t="str">
        <f t="shared" si="855"/>
        <v/>
      </c>
      <c r="L823" s="310">
        <f t="shared" si="856"/>
        <v>6.6</v>
      </c>
      <c r="M823" s="310" t="str">
        <f t="shared" si="857"/>
        <v/>
      </c>
      <c r="N823" s="311" t="str">
        <f t="shared" si="858"/>
        <v/>
      </c>
    </row>
    <row r="824" spans="1:14">
      <c r="A824" s="253"/>
      <c r="B824" s="254"/>
      <c r="C824" s="299" t="s">
        <v>1498</v>
      </c>
      <c r="D824" s="299">
        <v>1</v>
      </c>
      <c r="E824" s="300">
        <v>6</v>
      </c>
      <c r="F824" s="300">
        <f>E824*D824</f>
        <v>6</v>
      </c>
      <c r="G824" s="302">
        <v>3</v>
      </c>
      <c r="H824" s="310" t="str">
        <f t="shared" si="852"/>
        <v/>
      </c>
      <c r="I824" s="311" t="str">
        <f t="shared" si="853"/>
        <v/>
      </c>
      <c r="J824" s="311" t="str">
        <f t="shared" si="854"/>
        <v/>
      </c>
      <c r="K824" s="311" t="str">
        <f t="shared" si="855"/>
        <v/>
      </c>
      <c r="L824" s="310" t="str">
        <f t="shared" si="856"/>
        <v/>
      </c>
      <c r="M824" s="310">
        <f t="shared" si="857"/>
        <v>18</v>
      </c>
      <c r="N824" s="311" t="str">
        <f t="shared" si="858"/>
        <v/>
      </c>
    </row>
    <row r="825" spans="1:14">
      <c r="A825" s="253"/>
      <c r="B825" s="254"/>
      <c r="C825" s="299"/>
      <c r="D825" s="299"/>
      <c r="E825" s="300"/>
      <c r="F825" s="300"/>
      <c r="G825" s="302"/>
      <c r="H825" s="310"/>
      <c r="I825" s="311"/>
      <c r="J825" s="311"/>
      <c r="K825" s="311"/>
      <c r="L825" s="310"/>
      <c r="M825" s="310"/>
      <c r="N825" s="311"/>
    </row>
    <row r="826" spans="1:14" ht="16.5">
      <c r="A826" s="303" t="s">
        <v>1615</v>
      </c>
      <c r="B826" s="254"/>
      <c r="C826" s="299"/>
      <c r="D826" s="299"/>
      <c r="E826" s="300"/>
      <c r="F826" s="300"/>
      <c r="G826" s="302"/>
      <c r="H826" s="310"/>
      <c r="I826" s="311"/>
      <c r="J826" s="311"/>
      <c r="K826" s="311"/>
      <c r="L826" s="310"/>
      <c r="M826" s="310"/>
      <c r="N826" s="311"/>
    </row>
    <row r="827" spans="1:14" s="294" customFormat="1">
      <c r="A827" s="297" t="s">
        <v>1515</v>
      </c>
      <c r="B827" s="298"/>
      <c r="C827" s="299" t="s">
        <v>1519</v>
      </c>
      <c r="D827" s="299">
        <v>1</v>
      </c>
      <c r="E827" s="300">
        <v>3</v>
      </c>
      <c r="F827" s="300">
        <f>E827*D827</f>
        <v>3</v>
      </c>
      <c r="G827" s="299">
        <f>(1.95)+17*0.01*2</f>
        <v>2.29</v>
      </c>
      <c r="H827" s="310" t="str">
        <f t="shared" ref="H827:H832" si="860">IF(C827="T6",G827*F827,"")</f>
        <v/>
      </c>
      <c r="I827" s="311" t="str">
        <f t="shared" ref="I827:I832" si="861">IF(C827="T8",F827*G827,"")</f>
        <v/>
      </c>
      <c r="J827" s="311">
        <f t="shared" ref="J827:J832" si="862">IF(C827="T10",F827*G827,"")</f>
        <v>6.87</v>
      </c>
      <c r="K827" s="311" t="str">
        <f t="shared" ref="K827:K832" si="863">IF(C827="T12",F827*G827,"")</f>
        <v/>
      </c>
      <c r="L827" s="310" t="str">
        <f t="shared" ref="L827:L832" si="864">IF(C827="T14",F827*G827,"")</f>
        <v/>
      </c>
      <c r="M827" s="310" t="str">
        <f t="shared" ref="M827:M832" si="865">IF(C827="T16",G827*F827,"")</f>
        <v/>
      </c>
      <c r="N827" s="311" t="str">
        <f t="shared" ref="N827:N832" si="866">IF(C827="T20",G827*F827,"")</f>
        <v/>
      </c>
    </row>
    <row r="828" spans="1:14" s="294" customFormat="1">
      <c r="A828" s="297" t="s">
        <v>1515</v>
      </c>
      <c r="B828" s="298"/>
      <c r="C828" s="299" t="s">
        <v>1492</v>
      </c>
      <c r="D828" s="299">
        <v>1</v>
      </c>
      <c r="E828" s="300">
        <v>3</v>
      </c>
      <c r="F828" s="300">
        <f>E828*D828</f>
        <v>3</v>
      </c>
      <c r="G828" s="302">
        <f>(1.95)+17*0.014*2</f>
        <v>2.4300000000000002</v>
      </c>
      <c r="H828" s="310" t="str">
        <f t="shared" si="860"/>
        <v/>
      </c>
      <c r="I828" s="311" t="str">
        <f t="shared" si="861"/>
        <v/>
      </c>
      <c r="J828" s="311" t="str">
        <f t="shared" si="862"/>
        <v/>
      </c>
      <c r="K828" s="311" t="str">
        <f t="shared" si="863"/>
        <v/>
      </c>
      <c r="L828" s="310">
        <f t="shared" si="864"/>
        <v>7.29</v>
      </c>
      <c r="M828" s="310" t="str">
        <f t="shared" si="865"/>
        <v/>
      </c>
      <c r="N828" s="311" t="str">
        <f t="shared" si="866"/>
        <v/>
      </c>
    </row>
    <row r="829" spans="1:14" s="294" customFormat="1">
      <c r="A829" s="297" t="s">
        <v>1494</v>
      </c>
      <c r="B829" s="301"/>
      <c r="C829" s="299" t="s">
        <v>1496</v>
      </c>
      <c r="D829" s="299">
        <v>1</v>
      </c>
      <c r="E829" s="300">
        <f>6+5+6</f>
        <v>17</v>
      </c>
      <c r="F829" s="300">
        <f t="shared" ref="F829:F830" si="867">E829*D829</f>
        <v>17</v>
      </c>
      <c r="G829" s="302">
        <f>(0.2+0.35)*2+17*0.008*2</f>
        <v>1.37</v>
      </c>
      <c r="H829" s="310" t="str">
        <f t="shared" si="860"/>
        <v/>
      </c>
      <c r="I829" s="311">
        <f t="shared" si="861"/>
        <v>23.29</v>
      </c>
      <c r="J829" s="311" t="str">
        <f t="shared" si="862"/>
        <v/>
      </c>
      <c r="K829" s="311" t="str">
        <f t="shared" si="863"/>
        <v/>
      </c>
      <c r="L829" s="310" t="str">
        <f t="shared" si="864"/>
        <v/>
      </c>
      <c r="M829" s="310" t="str">
        <f t="shared" si="865"/>
        <v/>
      </c>
      <c r="N829" s="311" t="str">
        <f t="shared" si="866"/>
        <v/>
      </c>
    </row>
    <row r="830" spans="1:14" s="294" customFormat="1">
      <c r="A830" s="297" t="s">
        <v>1517</v>
      </c>
      <c r="B830" s="301"/>
      <c r="C830" s="299" t="s">
        <v>1496</v>
      </c>
      <c r="D830" s="299">
        <v>1</v>
      </c>
      <c r="E830" s="300">
        <f>6+5+6</f>
        <v>17</v>
      </c>
      <c r="F830" s="300">
        <f t="shared" si="867"/>
        <v>17</v>
      </c>
      <c r="G830" s="302">
        <f>(0.35*2)+17*0.008*2</f>
        <v>0.97</v>
      </c>
      <c r="H830" s="310" t="str">
        <f t="shared" si="860"/>
        <v/>
      </c>
      <c r="I830" s="311">
        <f t="shared" si="861"/>
        <v>16.489999999999998</v>
      </c>
      <c r="J830" s="311" t="str">
        <f t="shared" si="862"/>
        <v/>
      </c>
      <c r="K830" s="311" t="str">
        <f t="shared" si="863"/>
        <v/>
      </c>
      <c r="L830" s="310" t="str">
        <f t="shared" si="864"/>
        <v/>
      </c>
      <c r="M830" s="310" t="str">
        <f t="shared" si="865"/>
        <v/>
      </c>
      <c r="N830" s="311" t="str">
        <f t="shared" si="866"/>
        <v/>
      </c>
    </row>
    <row r="831" spans="1:14">
      <c r="A831" s="297" t="s">
        <v>1520</v>
      </c>
      <c r="B831" s="254"/>
      <c r="C831" s="299" t="s">
        <v>1492</v>
      </c>
      <c r="D831" s="299">
        <v>1</v>
      </c>
      <c r="E831" s="300">
        <v>3</v>
      </c>
      <c r="F831" s="300">
        <f>E831*D831</f>
        <v>3</v>
      </c>
      <c r="G831" s="302">
        <v>2.2000000000000002</v>
      </c>
      <c r="H831" s="310" t="str">
        <f t="shared" si="860"/>
        <v/>
      </c>
      <c r="I831" s="311" t="str">
        <f t="shared" si="861"/>
        <v/>
      </c>
      <c r="J831" s="311" t="str">
        <f t="shared" si="862"/>
        <v/>
      </c>
      <c r="K831" s="311" t="str">
        <f t="shared" si="863"/>
        <v/>
      </c>
      <c r="L831" s="310">
        <f t="shared" si="864"/>
        <v>6.6</v>
      </c>
      <c r="M831" s="310" t="str">
        <f t="shared" si="865"/>
        <v/>
      </c>
      <c r="N831" s="311" t="str">
        <f t="shared" si="866"/>
        <v/>
      </c>
    </row>
    <row r="832" spans="1:14">
      <c r="A832" s="253"/>
      <c r="B832" s="254"/>
      <c r="C832" s="299" t="s">
        <v>1492</v>
      </c>
      <c r="D832" s="299">
        <v>1</v>
      </c>
      <c r="E832" s="300">
        <v>3</v>
      </c>
      <c r="F832" s="300">
        <f>E832*D832</f>
        <v>3</v>
      </c>
      <c r="G832" s="302">
        <v>1</v>
      </c>
      <c r="H832" s="310" t="str">
        <f t="shared" si="860"/>
        <v/>
      </c>
      <c r="I832" s="311" t="str">
        <f t="shared" si="861"/>
        <v/>
      </c>
      <c r="J832" s="311" t="str">
        <f t="shared" si="862"/>
        <v/>
      </c>
      <c r="K832" s="311" t="str">
        <f t="shared" si="863"/>
        <v/>
      </c>
      <c r="L832" s="310">
        <f t="shared" si="864"/>
        <v>3</v>
      </c>
      <c r="M832" s="310" t="str">
        <f t="shared" si="865"/>
        <v/>
      </c>
      <c r="N832" s="311" t="str">
        <f t="shared" si="866"/>
        <v/>
      </c>
    </row>
    <row r="833" spans="1:14">
      <c r="A833" s="253"/>
      <c r="B833" s="254"/>
      <c r="C833" s="299"/>
      <c r="D833" s="299"/>
      <c r="E833" s="300"/>
      <c r="F833" s="300"/>
      <c r="G833" s="302"/>
      <c r="H833" s="310"/>
      <c r="I833" s="311"/>
      <c r="J833" s="311"/>
      <c r="K833" s="311"/>
      <c r="L833" s="310"/>
      <c r="M833" s="310"/>
      <c r="N833" s="311"/>
    </row>
    <row r="834" spans="1:14" ht="16.5">
      <c r="A834" s="303" t="s">
        <v>1614</v>
      </c>
      <c r="B834" s="254"/>
      <c r="C834" s="299"/>
      <c r="D834" s="299"/>
      <c r="E834" s="300"/>
      <c r="F834" s="300"/>
      <c r="G834" s="302"/>
      <c r="H834" s="310"/>
      <c r="I834" s="311"/>
      <c r="J834" s="311"/>
      <c r="K834" s="311"/>
      <c r="L834" s="310"/>
      <c r="M834" s="310"/>
      <c r="N834" s="311"/>
    </row>
    <row r="835" spans="1:14" s="294" customFormat="1">
      <c r="A835" s="297" t="s">
        <v>1515</v>
      </c>
      <c r="B835" s="298"/>
      <c r="C835" s="299" t="s">
        <v>1492</v>
      </c>
      <c r="D835" s="299">
        <v>1</v>
      </c>
      <c r="E835" s="300">
        <v>3</v>
      </c>
      <c r="F835" s="300">
        <f>E835*D835</f>
        <v>3</v>
      </c>
      <c r="G835" s="299">
        <f>(5.45)+17*0.014*2</f>
        <v>5.9260000000000002</v>
      </c>
      <c r="H835" s="310" t="str">
        <f t="shared" ref="H835:H843" si="868">IF(C835="T6",G835*F835,"")</f>
        <v/>
      </c>
      <c r="I835" s="311" t="str">
        <f t="shared" ref="I835:I843" si="869">IF(C835="T8",F835*G835,"")</f>
        <v/>
      </c>
      <c r="J835" s="311" t="str">
        <f t="shared" ref="J835:J843" si="870">IF(C835="T10",F835*G835,"")</f>
        <v/>
      </c>
      <c r="K835" s="311" t="str">
        <f t="shared" ref="K835:K843" si="871">IF(C835="T12",F835*G835,"")</f>
        <v/>
      </c>
      <c r="L835" s="310">
        <f t="shared" ref="L835:L843" si="872">IF(C835="T14",F835*G835,"")</f>
        <v>17.78</v>
      </c>
      <c r="M835" s="310" t="str">
        <f t="shared" ref="M835:M843" si="873">IF(C835="T16",G835*F835,"")</f>
        <v/>
      </c>
      <c r="N835" s="311" t="str">
        <f t="shared" ref="N835:N843" si="874">IF(C835="T20",G835*F835,"")</f>
        <v/>
      </c>
    </row>
    <row r="836" spans="1:14" s="294" customFormat="1">
      <c r="A836" s="297" t="s">
        <v>1515</v>
      </c>
      <c r="B836" s="298"/>
      <c r="C836" s="299" t="s">
        <v>1498</v>
      </c>
      <c r="D836" s="299">
        <v>1</v>
      </c>
      <c r="E836" s="300">
        <v>3</v>
      </c>
      <c r="F836" s="300">
        <f>E836*D836</f>
        <v>3</v>
      </c>
      <c r="G836" s="299">
        <f>(5.45)+17*0.016*2</f>
        <v>5.9939999999999998</v>
      </c>
      <c r="H836" s="310" t="str">
        <f t="shared" si="868"/>
        <v/>
      </c>
      <c r="I836" s="311" t="str">
        <f t="shared" si="869"/>
        <v/>
      </c>
      <c r="J836" s="311" t="str">
        <f t="shared" si="870"/>
        <v/>
      </c>
      <c r="K836" s="311" t="str">
        <f t="shared" si="871"/>
        <v/>
      </c>
      <c r="L836" s="310" t="str">
        <f t="shared" si="872"/>
        <v/>
      </c>
      <c r="M836" s="310">
        <f t="shared" si="873"/>
        <v>17.98</v>
      </c>
      <c r="N836" s="311" t="str">
        <f t="shared" si="874"/>
        <v/>
      </c>
    </row>
    <row r="837" spans="1:14" s="294" customFormat="1">
      <c r="A837" s="297"/>
      <c r="B837" s="298"/>
      <c r="C837" s="299" t="s">
        <v>1516</v>
      </c>
      <c r="D837" s="299">
        <v>1</v>
      </c>
      <c r="E837" s="300">
        <v>2</v>
      </c>
      <c r="F837" s="300">
        <f>E837*D837</f>
        <v>2</v>
      </c>
      <c r="G837" s="299">
        <v>5.45</v>
      </c>
      <c r="H837" s="310" t="str">
        <f t="shared" si="868"/>
        <v/>
      </c>
      <c r="I837" s="311" t="str">
        <f t="shared" si="869"/>
        <v/>
      </c>
      <c r="J837" s="311" t="str">
        <f t="shared" si="870"/>
        <v/>
      </c>
      <c r="K837" s="311">
        <f t="shared" si="871"/>
        <v>10.9</v>
      </c>
      <c r="L837" s="310" t="str">
        <f t="shared" si="872"/>
        <v/>
      </c>
      <c r="M837" s="310" t="str">
        <f t="shared" si="873"/>
        <v/>
      </c>
      <c r="N837" s="311" t="str">
        <f t="shared" si="874"/>
        <v/>
      </c>
    </row>
    <row r="838" spans="1:14" s="294" customFormat="1">
      <c r="A838" s="297" t="s">
        <v>1494</v>
      </c>
      <c r="B838" s="301"/>
      <c r="C838" s="299" t="s">
        <v>1496</v>
      </c>
      <c r="D838" s="299">
        <v>1</v>
      </c>
      <c r="E838" s="300">
        <f>17+15+17</f>
        <v>49</v>
      </c>
      <c r="F838" s="300">
        <f t="shared" ref="F838:F839" si="875">E838*D838</f>
        <v>49</v>
      </c>
      <c r="G838" s="302">
        <f>(0.2+0.7)*2+17*0.008*2</f>
        <v>2.0699999999999998</v>
      </c>
      <c r="H838" s="310" t="str">
        <f t="shared" si="868"/>
        <v/>
      </c>
      <c r="I838" s="311">
        <f t="shared" si="869"/>
        <v>101.43</v>
      </c>
      <c r="J838" s="311" t="str">
        <f t="shared" si="870"/>
        <v/>
      </c>
      <c r="K838" s="311" t="str">
        <f t="shared" si="871"/>
        <v/>
      </c>
      <c r="L838" s="310" t="str">
        <f t="shared" si="872"/>
        <v/>
      </c>
      <c r="M838" s="310" t="str">
        <f t="shared" si="873"/>
        <v/>
      </c>
      <c r="N838" s="311" t="str">
        <f t="shared" si="874"/>
        <v/>
      </c>
    </row>
    <row r="839" spans="1:14" s="294" customFormat="1">
      <c r="A839" s="297" t="s">
        <v>1517</v>
      </c>
      <c r="B839" s="301"/>
      <c r="C839" s="299" t="s">
        <v>1496</v>
      </c>
      <c r="D839" s="299">
        <v>1</v>
      </c>
      <c r="E839" s="300">
        <f>17+15+17</f>
        <v>49</v>
      </c>
      <c r="F839" s="300">
        <f t="shared" si="875"/>
        <v>49</v>
      </c>
      <c r="G839" s="302">
        <f>(0.7*2)+17*0.008*2</f>
        <v>1.67</v>
      </c>
      <c r="H839" s="310" t="str">
        <f t="shared" si="868"/>
        <v/>
      </c>
      <c r="I839" s="311">
        <f t="shared" si="869"/>
        <v>81.83</v>
      </c>
      <c r="J839" s="311" t="str">
        <f t="shared" si="870"/>
        <v/>
      </c>
      <c r="K839" s="311" t="str">
        <f t="shared" si="871"/>
        <v/>
      </c>
      <c r="L839" s="310" t="str">
        <f t="shared" si="872"/>
        <v/>
      </c>
      <c r="M839" s="310" t="str">
        <f t="shared" si="873"/>
        <v/>
      </c>
      <c r="N839" s="311" t="str">
        <f t="shared" si="874"/>
        <v/>
      </c>
    </row>
    <row r="840" spans="1:14">
      <c r="A840" s="297" t="s">
        <v>1520</v>
      </c>
      <c r="B840" s="254"/>
      <c r="C840" s="299" t="s">
        <v>1498</v>
      </c>
      <c r="D840" s="299">
        <v>1</v>
      </c>
      <c r="E840" s="300">
        <v>6</v>
      </c>
      <c r="F840" s="300">
        <f>E840*D840</f>
        <v>6</v>
      </c>
      <c r="G840" s="302">
        <v>3.8</v>
      </c>
      <c r="H840" s="310" t="str">
        <f t="shared" si="868"/>
        <v/>
      </c>
      <c r="I840" s="311" t="str">
        <f t="shared" si="869"/>
        <v/>
      </c>
      <c r="J840" s="311" t="str">
        <f t="shared" si="870"/>
        <v/>
      </c>
      <c r="K840" s="311" t="str">
        <f t="shared" si="871"/>
        <v/>
      </c>
      <c r="L840" s="310" t="str">
        <f t="shared" si="872"/>
        <v/>
      </c>
      <c r="M840" s="310">
        <f t="shared" si="873"/>
        <v>22.8</v>
      </c>
      <c r="N840" s="311" t="str">
        <f t="shared" si="874"/>
        <v/>
      </c>
    </row>
    <row r="841" spans="1:14">
      <c r="A841" s="253"/>
      <c r="B841" s="254"/>
      <c r="C841" s="299" t="s">
        <v>1498</v>
      </c>
      <c r="D841" s="299">
        <v>1</v>
      </c>
      <c r="E841" s="300">
        <v>6</v>
      </c>
      <c r="F841" s="300">
        <f>E841*D841</f>
        <v>6</v>
      </c>
      <c r="G841" s="302">
        <v>3</v>
      </c>
      <c r="H841" s="310" t="str">
        <f t="shared" si="868"/>
        <v/>
      </c>
      <c r="I841" s="311" t="str">
        <f t="shared" si="869"/>
        <v/>
      </c>
      <c r="J841" s="311" t="str">
        <f t="shared" si="870"/>
        <v/>
      </c>
      <c r="K841" s="311" t="str">
        <f t="shared" si="871"/>
        <v/>
      </c>
      <c r="L841" s="310" t="str">
        <f t="shared" si="872"/>
        <v/>
      </c>
      <c r="M841" s="310">
        <f t="shared" si="873"/>
        <v>18</v>
      </c>
      <c r="N841" s="311" t="str">
        <f t="shared" si="874"/>
        <v/>
      </c>
    </row>
    <row r="842" spans="1:14">
      <c r="A842" s="253"/>
      <c r="B842" s="254"/>
      <c r="C842" s="299" t="s">
        <v>1492</v>
      </c>
      <c r="D842" s="299">
        <v>1</v>
      </c>
      <c r="E842" s="300">
        <v>3</v>
      </c>
      <c r="F842" s="300">
        <f>E842*D842</f>
        <v>3</v>
      </c>
      <c r="G842" s="302">
        <v>4.8</v>
      </c>
      <c r="H842" s="310" t="str">
        <f t="shared" si="868"/>
        <v/>
      </c>
      <c r="I842" s="311" t="str">
        <f t="shared" si="869"/>
        <v/>
      </c>
      <c r="J842" s="311" t="str">
        <f t="shared" si="870"/>
        <v/>
      </c>
      <c r="K842" s="311" t="str">
        <f t="shared" si="871"/>
        <v/>
      </c>
      <c r="L842" s="310">
        <f t="shared" si="872"/>
        <v>14.4</v>
      </c>
      <c r="M842" s="310" t="str">
        <f t="shared" si="873"/>
        <v/>
      </c>
      <c r="N842" s="311" t="str">
        <f t="shared" si="874"/>
        <v/>
      </c>
    </row>
    <row r="843" spans="1:14">
      <c r="A843" s="253"/>
      <c r="B843" s="254"/>
      <c r="C843" s="299" t="s">
        <v>1492</v>
      </c>
      <c r="D843" s="299">
        <v>1</v>
      </c>
      <c r="E843" s="300">
        <v>3</v>
      </c>
      <c r="F843" s="300">
        <f>E843*D843</f>
        <v>3</v>
      </c>
      <c r="G843" s="302">
        <v>5</v>
      </c>
      <c r="H843" s="310" t="str">
        <f t="shared" si="868"/>
        <v/>
      </c>
      <c r="I843" s="311" t="str">
        <f t="shared" si="869"/>
        <v/>
      </c>
      <c r="J843" s="311" t="str">
        <f t="shared" si="870"/>
        <v/>
      </c>
      <c r="K843" s="311" t="str">
        <f t="shared" si="871"/>
        <v/>
      </c>
      <c r="L843" s="310">
        <f t="shared" si="872"/>
        <v>15</v>
      </c>
      <c r="M843" s="310" t="str">
        <f t="shared" si="873"/>
        <v/>
      </c>
      <c r="N843" s="311" t="str">
        <f t="shared" si="874"/>
        <v/>
      </c>
    </row>
    <row r="844" spans="1:14">
      <c r="A844" s="253"/>
      <c r="B844" s="254"/>
      <c r="C844" s="299"/>
      <c r="D844" s="299"/>
      <c r="E844" s="300"/>
      <c r="F844" s="300"/>
      <c r="G844" s="302"/>
      <c r="H844" s="310"/>
      <c r="I844" s="311"/>
      <c r="J844" s="311"/>
      <c r="K844" s="311"/>
      <c r="L844" s="310"/>
      <c r="M844" s="310"/>
      <c r="N844" s="311"/>
    </row>
    <row r="845" spans="1:14" ht="16.5">
      <c r="A845" s="303" t="s">
        <v>1613</v>
      </c>
      <c r="B845" s="254"/>
      <c r="C845" s="299"/>
      <c r="D845" s="299"/>
      <c r="E845" s="300"/>
      <c r="F845" s="300"/>
      <c r="G845" s="302"/>
      <c r="H845" s="310"/>
      <c r="I845" s="311"/>
      <c r="J845" s="311"/>
      <c r="K845" s="311"/>
      <c r="L845" s="310"/>
      <c r="M845" s="310"/>
      <c r="N845" s="311"/>
    </row>
    <row r="846" spans="1:14" s="294" customFormat="1">
      <c r="A846" s="297" t="s">
        <v>1515</v>
      </c>
      <c r="B846" s="298"/>
      <c r="C846" s="299" t="s">
        <v>1519</v>
      </c>
      <c r="D846" s="299">
        <v>1</v>
      </c>
      <c r="E846" s="300">
        <v>3</v>
      </c>
      <c r="F846" s="300">
        <f>E846*D846</f>
        <v>3</v>
      </c>
      <c r="G846" s="299">
        <f>(2.7)+17*0.01*2</f>
        <v>3.04</v>
      </c>
      <c r="H846" s="310" t="str">
        <f t="shared" ref="H846:H851" si="876">IF(C846="T6",G846*F846,"")</f>
        <v/>
      </c>
      <c r="I846" s="311" t="str">
        <f t="shared" ref="I846:I851" si="877">IF(C846="T8",F846*G846,"")</f>
        <v/>
      </c>
      <c r="J846" s="311">
        <f t="shared" ref="J846:J851" si="878">IF(C846="T10",F846*G846,"")</f>
        <v>9.1199999999999992</v>
      </c>
      <c r="K846" s="311" t="str">
        <f t="shared" ref="K846:K851" si="879">IF(C846="T12",F846*G846,"")</f>
        <v/>
      </c>
      <c r="L846" s="310" t="str">
        <f t="shared" ref="L846:L851" si="880">IF(C846="T14",F846*G846,"")</f>
        <v/>
      </c>
      <c r="M846" s="310" t="str">
        <f t="shared" ref="M846:M851" si="881">IF(C846="T16",G846*F846,"")</f>
        <v/>
      </c>
      <c r="N846" s="311" t="str">
        <f t="shared" ref="N846:N851" si="882">IF(C846="T20",G846*F846,"")</f>
        <v/>
      </c>
    </row>
    <row r="847" spans="1:14" s="294" customFormat="1">
      <c r="A847" s="297" t="s">
        <v>1515</v>
      </c>
      <c r="B847" s="298"/>
      <c r="C847" s="299" t="s">
        <v>1492</v>
      </c>
      <c r="D847" s="299">
        <v>1</v>
      </c>
      <c r="E847" s="300">
        <v>3</v>
      </c>
      <c r="F847" s="300">
        <f>E847*D847</f>
        <v>3</v>
      </c>
      <c r="G847" s="302">
        <f>(2.7)+17*0.014*2</f>
        <v>3.18</v>
      </c>
      <c r="H847" s="310" t="str">
        <f t="shared" si="876"/>
        <v/>
      </c>
      <c r="I847" s="311" t="str">
        <f t="shared" si="877"/>
        <v/>
      </c>
      <c r="J847" s="311" t="str">
        <f t="shared" si="878"/>
        <v/>
      </c>
      <c r="K847" s="311" t="str">
        <f t="shared" si="879"/>
        <v/>
      </c>
      <c r="L847" s="310">
        <f t="shared" si="880"/>
        <v>9.5399999999999991</v>
      </c>
      <c r="M847" s="310" t="str">
        <f t="shared" si="881"/>
        <v/>
      </c>
      <c r="N847" s="311" t="str">
        <f t="shared" si="882"/>
        <v/>
      </c>
    </row>
    <row r="848" spans="1:14" s="294" customFormat="1">
      <c r="A848" s="297" t="s">
        <v>1494</v>
      </c>
      <c r="B848" s="301"/>
      <c r="C848" s="299" t="s">
        <v>1496</v>
      </c>
      <c r="D848" s="299">
        <v>1</v>
      </c>
      <c r="E848" s="300">
        <f>9+7+9</f>
        <v>25</v>
      </c>
      <c r="F848" s="300">
        <f t="shared" ref="F848:F849" si="883">E848*D848</f>
        <v>25</v>
      </c>
      <c r="G848" s="302">
        <f>(0.2+0.35)*2+17*0.008*2</f>
        <v>1.37</v>
      </c>
      <c r="H848" s="310" t="str">
        <f t="shared" si="876"/>
        <v/>
      </c>
      <c r="I848" s="311">
        <f t="shared" si="877"/>
        <v>34.25</v>
      </c>
      <c r="J848" s="311" t="str">
        <f t="shared" si="878"/>
        <v/>
      </c>
      <c r="K848" s="311" t="str">
        <f t="shared" si="879"/>
        <v/>
      </c>
      <c r="L848" s="310" t="str">
        <f t="shared" si="880"/>
        <v/>
      </c>
      <c r="M848" s="310" t="str">
        <f t="shared" si="881"/>
        <v/>
      </c>
      <c r="N848" s="311" t="str">
        <f t="shared" si="882"/>
        <v/>
      </c>
    </row>
    <row r="849" spans="1:14" s="294" customFormat="1">
      <c r="A849" s="297" t="s">
        <v>1517</v>
      </c>
      <c r="B849" s="301"/>
      <c r="C849" s="299" t="s">
        <v>1496</v>
      </c>
      <c r="D849" s="299">
        <v>1</v>
      </c>
      <c r="E849" s="300">
        <f>9+7+9</f>
        <v>25</v>
      </c>
      <c r="F849" s="300">
        <f t="shared" si="883"/>
        <v>25</v>
      </c>
      <c r="G849" s="302">
        <f>(0.35*2)+17*0.008*2</f>
        <v>0.97</v>
      </c>
      <c r="H849" s="310" t="str">
        <f t="shared" si="876"/>
        <v/>
      </c>
      <c r="I849" s="311">
        <f t="shared" si="877"/>
        <v>24.25</v>
      </c>
      <c r="J849" s="311" t="str">
        <f t="shared" si="878"/>
        <v/>
      </c>
      <c r="K849" s="311" t="str">
        <f t="shared" si="879"/>
        <v/>
      </c>
      <c r="L849" s="310" t="str">
        <f t="shared" si="880"/>
        <v/>
      </c>
      <c r="M849" s="310" t="str">
        <f t="shared" si="881"/>
        <v/>
      </c>
      <c r="N849" s="311" t="str">
        <f t="shared" si="882"/>
        <v/>
      </c>
    </row>
    <row r="850" spans="1:14">
      <c r="A850" s="297" t="s">
        <v>1520</v>
      </c>
      <c r="B850" s="254"/>
      <c r="C850" s="299" t="s">
        <v>1492</v>
      </c>
      <c r="D850" s="299">
        <v>1</v>
      </c>
      <c r="E850" s="300">
        <v>3</v>
      </c>
      <c r="F850" s="300">
        <f>E850*D850</f>
        <v>3</v>
      </c>
      <c r="G850" s="302">
        <v>2.2000000000000002</v>
      </c>
      <c r="H850" s="310" t="str">
        <f t="shared" si="876"/>
        <v/>
      </c>
      <c r="I850" s="311" t="str">
        <f t="shared" si="877"/>
        <v/>
      </c>
      <c r="J850" s="311" t="str">
        <f t="shared" si="878"/>
        <v/>
      </c>
      <c r="K850" s="311" t="str">
        <f t="shared" si="879"/>
        <v/>
      </c>
      <c r="L850" s="310">
        <f t="shared" si="880"/>
        <v>6.6</v>
      </c>
      <c r="M850" s="310" t="str">
        <f t="shared" si="881"/>
        <v/>
      </c>
      <c r="N850" s="311" t="str">
        <f t="shared" si="882"/>
        <v/>
      </c>
    </row>
    <row r="851" spans="1:14">
      <c r="A851" s="253"/>
      <c r="B851" s="254"/>
      <c r="C851" s="299" t="s">
        <v>1498</v>
      </c>
      <c r="D851" s="299">
        <v>1</v>
      </c>
      <c r="E851" s="300">
        <v>6</v>
      </c>
      <c r="F851" s="300">
        <f>E851*D851</f>
        <v>6</v>
      </c>
      <c r="G851" s="302">
        <v>3</v>
      </c>
      <c r="H851" s="310" t="str">
        <f t="shared" si="876"/>
        <v/>
      </c>
      <c r="I851" s="311" t="str">
        <f t="shared" si="877"/>
        <v/>
      </c>
      <c r="J851" s="311" t="str">
        <f t="shared" si="878"/>
        <v/>
      </c>
      <c r="K851" s="311" t="str">
        <f t="shared" si="879"/>
        <v/>
      </c>
      <c r="L851" s="310" t="str">
        <f t="shared" si="880"/>
        <v/>
      </c>
      <c r="M851" s="310">
        <f t="shared" si="881"/>
        <v>18</v>
      </c>
      <c r="N851" s="311" t="str">
        <f t="shared" si="882"/>
        <v/>
      </c>
    </row>
    <row r="852" spans="1:14">
      <c r="A852" s="253"/>
      <c r="B852" s="254"/>
      <c r="C852" s="299"/>
      <c r="D852" s="299"/>
      <c r="E852" s="300"/>
      <c r="F852" s="300"/>
      <c r="G852" s="302"/>
      <c r="H852" s="310"/>
      <c r="I852" s="311"/>
      <c r="J852" s="311"/>
      <c r="K852" s="311"/>
      <c r="L852" s="310"/>
      <c r="M852" s="310"/>
      <c r="N852" s="311"/>
    </row>
    <row r="853" spans="1:14" ht="16.5">
      <c r="A853" s="303" t="s">
        <v>1612</v>
      </c>
      <c r="B853" s="254"/>
      <c r="C853" s="299"/>
      <c r="D853" s="299"/>
      <c r="E853" s="300"/>
      <c r="F853" s="300"/>
      <c r="G853" s="302"/>
      <c r="H853" s="310"/>
      <c r="I853" s="311"/>
      <c r="J853" s="311"/>
      <c r="K853" s="311"/>
      <c r="L853" s="310"/>
      <c r="M853" s="310"/>
      <c r="N853" s="311"/>
    </row>
    <row r="854" spans="1:14" s="294" customFormat="1">
      <c r="A854" s="297" t="s">
        <v>1515</v>
      </c>
      <c r="B854" s="298"/>
      <c r="C854" s="299" t="s">
        <v>1519</v>
      </c>
      <c r="D854" s="299">
        <v>1</v>
      </c>
      <c r="E854" s="300">
        <v>3</v>
      </c>
      <c r="F854" s="300">
        <f>E854*D854</f>
        <v>3</v>
      </c>
      <c r="G854" s="299">
        <f>(1.95)+17*0.01*2</f>
        <v>2.29</v>
      </c>
      <c r="H854" s="310" t="str">
        <f t="shared" ref="H854:H859" si="884">IF(C854="T6",G854*F854,"")</f>
        <v/>
      </c>
      <c r="I854" s="311" t="str">
        <f t="shared" ref="I854:I859" si="885">IF(C854="T8",F854*G854,"")</f>
        <v/>
      </c>
      <c r="J854" s="311">
        <f t="shared" ref="J854:J859" si="886">IF(C854="T10",F854*G854,"")</f>
        <v>6.87</v>
      </c>
      <c r="K854" s="311" t="str">
        <f t="shared" ref="K854:K859" si="887">IF(C854="T12",F854*G854,"")</f>
        <v/>
      </c>
      <c r="L854" s="310" t="str">
        <f t="shared" ref="L854:L859" si="888">IF(C854="T14",F854*G854,"")</f>
        <v/>
      </c>
      <c r="M854" s="310" t="str">
        <f t="shared" ref="M854:M859" si="889">IF(C854="T16",G854*F854,"")</f>
        <v/>
      </c>
      <c r="N854" s="311" t="str">
        <f t="shared" ref="N854:N859" si="890">IF(C854="T20",G854*F854,"")</f>
        <v/>
      </c>
    </row>
    <row r="855" spans="1:14" s="294" customFormat="1">
      <c r="A855" s="297" t="s">
        <v>1515</v>
      </c>
      <c r="B855" s="298"/>
      <c r="C855" s="299" t="s">
        <v>1492</v>
      </c>
      <c r="D855" s="299">
        <v>1</v>
      </c>
      <c r="E855" s="300">
        <v>3</v>
      </c>
      <c r="F855" s="300">
        <f>E855*D855</f>
        <v>3</v>
      </c>
      <c r="G855" s="302">
        <f>(1.95)+17*0.014*2</f>
        <v>2.4300000000000002</v>
      </c>
      <c r="H855" s="310" t="str">
        <f t="shared" si="884"/>
        <v/>
      </c>
      <c r="I855" s="311" t="str">
        <f t="shared" si="885"/>
        <v/>
      </c>
      <c r="J855" s="311" t="str">
        <f t="shared" si="886"/>
        <v/>
      </c>
      <c r="K855" s="311" t="str">
        <f t="shared" si="887"/>
        <v/>
      </c>
      <c r="L855" s="310">
        <f t="shared" si="888"/>
        <v>7.29</v>
      </c>
      <c r="M855" s="310" t="str">
        <f t="shared" si="889"/>
        <v/>
      </c>
      <c r="N855" s="311" t="str">
        <f t="shared" si="890"/>
        <v/>
      </c>
    </row>
    <row r="856" spans="1:14" s="294" customFormat="1">
      <c r="A856" s="297" t="s">
        <v>1494</v>
      </c>
      <c r="B856" s="301"/>
      <c r="C856" s="299" t="s">
        <v>1496</v>
      </c>
      <c r="D856" s="299">
        <v>1</v>
      </c>
      <c r="E856" s="300">
        <f>6+5+6</f>
        <v>17</v>
      </c>
      <c r="F856" s="300">
        <f t="shared" ref="F856:F857" si="891">E856*D856</f>
        <v>17</v>
      </c>
      <c r="G856" s="302">
        <f>(0.2+0.35)*2+17*0.008*2</f>
        <v>1.37</v>
      </c>
      <c r="H856" s="310" t="str">
        <f t="shared" si="884"/>
        <v/>
      </c>
      <c r="I856" s="311">
        <f t="shared" si="885"/>
        <v>23.29</v>
      </c>
      <c r="J856" s="311" t="str">
        <f t="shared" si="886"/>
        <v/>
      </c>
      <c r="K856" s="311" t="str">
        <f t="shared" si="887"/>
        <v/>
      </c>
      <c r="L856" s="310" t="str">
        <f t="shared" si="888"/>
        <v/>
      </c>
      <c r="M856" s="310" t="str">
        <f t="shared" si="889"/>
        <v/>
      </c>
      <c r="N856" s="311" t="str">
        <f t="shared" si="890"/>
        <v/>
      </c>
    </row>
    <row r="857" spans="1:14" s="294" customFormat="1">
      <c r="A857" s="297" t="s">
        <v>1517</v>
      </c>
      <c r="B857" s="301"/>
      <c r="C857" s="299" t="s">
        <v>1496</v>
      </c>
      <c r="D857" s="299">
        <v>1</v>
      </c>
      <c r="E857" s="300">
        <f>6+5+6</f>
        <v>17</v>
      </c>
      <c r="F857" s="300">
        <f t="shared" si="891"/>
        <v>17</v>
      </c>
      <c r="G857" s="302">
        <f>(0.35*2)+17*0.008*2</f>
        <v>0.97</v>
      </c>
      <c r="H857" s="310" t="str">
        <f t="shared" si="884"/>
        <v/>
      </c>
      <c r="I857" s="311">
        <f t="shared" si="885"/>
        <v>16.489999999999998</v>
      </c>
      <c r="J857" s="311" t="str">
        <f t="shared" si="886"/>
        <v/>
      </c>
      <c r="K857" s="311" t="str">
        <f t="shared" si="887"/>
        <v/>
      </c>
      <c r="L857" s="310" t="str">
        <f t="shared" si="888"/>
        <v/>
      </c>
      <c r="M857" s="310" t="str">
        <f t="shared" si="889"/>
        <v/>
      </c>
      <c r="N857" s="311" t="str">
        <f t="shared" si="890"/>
        <v/>
      </c>
    </row>
    <row r="858" spans="1:14">
      <c r="A858" s="297" t="s">
        <v>1520</v>
      </c>
      <c r="B858" s="254"/>
      <c r="C858" s="299" t="s">
        <v>1492</v>
      </c>
      <c r="D858" s="299">
        <v>1</v>
      </c>
      <c r="E858" s="300">
        <v>3</v>
      </c>
      <c r="F858" s="300">
        <f>E858*D858</f>
        <v>3</v>
      </c>
      <c r="G858" s="302">
        <v>2.2000000000000002</v>
      </c>
      <c r="H858" s="310" t="str">
        <f t="shared" si="884"/>
        <v/>
      </c>
      <c r="I858" s="311" t="str">
        <f t="shared" si="885"/>
        <v/>
      </c>
      <c r="J858" s="311" t="str">
        <f t="shared" si="886"/>
        <v/>
      </c>
      <c r="K858" s="311" t="str">
        <f t="shared" si="887"/>
        <v/>
      </c>
      <c r="L858" s="310">
        <f t="shared" si="888"/>
        <v>6.6</v>
      </c>
      <c r="M858" s="310" t="str">
        <f t="shared" si="889"/>
        <v/>
      </c>
      <c r="N858" s="311" t="str">
        <f t="shared" si="890"/>
        <v/>
      </c>
    </row>
    <row r="859" spans="1:14">
      <c r="A859" s="253"/>
      <c r="B859" s="254"/>
      <c r="C859" s="299" t="s">
        <v>1492</v>
      </c>
      <c r="D859" s="299">
        <v>1</v>
      </c>
      <c r="E859" s="300">
        <v>3</v>
      </c>
      <c r="F859" s="300">
        <f>E859*D859</f>
        <v>3</v>
      </c>
      <c r="G859" s="302">
        <v>1</v>
      </c>
      <c r="H859" s="310" t="str">
        <f t="shared" si="884"/>
        <v/>
      </c>
      <c r="I859" s="311" t="str">
        <f t="shared" si="885"/>
        <v/>
      </c>
      <c r="J859" s="311" t="str">
        <f t="shared" si="886"/>
        <v/>
      </c>
      <c r="K859" s="311" t="str">
        <f t="shared" si="887"/>
        <v/>
      </c>
      <c r="L859" s="310">
        <f t="shared" si="888"/>
        <v>3</v>
      </c>
      <c r="M859" s="310" t="str">
        <f t="shared" si="889"/>
        <v/>
      </c>
      <c r="N859" s="311" t="str">
        <f t="shared" si="890"/>
        <v/>
      </c>
    </row>
    <row r="860" spans="1:14">
      <c r="A860" s="253"/>
      <c r="B860" s="254"/>
      <c r="C860" s="299"/>
      <c r="D860" s="299"/>
      <c r="E860" s="300"/>
      <c r="F860" s="300"/>
      <c r="G860" s="302"/>
      <c r="H860" s="310"/>
      <c r="I860" s="311"/>
      <c r="J860" s="311"/>
      <c r="K860" s="311"/>
      <c r="L860" s="310"/>
      <c r="M860" s="310"/>
      <c r="N860" s="311"/>
    </row>
    <row r="861" spans="1:14" ht="16.5">
      <c r="A861" s="303" t="s">
        <v>1611</v>
      </c>
      <c r="B861" s="254"/>
      <c r="C861" s="299"/>
      <c r="D861" s="299"/>
      <c r="E861" s="300"/>
      <c r="F861" s="300"/>
      <c r="G861" s="302"/>
      <c r="H861" s="310"/>
      <c r="I861" s="311"/>
      <c r="J861" s="311"/>
      <c r="K861" s="311"/>
      <c r="L861" s="310"/>
      <c r="M861" s="310"/>
      <c r="N861" s="311"/>
    </row>
    <row r="862" spans="1:14" s="294" customFormat="1">
      <c r="A862" s="297" t="s">
        <v>1515</v>
      </c>
      <c r="B862" s="298"/>
      <c r="C862" s="299" t="s">
        <v>1519</v>
      </c>
      <c r="D862" s="299">
        <v>1</v>
      </c>
      <c r="E862" s="300">
        <v>3</v>
      </c>
      <c r="F862" s="300">
        <f>E862*D862</f>
        <v>3</v>
      </c>
      <c r="G862" s="299">
        <f>(2.7)+17*0.01*2</f>
        <v>3.04</v>
      </c>
      <c r="H862" s="310" t="str">
        <f t="shared" ref="H862:H867" si="892">IF(C862="T6",G862*F862,"")</f>
        <v/>
      </c>
      <c r="I862" s="311" t="str">
        <f t="shared" ref="I862:I867" si="893">IF(C862="T8",F862*G862,"")</f>
        <v/>
      </c>
      <c r="J862" s="311">
        <f t="shared" ref="J862:J867" si="894">IF(C862="T10",F862*G862,"")</f>
        <v>9.1199999999999992</v>
      </c>
      <c r="K862" s="311" t="str">
        <f t="shared" ref="K862:K867" si="895">IF(C862="T12",F862*G862,"")</f>
        <v/>
      </c>
      <c r="L862" s="310" t="str">
        <f t="shared" ref="L862:L867" si="896">IF(C862="T14",F862*G862,"")</f>
        <v/>
      </c>
      <c r="M862" s="310" t="str">
        <f t="shared" ref="M862:M867" si="897">IF(C862="T16",G862*F862,"")</f>
        <v/>
      </c>
      <c r="N862" s="311" t="str">
        <f t="shared" ref="N862:N867" si="898">IF(C862="T20",G862*F862,"")</f>
        <v/>
      </c>
    </row>
    <row r="863" spans="1:14" s="294" customFormat="1">
      <c r="A863" s="297" t="s">
        <v>1515</v>
      </c>
      <c r="B863" s="298"/>
      <c r="C863" s="299" t="s">
        <v>1492</v>
      </c>
      <c r="D863" s="299">
        <v>1</v>
      </c>
      <c r="E863" s="300">
        <v>3</v>
      </c>
      <c r="F863" s="300">
        <f>E863*D863</f>
        <v>3</v>
      </c>
      <c r="G863" s="302">
        <f>(2.7)+17*0.014*2</f>
        <v>3.18</v>
      </c>
      <c r="H863" s="310" t="str">
        <f t="shared" si="892"/>
        <v/>
      </c>
      <c r="I863" s="311" t="str">
        <f t="shared" si="893"/>
        <v/>
      </c>
      <c r="J863" s="311" t="str">
        <f t="shared" si="894"/>
        <v/>
      </c>
      <c r="K863" s="311" t="str">
        <f t="shared" si="895"/>
        <v/>
      </c>
      <c r="L863" s="310">
        <f t="shared" si="896"/>
        <v>9.5399999999999991</v>
      </c>
      <c r="M863" s="310" t="str">
        <f t="shared" si="897"/>
        <v/>
      </c>
      <c r="N863" s="311" t="str">
        <f t="shared" si="898"/>
        <v/>
      </c>
    </row>
    <row r="864" spans="1:14" s="294" customFormat="1">
      <c r="A864" s="297" t="s">
        <v>1494</v>
      </c>
      <c r="B864" s="301"/>
      <c r="C864" s="299" t="s">
        <v>1496</v>
      </c>
      <c r="D864" s="299">
        <v>1</v>
      </c>
      <c r="E864" s="300">
        <f>9+7+9</f>
        <v>25</v>
      </c>
      <c r="F864" s="300">
        <f t="shared" ref="F864:F865" si="899">E864*D864</f>
        <v>25</v>
      </c>
      <c r="G864" s="302">
        <f>(0.2+0.35)*2+17*0.008*2</f>
        <v>1.37</v>
      </c>
      <c r="H864" s="310" t="str">
        <f t="shared" si="892"/>
        <v/>
      </c>
      <c r="I864" s="311">
        <f t="shared" si="893"/>
        <v>34.25</v>
      </c>
      <c r="J864" s="311" t="str">
        <f t="shared" si="894"/>
        <v/>
      </c>
      <c r="K864" s="311" t="str">
        <f t="shared" si="895"/>
        <v/>
      </c>
      <c r="L864" s="310" t="str">
        <f t="shared" si="896"/>
        <v/>
      </c>
      <c r="M864" s="310" t="str">
        <f t="shared" si="897"/>
        <v/>
      </c>
      <c r="N864" s="311" t="str">
        <f t="shared" si="898"/>
        <v/>
      </c>
    </row>
    <row r="865" spans="1:14" s="294" customFormat="1">
      <c r="A865" s="297" t="s">
        <v>1517</v>
      </c>
      <c r="B865" s="301"/>
      <c r="C865" s="299" t="s">
        <v>1496</v>
      </c>
      <c r="D865" s="299">
        <v>1</v>
      </c>
      <c r="E865" s="300">
        <f>9+7+9</f>
        <v>25</v>
      </c>
      <c r="F865" s="300">
        <f t="shared" si="899"/>
        <v>25</v>
      </c>
      <c r="G865" s="302">
        <f>(0.35*2)+17*0.008*2</f>
        <v>0.97</v>
      </c>
      <c r="H865" s="310" t="str">
        <f t="shared" si="892"/>
        <v/>
      </c>
      <c r="I865" s="311">
        <f t="shared" si="893"/>
        <v>24.25</v>
      </c>
      <c r="J865" s="311" t="str">
        <f t="shared" si="894"/>
        <v/>
      </c>
      <c r="K865" s="311" t="str">
        <f t="shared" si="895"/>
        <v/>
      </c>
      <c r="L865" s="310" t="str">
        <f t="shared" si="896"/>
        <v/>
      </c>
      <c r="M865" s="310" t="str">
        <f t="shared" si="897"/>
        <v/>
      </c>
      <c r="N865" s="311" t="str">
        <f t="shared" si="898"/>
        <v/>
      </c>
    </row>
    <row r="866" spans="1:14">
      <c r="A866" s="297" t="s">
        <v>1520</v>
      </c>
      <c r="B866" s="254"/>
      <c r="C866" s="299" t="s">
        <v>1492</v>
      </c>
      <c r="D866" s="299">
        <v>1</v>
      </c>
      <c r="E866" s="300">
        <v>3</v>
      </c>
      <c r="F866" s="300">
        <f>E866*D866</f>
        <v>3</v>
      </c>
      <c r="G866" s="302">
        <v>1.6</v>
      </c>
      <c r="H866" s="310" t="str">
        <f t="shared" si="892"/>
        <v/>
      </c>
      <c r="I866" s="311" t="str">
        <f t="shared" si="893"/>
        <v/>
      </c>
      <c r="J866" s="311" t="str">
        <f t="shared" si="894"/>
        <v/>
      </c>
      <c r="K866" s="311" t="str">
        <f t="shared" si="895"/>
        <v/>
      </c>
      <c r="L866" s="310">
        <f t="shared" si="896"/>
        <v>4.8</v>
      </c>
      <c r="M866" s="310" t="str">
        <f t="shared" si="897"/>
        <v/>
      </c>
      <c r="N866" s="311" t="str">
        <f t="shared" si="898"/>
        <v/>
      </c>
    </row>
    <row r="867" spans="1:14">
      <c r="A867" s="253"/>
      <c r="B867" s="254"/>
      <c r="C867" s="299" t="s">
        <v>1498</v>
      </c>
      <c r="D867" s="299">
        <v>1</v>
      </c>
      <c r="E867" s="300">
        <v>6</v>
      </c>
      <c r="F867" s="300">
        <f>E867*D867</f>
        <v>6</v>
      </c>
      <c r="G867" s="302">
        <v>3.8</v>
      </c>
      <c r="H867" s="310" t="str">
        <f t="shared" si="892"/>
        <v/>
      </c>
      <c r="I867" s="311" t="str">
        <f t="shared" si="893"/>
        <v/>
      </c>
      <c r="J867" s="311" t="str">
        <f t="shared" si="894"/>
        <v/>
      </c>
      <c r="K867" s="311" t="str">
        <f t="shared" si="895"/>
        <v/>
      </c>
      <c r="L867" s="310" t="str">
        <f t="shared" si="896"/>
        <v/>
      </c>
      <c r="M867" s="310">
        <f t="shared" si="897"/>
        <v>22.8</v>
      </c>
      <c r="N867" s="311" t="str">
        <f t="shared" si="898"/>
        <v/>
      </c>
    </row>
    <row r="868" spans="1:14">
      <c r="A868" s="253"/>
      <c r="B868" s="254"/>
      <c r="C868" s="299"/>
      <c r="D868" s="299"/>
      <c r="E868" s="300"/>
      <c r="F868" s="300"/>
      <c r="G868" s="302"/>
      <c r="H868" s="310"/>
      <c r="I868" s="311"/>
      <c r="J868" s="311"/>
      <c r="K868" s="311"/>
      <c r="L868" s="310"/>
      <c r="M868" s="310"/>
      <c r="N868" s="311"/>
    </row>
    <row r="869" spans="1:14" ht="16.5">
      <c r="A869" s="303" t="s">
        <v>1610</v>
      </c>
      <c r="B869" s="254"/>
      <c r="C869" s="299"/>
      <c r="D869" s="299"/>
      <c r="E869" s="300"/>
      <c r="F869" s="300"/>
      <c r="G869" s="302"/>
      <c r="H869" s="310"/>
      <c r="I869" s="311"/>
      <c r="J869" s="311"/>
      <c r="K869" s="311"/>
      <c r="L869" s="310"/>
      <c r="M869" s="310"/>
      <c r="N869" s="311"/>
    </row>
    <row r="870" spans="1:14" s="294" customFormat="1">
      <c r="A870" s="297" t="s">
        <v>1515</v>
      </c>
      <c r="B870" s="298"/>
      <c r="C870" s="299" t="s">
        <v>1492</v>
      </c>
      <c r="D870" s="299">
        <v>1</v>
      </c>
      <c r="E870" s="300">
        <v>3</v>
      </c>
      <c r="F870" s="300">
        <f>E870*D870</f>
        <v>3</v>
      </c>
      <c r="G870" s="299">
        <f>(5.45)+17*0.014*2</f>
        <v>5.9260000000000002</v>
      </c>
      <c r="H870" s="310" t="str">
        <f t="shared" ref="H870:H878" si="900">IF(C870="T6",G870*F870,"")</f>
        <v/>
      </c>
      <c r="I870" s="311" t="str">
        <f t="shared" ref="I870:I878" si="901">IF(C870="T8",F870*G870,"")</f>
        <v/>
      </c>
      <c r="J870" s="311" t="str">
        <f t="shared" ref="J870:J878" si="902">IF(C870="T10",F870*G870,"")</f>
        <v/>
      </c>
      <c r="K870" s="311" t="str">
        <f t="shared" ref="K870:K878" si="903">IF(C870="T12",F870*G870,"")</f>
        <v/>
      </c>
      <c r="L870" s="310">
        <f t="shared" ref="L870:L878" si="904">IF(C870="T14",F870*G870,"")</f>
        <v>17.78</v>
      </c>
      <c r="M870" s="310" t="str">
        <f t="shared" ref="M870:M878" si="905">IF(C870="T16",G870*F870,"")</f>
        <v/>
      </c>
      <c r="N870" s="311" t="str">
        <f t="shared" ref="N870:N878" si="906">IF(C870="T20",G870*F870,"")</f>
        <v/>
      </c>
    </row>
    <row r="871" spans="1:14" s="294" customFormat="1">
      <c r="A871" s="297" t="s">
        <v>1515</v>
      </c>
      <c r="B871" s="298"/>
      <c r="C871" s="299" t="s">
        <v>1498</v>
      </c>
      <c r="D871" s="299">
        <v>1</v>
      </c>
      <c r="E871" s="300">
        <v>3</v>
      </c>
      <c r="F871" s="300">
        <f>E871*D871</f>
        <v>3</v>
      </c>
      <c r="G871" s="299">
        <f>(5.45)+17*0.016*2</f>
        <v>5.9939999999999998</v>
      </c>
      <c r="H871" s="310" t="str">
        <f t="shared" si="900"/>
        <v/>
      </c>
      <c r="I871" s="311" t="str">
        <f t="shared" si="901"/>
        <v/>
      </c>
      <c r="J871" s="311" t="str">
        <f t="shared" si="902"/>
        <v/>
      </c>
      <c r="K871" s="311" t="str">
        <f t="shared" si="903"/>
        <v/>
      </c>
      <c r="L871" s="310" t="str">
        <f t="shared" si="904"/>
        <v/>
      </c>
      <c r="M871" s="310">
        <f t="shared" si="905"/>
        <v>17.98</v>
      </c>
      <c r="N871" s="311" t="str">
        <f t="shared" si="906"/>
        <v/>
      </c>
    </row>
    <row r="872" spans="1:14" s="294" customFormat="1">
      <c r="A872" s="297"/>
      <c r="B872" s="298"/>
      <c r="C872" s="299" t="s">
        <v>1516</v>
      </c>
      <c r="D872" s="299">
        <v>1</v>
      </c>
      <c r="E872" s="300">
        <v>2</v>
      </c>
      <c r="F872" s="300">
        <f>E872*D872</f>
        <v>2</v>
      </c>
      <c r="G872" s="299">
        <v>5.45</v>
      </c>
      <c r="H872" s="310" t="str">
        <f t="shared" si="900"/>
        <v/>
      </c>
      <c r="I872" s="311" t="str">
        <f t="shared" si="901"/>
        <v/>
      </c>
      <c r="J872" s="311" t="str">
        <f t="shared" si="902"/>
        <v/>
      </c>
      <c r="K872" s="311">
        <f t="shared" si="903"/>
        <v>10.9</v>
      </c>
      <c r="L872" s="310" t="str">
        <f t="shared" si="904"/>
        <v/>
      </c>
      <c r="M872" s="310" t="str">
        <f t="shared" si="905"/>
        <v/>
      </c>
      <c r="N872" s="311" t="str">
        <f t="shared" si="906"/>
        <v/>
      </c>
    </row>
    <row r="873" spans="1:14" s="294" customFormat="1">
      <c r="A873" s="297" t="s">
        <v>1494</v>
      </c>
      <c r="B873" s="301"/>
      <c r="C873" s="299" t="s">
        <v>1496</v>
      </c>
      <c r="D873" s="299">
        <v>1</v>
      </c>
      <c r="E873" s="300">
        <f>17+15+17</f>
        <v>49</v>
      </c>
      <c r="F873" s="300">
        <f t="shared" ref="F873:F874" si="907">E873*D873</f>
        <v>49</v>
      </c>
      <c r="G873" s="302">
        <f>(0.2+0.7)*2+17*0.008*2</f>
        <v>2.0699999999999998</v>
      </c>
      <c r="H873" s="310" t="str">
        <f t="shared" si="900"/>
        <v/>
      </c>
      <c r="I873" s="311">
        <f t="shared" si="901"/>
        <v>101.43</v>
      </c>
      <c r="J873" s="311" t="str">
        <f t="shared" si="902"/>
        <v/>
      </c>
      <c r="K873" s="311" t="str">
        <f t="shared" si="903"/>
        <v/>
      </c>
      <c r="L873" s="310" t="str">
        <f t="shared" si="904"/>
        <v/>
      </c>
      <c r="M873" s="310" t="str">
        <f t="shared" si="905"/>
        <v/>
      </c>
      <c r="N873" s="311" t="str">
        <f t="shared" si="906"/>
        <v/>
      </c>
    </row>
    <row r="874" spans="1:14" s="294" customFormat="1">
      <c r="A874" s="297" t="s">
        <v>1517</v>
      </c>
      <c r="B874" s="301"/>
      <c r="C874" s="299" t="s">
        <v>1496</v>
      </c>
      <c r="D874" s="299">
        <v>1</v>
      </c>
      <c r="E874" s="300">
        <f>17+15+17</f>
        <v>49</v>
      </c>
      <c r="F874" s="300">
        <f t="shared" si="907"/>
        <v>49</v>
      </c>
      <c r="G874" s="302">
        <f>(0.7*2)+17*0.008*2</f>
        <v>1.67</v>
      </c>
      <c r="H874" s="310" t="str">
        <f t="shared" si="900"/>
        <v/>
      </c>
      <c r="I874" s="311">
        <f t="shared" si="901"/>
        <v>81.83</v>
      </c>
      <c r="J874" s="311" t="str">
        <f t="shared" si="902"/>
        <v/>
      </c>
      <c r="K874" s="311" t="str">
        <f t="shared" si="903"/>
        <v/>
      </c>
      <c r="L874" s="310" t="str">
        <f t="shared" si="904"/>
        <v/>
      </c>
      <c r="M874" s="310" t="str">
        <f t="shared" si="905"/>
        <v/>
      </c>
      <c r="N874" s="311" t="str">
        <f t="shared" si="906"/>
        <v/>
      </c>
    </row>
    <row r="875" spans="1:14">
      <c r="A875" s="297" t="s">
        <v>1520</v>
      </c>
      <c r="B875" s="254"/>
      <c r="C875" s="299" t="s">
        <v>1498</v>
      </c>
      <c r="D875" s="299">
        <v>1</v>
      </c>
      <c r="E875" s="300">
        <v>6</v>
      </c>
      <c r="F875" s="300">
        <f>E875*D875</f>
        <v>6</v>
      </c>
      <c r="G875" s="302">
        <v>3.8</v>
      </c>
      <c r="H875" s="310" t="str">
        <f t="shared" si="900"/>
        <v/>
      </c>
      <c r="I875" s="311" t="str">
        <f t="shared" si="901"/>
        <v/>
      </c>
      <c r="J875" s="311" t="str">
        <f t="shared" si="902"/>
        <v/>
      </c>
      <c r="K875" s="311" t="str">
        <f t="shared" si="903"/>
        <v/>
      </c>
      <c r="L875" s="310" t="str">
        <f t="shared" si="904"/>
        <v/>
      </c>
      <c r="M875" s="310">
        <f t="shared" si="905"/>
        <v>22.8</v>
      </c>
      <c r="N875" s="311" t="str">
        <f t="shared" si="906"/>
        <v/>
      </c>
    </row>
    <row r="876" spans="1:14">
      <c r="A876" s="253"/>
      <c r="B876" s="254"/>
      <c r="C876" s="299" t="s">
        <v>1498</v>
      </c>
      <c r="D876" s="299">
        <v>1</v>
      </c>
      <c r="E876" s="300">
        <v>6</v>
      </c>
      <c r="F876" s="300">
        <f>E876*D876</f>
        <v>6</v>
      </c>
      <c r="G876" s="302">
        <v>3</v>
      </c>
      <c r="H876" s="310" t="str">
        <f t="shared" si="900"/>
        <v/>
      </c>
      <c r="I876" s="311" t="str">
        <f t="shared" si="901"/>
        <v/>
      </c>
      <c r="J876" s="311" t="str">
        <f t="shared" si="902"/>
        <v/>
      </c>
      <c r="K876" s="311" t="str">
        <f t="shared" si="903"/>
        <v/>
      </c>
      <c r="L876" s="310" t="str">
        <f t="shared" si="904"/>
        <v/>
      </c>
      <c r="M876" s="310">
        <f t="shared" si="905"/>
        <v>18</v>
      </c>
      <c r="N876" s="311" t="str">
        <f t="shared" si="906"/>
        <v/>
      </c>
    </row>
    <row r="877" spans="1:14">
      <c r="A877" s="253"/>
      <c r="B877" s="254"/>
      <c r="C877" s="299" t="s">
        <v>1492</v>
      </c>
      <c r="D877" s="299">
        <v>1</v>
      </c>
      <c r="E877" s="300">
        <v>3</v>
      </c>
      <c r="F877" s="300">
        <f>E877*D877</f>
        <v>3</v>
      </c>
      <c r="G877" s="302">
        <v>4.8</v>
      </c>
      <c r="H877" s="310" t="str">
        <f t="shared" si="900"/>
        <v/>
      </c>
      <c r="I877" s="311" t="str">
        <f t="shared" si="901"/>
        <v/>
      </c>
      <c r="J877" s="311" t="str">
        <f t="shared" si="902"/>
        <v/>
      </c>
      <c r="K877" s="311" t="str">
        <f t="shared" si="903"/>
        <v/>
      </c>
      <c r="L877" s="310">
        <f t="shared" si="904"/>
        <v>14.4</v>
      </c>
      <c r="M877" s="310" t="str">
        <f t="shared" si="905"/>
        <v/>
      </c>
      <c r="N877" s="311" t="str">
        <f t="shared" si="906"/>
        <v/>
      </c>
    </row>
    <row r="878" spans="1:14">
      <c r="A878" s="253"/>
      <c r="B878" s="254"/>
      <c r="C878" s="299" t="s">
        <v>1492</v>
      </c>
      <c r="D878" s="299">
        <v>1</v>
      </c>
      <c r="E878" s="300">
        <v>3</v>
      </c>
      <c r="F878" s="300">
        <f>E878*D878</f>
        <v>3</v>
      </c>
      <c r="G878" s="302">
        <v>5</v>
      </c>
      <c r="H878" s="310" t="str">
        <f t="shared" si="900"/>
        <v/>
      </c>
      <c r="I878" s="311" t="str">
        <f t="shared" si="901"/>
        <v/>
      </c>
      <c r="J878" s="311" t="str">
        <f t="shared" si="902"/>
        <v/>
      </c>
      <c r="K878" s="311" t="str">
        <f t="shared" si="903"/>
        <v/>
      </c>
      <c r="L878" s="310">
        <f t="shared" si="904"/>
        <v>15</v>
      </c>
      <c r="M878" s="310" t="str">
        <f t="shared" si="905"/>
        <v/>
      </c>
      <c r="N878" s="311" t="str">
        <f t="shared" si="906"/>
        <v/>
      </c>
    </row>
    <row r="879" spans="1:14">
      <c r="A879" s="253"/>
      <c r="B879" s="254"/>
      <c r="C879" s="299"/>
      <c r="D879" s="299"/>
      <c r="E879" s="300"/>
      <c r="F879" s="300"/>
      <c r="G879" s="302"/>
      <c r="H879" s="310"/>
      <c r="I879" s="311"/>
      <c r="J879" s="311"/>
      <c r="K879" s="311"/>
      <c r="L879" s="310"/>
      <c r="M879" s="310"/>
      <c r="N879" s="311"/>
    </row>
    <row r="880" spans="1:14" ht="16.5">
      <c r="A880" s="303" t="s">
        <v>1609</v>
      </c>
      <c r="B880" s="254"/>
      <c r="C880" s="299"/>
      <c r="D880" s="299"/>
      <c r="E880" s="300"/>
      <c r="F880" s="300"/>
      <c r="G880" s="302"/>
      <c r="H880" s="310"/>
      <c r="I880" s="311"/>
      <c r="J880" s="311"/>
      <c r="K880" s="311"/>
      <c r="L880" s="310"/>
      <c r="M880" s="310"/>
      <c r="N880" s="311"/>
    </row>
    <row r="881" spans="1:14" s="294" customFormat="1" ht="15" customHeight="1">
      <c r="A881" s="297" t="s">
        <v>1515</v>
      </c>
      <c r="B881" s="298"/>
      <c r="C881" s="299" t="s">
        <v>1519</v>
      </c>
      <c r="D881" s="299">
        <v>1</v>
      </c>
      <c r="E881" s="300">
        <v>3</v>
      </c>
      <c r="F881" s="300">
        <f>E881*D881</f>
        <v>3</v>
      </c>
      <c r="G881" s="299">
        <f>(2.7)+17*0.01*2</f>
        <v>3.04</v>
      </c>
      <c r="H881" s="310" t="str">
        <f t="shared" ref="H881:H886" si="908">IF(C881="T6",G881*F881,"")</f>
        <v/>
      </c>
      <c r="I881" s="311" t="str">
        <f t="shared" ref="I881:I886" si="909">IF(C881="T8",F881*G881,"")</f>
        <v/>
      </c>
      <c r="J881" s="311">
        <f t="shared" ref="J881:J886" si="910">IF(C881="T10",F881*G881,"")</f>
        <v>9.1199999999999992</v>
      </c>
      <c r="K881" s="311" t="str">
        <f t="shared" ref="K881:K886" si="911">IF(C881="T12",F881*G881,"")</f>
        <v/>
      </c>
      <c r="L881" s="310" t="str">
        <f t="shared" ref="L881:L886" si="912">IF(C881="T14",F881*G881,"")</f>
        <v/>
      </c>
      <c r="M881" s="310" t="str">
        <f t="shared" ref="M881:M886" si="913">IF(C881="T16",G881*F881,"")</f>
        <v/>
      </c>
      <c r="N881" s="311" t="str">
        <f t="shared" ref="N881:N886" si="914">IF(C881="T20",G881*F881,"")</f>
        <v/>
      </c>
    </row>
    <row r="882" spans="1:14" s="294" customFormat="1" ht="15" customHeight="1">
      <c r="A882" s="297" t="s">
        <v>1515</v>
      </c>
      <c r="B882" s="298"/>
      <c r="C882" s="299" t="s">
        <v>1492</v>
      </c>
      <c r="D882" s="299">
        <v>1</v>
      </c>
      <c r="E882" s="300">
        <v>3</v>
      </c>
      <c r="F882" s="300">
        <f>E882*D882</f>
        <v>3</v>
      </c>
      <c r="G882" s="302">
        <f>(2.7)+17*0.014*2</f>
        <v>3.18</v>
      </c>
      <c r="H882" s="310" t="str">
        <f t="shared" si="908"/>
        <v/>
      </c>
      <c r="I882" s="311" t="str">
        <f t="shared" si="909"/>
        <v/>
      </c>
      <c r="J882" s="311" t="str">
        <f t="shared" si="910"/>
        <v/>
      </c>
      <c r="K882" s="311" t="str">
        <f t="shared" si="911"/>
        <v/>
      </c>
      <c r="L882" s="310">
        <f t="shared" si="912"/>
        <v>9.5399999999999991</v>
      </c>
      <c r="M882" s="310" t="str">
        <f t="shared" si="913"/>
        <v/>
      </c>
      <c r="N882" s="311" t="str">
        <f t="shared" si="914"/>
        <v/>
      </c>
    </row>
    <row r="883" spans="1:14" s="294" customFormat="1" ht="15" customHeight="1">
      <c r="A883" s="297" t="s">
        <v>1494</v>
      </c>
      <c r="B883" s="301"/>
      <c r="C883" s="299" t="s">
        <v>1496</v>
      </c>
      <c r="D883" s="299">
        <v>1</v>
      </c>
      <c r="E883" s="300">
        <f>9+7+9</f>
        <v>25</v>
      </c>
      <c r="F883" s="300">
        <f t="shared" ref="F883:F884" si="915">E883*D883</f>
        <v>25</v>
      </c>
      <c r="G883" s="302">
        <f>(0.2+0.35)*2+17*0.008*2</f>
        <v>1.37</v>
      </c>
      <c r="H883" s="310" t="str">
        <f t="shared" si="908"/>
        <v/>
      </c>
      <c r="I883" s="311">
        <f t="shared" si="909"/>
        <v>34.25</v>
      </c>
      <c r="J883" s="311" t="str">
        <f t="shared" si="910"/>
        <v/>
      </c>
      <c r="K883" s="311" t="str">
        <f t="shared" si="911"/>
        <v/>
      </c>
      <c r="L883" s="310" t="str">
        <f t="shared" si="912"/>
        <v/>
      </c>
      <c r="M883" s="310" t="str">
        <f t="shared" si="913"/>
        <v/>
      </c>
      <c r="N883" s="311" t="str">
        <f t="shared" si="914"/>
        <v/>
      </c>
    </row>
    <row r="884" spans="1:14" s="294" customFormat="1" ht="15" customHeight="1">
      <c r="A884" s="297" t="s">
        <v>1517</v>
      </c>
      <c r="B884" s="301"/>
      <c r="C884" s="299" t="s">
        <v>1496</v>
      </c>
      <c r="D884" s="299">
        <v>1</v>
      </c>
      <c r="E884" s="300">
        <f>9+7+9</f>
        <v>25</v>
      </c>
      <c r="F884" s="300">
        <f t="shared" si="915"/>
        <v>25</v>
      </c>
      <c r="G884" s="302">
        <f>(0.35*2)+17*0.008*2</f>
        <v>0.97</v>
      </c>
      <c r="H884" s="310" t="str">
        <f t="shared" si="908"/>
        <v/>
      </c>
      <c r="I884" s="311">
        <f t="shared" si="909"/>
        <v>24.25</v>
      </c>
      <c r="J884" s="311" t="str">
        <f t="shared" si="910"/>
        <v/>
      </c>
      <c r="K884" s="311" t="str">
        <f t="shared" si="911"/>
        <v/>
      </c>
      <c r="L884" s="310" t="str">
        <f t="shared" si="912"/>
        <v/>
      </c>
      <c r="M884" s="310" t="str">
        <f t="shared" si="913"/>
        <v/>
      </c>
      <c r="N884" s="311" t="str">
        <f t="shared" si="914"/>
        <v/>
      </c>
    </row>
    <row r="885" spans="1:14" ht="15" customHeight="1">
      <c r="A885" s="297" t="s">
        <v>1520</v>
      </c>
      <c r="B885" s="254"/>
      <c r="C885" s="299" t="s">
        <v>1492</v>
      </c>
      <c r="D885" s="299">
        <v>1</v>
      </c>
      <c r="E885" s="300">
        <v>3</v>
      </c>
      <c r="F885" s="300">
        <f>E885*D885</f>
        <v>3</v>
      </c>
      <c r="G885" s="302">
        <v>2.2000000000000002</v>
      </c>
      <c r="H885" s="310" t="str">
        <f t="shared" si="908"/>
        <v/>
      </c>
      <c r="I885" s="311" t="str">
        <f t="shared" si="909"/>
        <v/>
      </c>
      <c r="J885" s="311" t="str">
        <f t="shared" si="910"/>
        <v/>
      </c>
      <c r="K885" s="311" t="str">
        <f t="shared" si="911"/>
        <v/>
      </c>
      <c r="L885" s="310">
        <f t="shared" si="912"/>
        <v>6.6</v>
      </c>
      <c r="M885" s="310" t="str">
        <f t="shared" si="913"/>
        <v/>
      </c>
      <c r="N885" s="311" t="str">
        <f t="shared" si="914"/>
        <v/>
      </c>
    </row>
    <row r="886" spans="1:14" ht="15" customHeight="1">
      <c r="A886" s="253"/>
      <c r="B886" s="254"/>
      <c r="C886" s="299" t="s">
        <v>1492</v>
      </c>
      <c r="D886" s="299">
        <v>1</v>
      </c>
      <c r="E886" s="300">
        <v>3</v>
      </c>
      <c r="F886" s="300">
        <f>E886*D886</f>
        <v>3</v>
      </c>
      <c r="G886" s="302">
        <v>1</v>
      </c>
      <c r="H886" s="310" t="str">
        <f t="shared" si="908"/>
        <v/>
      </c>
      <c r="I886" s="311" t="str">
        <f t="shared" si="909"/>
        <v/>
      </c>
      <c r="J886" s="311" t="str">
        <f t="shared" si="910"/>
        <v/>
      </c>
      <c r="K886" s="311" t="str">
        <f t="shared" si="911"/>
        <v/>
      </c>
      <c r="L886" s="310">
        <f t="shared" si="912"/>
        <v>3</v>
      </c>
      <c r="M886" s="310" t="str">
        <f t="shared" si="913"/>
        <v/>
      </c>
      <c r="N886" s="311" t="str">
        <f t="shared" si="914"/>
        <v/>
      </c>
    </row>
    <row r="887" spans="1:14" ht="15" customHeight="1">
      <c r="A887" s="253"/>
      <c r="B887" s="254"/>
      <c r="C887" s="299"/>
      <c r="D887" s="299"/>
      <c r="E887" s="300"/>
      <c r="F887" s="300"/>
      <c r="G887" s="302"/>
      <c r="H887" s="310"/>
      <c r="I887" s="311"/>
      <c r="J887" s="311"/>
      <c r="K887" s="311"/>
      <c r="L887" s="310"/>
      <c r="M887" s="310"/>
      <c r="N887" s="311"/>
    </row>
    <row r="888" spans="1:14" ht="16.5">
      <c r="A888" s="303" t="s">
        <v>1608</v>
      </c>
      <c r="B888" s="254"/>
      <c r="C888" s="299"/>
      <c r="D888" s="299"/>
      <c r="E888" s="300"/>
      <c r="F888" s="300"/>
      <c r="G888" s="302"/>
      <c r="H888" s="310"/>
      <c r="I888" s="311"/>
      <c r="J888" s="311"/>
      <c r="K888" s="311"/>
      <c r="L888" s="310"/>
      <c r="M888" s="310"/>
      <c r="N888" s="311"/>
    </row>
    <row r="889" spans="1:14" s="294" customFormat="1">
      <c r="A889" s="297" t="s">
        <v>1515</v>
      </c>
      <c r="B889" s="298"/>
      <c r="C889" s="299" t="s">
        <v>1519</v>
      </c>
      <c r="D889" s="299">
        <v>1</v>
      </c>
      <c r="E889" s="300">
        <v>3</v>
      </c>
      <c r="F889" s="300">
        <f>E889*D889</f>
        <v>3</v>
      </c>
      <c r="G889" s="299">
        <f>(1.95)+17*0.01*2</f>
        <v>2.29</v>
      </c>
      <c r="H889" s="310" t="str">
        <f t="shared" ref="H889:H894" si="916">IF(C889="T6",G889*F889,"")</f>
        <v/>
      </c>
      <c r="I889" s="311" t="str">
        <f t="shared" ref="I889:I894" si="917">IF(C889="T8",F889*G889,"")</f>
        <v/>
      </c>
      <c r="J889" s="311">
        <f t="shared" ref="J889:J894" si="918">IF(C889="T10",F889*G889,"")</f>
        <v>6.87</v>
      </c>
      <c r="K889" s="311" t="str">
        <f t="shared" ref="K889:K894" si="919">IF(C889="T12",F889*G889,"")</f>
        <v/>
      </c>
      <c r="L889" s="310" t="str">
        <f t="shared" ref="L889:L894" si="920">IF(C889="T14",F889*G889,"")</f>
        <v/>
      </c>
      <c r="M889" s="310" t="str">
        <f t="shared" ref="M889:M894" si="921">IF(C889="T16",G889*F889,"")</f>
        <v/>
      </c>
      <c r="N889" s="311" t="str">
        <f t="shared" ref="N889:N894" si="922">IF(C889="T20",G889*F889,"")</f>
        <v/>
      </c>
    </row>
    <row r="890" spans="1:14" s="294" customFormat="1">
      <c r="A890" s="297" t="s">
        <v>1515</v>
      </c>
      <c r="B890" s="298"/>
      <c r="C890" s="299" t="s">
        <v>1492</v>
      </c>
      <c r="D890" s="299">
        <v>1</v>
      </c>
      <c r="E890" s="300">
        <v>3</v>
      </c>
      <c r="F890" s="300">
        <f>E890*D890</f>
        <v>3</v>
      </c>
      <c r="G890" s="302">
        <f>(1.95)+17*0.014*2</f>
        <v>2.4300000000000002</v>
      </c>
      <c r="H890" s="310" t="str">
        <f t="shared" si="916"/>
        <v/>
      </c>
      <c r="I890" s="311" t="str">
        <f t="shared" si="917"/>
        <v/>
      </c>
      <c r="J890" s="311" t="str">
        <f t="shared" si="918"/>
        <v/>
      </c>
      <c r="K890" s="311" t="str">
        <f t="shared" si="919"/>
        <v/>
      </c>
      <c r="L890" s="310">
        <f t="shared" si="920"/>
        <v>7.29</v>
      </c>
      <c r="M890" s="310" t="str">
        <f t="shared" si="921"/>
        <v/>
      </c>
      <c r="N890" s="311" t="str">
        <f t="shared" si="922"/>
        <v/>
      </c>
    </row>
    <row r="891" spans="1:14" s="294" customFormat="1">
      <c r="A891" s="297" t="s">
        <v>1494</v>
      </c>
      <c r="B891" s="301"/>
      <c r="C891" s="299" t="s">
        <v>1496</v>
      </c>
      <c r="D891" s="299">
        <v>1</v>
      </c>
      <c r="E891" s="300">
        <f>6+5+6</f>
        <v>17</v>
      </c>
      <c r="F891" s="300">
        <f t="shared" ref="F891:F892" si="923">E891*D891</f>
        <v>17</v>
      </c>
      <c r="G891" s="302">
        <f>(0.2+0.35)*2+17*0.008*2</f>
        <v>1.37</v>
      </c>
      <c r="H891" s="310" t="str">
        <f t="shared" si="916"/>
        <v/>
      </c>
      <c r="I891" s="311">
        <f t="shared" si="917"/>
        <v>23.29</v>
      </c>
      <c r="J891" s="311" t="str">
        <f t="shared" si="918"/>
        <v/>
      </c>
      <c r="K891" s="311" t="str">
        <f t="shared" si="919"/>
        <v/>
      </c>
      <c r="L891" s="310" t="str">
        <f t="shared" si="920"/>
        <v/>
      </c>
      <c r="M891" s="310" t="str">
        <f t="shared" si="921"/>
        <v/>
      </c>
      <c r="N891" s="311" t="str">
        <f t="shared" si="922"/>
        <v/>
      </c>
    </row>
    <row r="892" spans="1:14" s="294" customFormat="1">
      <c r="A892" s="297" t="s">
        <v>1517</v>
      </c>
      <c r="B892" s="301"/>
      <c r="C892" s="299" t="s">
        <v>1496</v>
      </c>
      <c r="D892" s="299">
        <v>1</v>
      </c>
      <c r="E892" s="300">
        <f>6+5+6</f>
        <v>17</v>
      </c>
      <c r="F892" s="300">
        <f t="shared" si="923"/>
        <v>17</v>
      </c>
      <c r="G892" s="302">
        <f>(0.35*2)+17*0.008*2</f>
        <v>0.97</v>
      </c>
      <c r="H892" s="310" t="str">
        <f t="shared" si="916"/>
        <v/>
      </c>
      <c r="I892" s="311">
        <f t="shared" si="917"/>
        <v>16.489999999999998</v>
      </c>
      <c r="J892" s="311" t="str">
        <f t="shared" si="918"/>
        <v/>
      </c>
      <c r="K892" s="311" t="str">
        <f t="shared" si="919"/>
        <v/>
      </c>
      <c r="L892" s="310" t="str">
        <f t="shared" si="920"/>
        <v/>
      </c>
      <c r="M892" s="310" t="str">
        <f t="shared" si="921"/>
        <v/>
      </c>
      <c r="N892" s="311" t="str">
        <f t="shared" si="922"/>
        <v/>
      </c>
    </row>
    <row r="893" spans="1:14">
      <c r="A893" s="297" t="s">
        <v>1520</v>
      </c>
      <c r="B893" s="254"/>
      <c r="C893" s="299" t="s">
        <v>1492</v>
      </c>
      <c r="D893" s="299">
        <v>1</v>
      </c>
      <c r="E893" s="300">
        <v>3</v>
      </c>
      <c r="F893" s="300">
        <f>E893*D893</f>
        <v>3</v>
      </c>
      <c r="G893" s="302">
        <v>2.2000000000000002</v>
      </c>
      <c r="H893" s="310" t="str">
        <f t="shared" si="916"/>
        <v/>
      </c>
      <c r="I893" s="311" t="str">
        <f t="shared" si="917"/>
        <v/>
      </c>
      <c r="J893" s="311" t="str">
        <f t="shared" si="918"/>
        <v/>
      </c>
      <c r="K893" s="311" t="str">
        <f t="shared" si="919"/>
        <v/>
      </c>
      <c r="L893" s="310">
        <f t="shared" si="920"/>
        <v>6.6</v>
      </c>
      <c r="M893" s="310" t="str">
        <f t="shared" si="921"/>
        <v/>
      </c>
      <c r="N893" s="311" t="str">
        <f t="shared" si="922"/>
        <v/>
      </c>
    </row>
    <row r="894" spans="1:14">
      <c r="A894" s="253"/>
      <c r="B894" s="254"/>
      <c r="C894" s="299" t="s">
        <v>1492</v>
      </c>
      <c r="D894" s="299">
        <v>1</v>
      </c>
      <c r="E894" s="300">
        <v>3</v>
      </c>
      <c r="F894" s="300">
        <f>E894*D894</f>
        <v>3</v>
      </c>
      <c r="G894" s="302">
        <v>1</v>
      </c>
      <c r="H894" s="310" t="str">
        <f t="shared" si="916"/>
        <v/>
      </c>
      <c r="I894" s="311" t="str">
        <f t="shared" si="917"/>
        <v/>
      </c>
      <c r="J894" s="311" t="str">
        <f t="shared" si="918"/>
        <v/>
      </c>
      <c r="K894" s="311" t="str">
        <f t="shared" si="919"/>
        <v/>
      </c>
      <c r="L894" s="310">
        <f t="shared" si="920"/>
        <v>3</v>
      </c>
      <c r="M894" s="310" t="str">
        <f t="shared" si="921"/>
        <v/>
      </c>
      <c r="N894" s="311" t="str">
        <f t="shared" si="922"/>
        <v/>
      </c>
    </row>
    <row r="895" spans="1:14">
      <c r="A895" s="253"/>
      <c r="B895" s="254"/>
      <c r="C895" s="299"/>
      <c r="D895" s="299"/>
      <c r="E895" s="300"/>
      <c r="F895" s="300"/>
      <c r="G895" s="302"/>
      <c r="H895" s="310"/>
      <c r="I895" s="311"/>
      <c r="J895" s="311"/>
      <c r="K895" s="311"/>
      <c r="L895" s="310"/>
      <c r="M895" s="310"/>
      <c r="N895" s="311"/>
    </row>
    <row r="896" spans="1:14" ht="16.5">
      <c r="A896" s="303" t="s">
        <v>1607</v>
      </c>
      <c r="B896" s="254"/>
      <c r="C896" s="299"/>
      <c r="D896" s="299"/>
      <c r="E896" s="300"/>
      <c r="F896" s="300"/>
      <c r="G896" s="302"/>
      <c r="H896" s="310"/>
      <c r="I896" s="311"/>
      <c r="J896" s="311"/>
      <c r="K896" s="311"/>
      <c r="L896" s="310"/>
      <c r="M896" s="310"/>
      <c r="N896" s="311"/>
    </row>
    <row r="897" spans="1:14" s="294" customFormat="1">
      <c r="A897" s="297" t="s">
        <v>1515</v>
      </c>
      <c r="B897" s="298"/>
      <c r="C897" s="299" t="s">
        <v>1519</v>
      </c>
      <c r="D897" s="299">
        <v>1</v>
      </c>
      <c r="E897" s="300">
        <v>3</v>
      </c>
      <c r="F897" s="300">
        <f>E897*D897</f>
        <v>3</v>
      </c>
      <c r="G897" s="299">
        <f>(2.7)+17*0.01*2</f>
        <v>3.04</v>
      </c>
      <c r="H897" s="310" t="str">
        <f t="shared" ref="H897:H902" si="924">IF(C897="T6",G897*F897,"")</f>
        <v/>
      </c>
      <c r="I897" s="311" t="str">
        <f t="shared" ref="I897:I902" si="925">IF(C897="T8",F897*G897,"")</f>
        <v/>
      </c>
      <c r="J897" s="311">
        <f t="shared" ref="J897:J902" si="926">IF(C897="T10",F897*G897,"")</f>
        <v>9.1199999999999992</v>
      </c>
      <c r="K897" s="311" t="str">
        <f t="shared" ref="K897:K902" si="927">IF(C897="T12",F897*G897,"")</f>
        <v/>
      </c>
      <c r="L897" s="310" t="str">
        <f t="shared" ref="L897:L902" si="928">IF(C897="T14",F897*G897,"")</f>
        <v/>
      </c>
      <c r="M897" s="310" t="str">
        <f t="shared" ref="M897:M902" si="929">IF(C897="T16",G897*F897,"")</f>
        <v/>
      </c>
      <c r="N897" s="311" t="str">
        <f t="shared" ref="N897:N902" si="930">IF(C897="T20",G897*F897,"")</f>
        <v/>
      </c>
    </row>
    <row r="898" spans="1:14" s="294" customFormat="1">
      <c r="A898" s="297" t="s">
        <v>1515</v>
      </c>
      <c r="B898" s="298"/>
      <c r="C898" s="299" t="s">
        <v>1492</v>
      </c>
      <c r="D898" s="299">
        <v>1</v>
      </c>
      <c r="E898" s="300">
        <v>3</v>
      </c>
      <c r="F898" s="300">
        <f>E898*D898</f>
        <v>3</v>
      </c>
      <c r="G898" s="302">
        <f>(2.7)+17*0.014*2</f>
        <v>3.18</v>
      </c>
      <c r="H898" s="310" t="str">
        <f t="shared" si="924"/>
        <v/>
      </c>
      <c r="I898" s="311" t="str">
        <f t="shared" si="925"/>
        <v/>
      </c>
      <c r="J898" s="311" t="str">
        <f t="shared" si="926"/>
        <v/>
      </c>
      <c r="K898" s="311" t="str">
        <f t="shared" si="927"/>
        <v/>
      </c>
      <c r="L898" s="310">
        <f t="shared" si="928"/>
        <v>9.5399999999999991</v>
      </c>
      <c r="M898" s="310" t="str">
        <f t="shared" si="929"/>
        <v/>
      </c>
      <c r="N898" s="311" t="str">
        <f t="shared" si="930"/>
        <v/>
      </c>
    </row>
    <row r="899" spans="1:14" s="294" customFormat="1">
      <c r="A899" s="297" t="s">
        <v>1494</v>
      </c>
      <c r="B899" s="301"/>
      <c r="C899" s="299" t="s">
        <v>1496</v>
      </c>
      <c r="D899" s="299">
        <v>1</v>
      </c>
      <c r="E899" s="300">
        <f>9+10+9</f>
        <v>28</v>
      </c>
      <c r="F899" s="300">
        <f t="shared" ref="F899:F900" si="931">E899*D899</f>
        <v>28</v>
      </c>
      <c r="G899" s="302">
        <f>(0.2+0.35)*2+17*0.008*2</f>
        <v>1.37</v>
      </c>
      <c r="H899" s="310" t="str">
        <f t="shared" si="924"/>
        <v/>
      </c>
      <c r="I899" s="311">
        <f t="shared" si="925"/>
        <v>38.36</v>
      </c>
      <c r="J899" s="311" t="str">
        <f t="shared" si="926"/>
        <v/>
      </c>
      <c r="K899" s="311" t="str">
        <f t="shared" si="927"/>
        <v/>
      </c>
      <c r="L899" s="310" t="str">
        <f t="shared" si="928"/>
        <v/>
      </c>
      <c r="M899" s="310" t="str">
        <f t="shared" si="929"/>
        <v/>
      </c>
      <c r="N899" s="311" t="str">
        <f t="shared" si="930"/>
        <v/>
      </c>
    </row>
    <row r="900" spans="1:14" s="294" customFormat="1">
      <c r="A900" s="297" t="s">
        <v>1517</v>
      </c>
      <c r="B900" s="301"/>
      <c r="C900" s="299" t="s">
        <v>1496</v>
      </c>
      <c r="D900" s="299">
        <v>1</v>
      </c>
      <c r="E900" s="300">
        <f>9+10+9</f>
        <v>28</v>
      </c>
      <c r="F900" s="300">
        <f t="shared" si="931"/>
        <v>28</v>
      </c>
      <c r="G900" s="302">
        <f>(0.35*2)+17*0.008*2</f>
        <v>0.97</v>
      </c>
      <c r="H900" s="310" t="str">
        <f t="shared" si="924"/>
        <v/>
      </c>
      <c r="I900" s="311">
        <f t="shared" si="925"/>
        <v>27.16</v>
      </c>
      <c r="J900" s="311" t="str">
        <f t="shared" si="926"/>
        <v/>
      </c>
      <c r="K900" s="311" t="str">
        <f t="shared" si="927"/>
        <v/>
      </c>
      <c r="L900" s="310" t="str">
        <f t="shared" si="928"/>
        <v/>
      </c>
      <c r="M900" s="310" t="str">
        <f t="shared" si="929"/>
        <v/>
      </c>
      <c r="N900" s="311" t="str">
        <f t="shared" si="930"/>
        <v/>
      </c>
    </row>
    <row r="901" spans="1:14">
      <c r="A901" s="297" t="s">
        <v>1520</v>
      </c>
      <c r="B901" s="254"/>
      <c r="C901" s="299" t="s">
        <v>1492</v>
      </c>
      <c r="D901" s="299">
        <v>1</v>
      </c>
      <c r="E901" s="300">
        <v>3</v>
      </c>
      <c r="F901" s="300">
        <f>E901*D901</f>
        <v>3</v>
      </c>
      <c r="G901" s="302">
        <v>3.5</v>
      </c>
      <c r="H901" s="310" t="str">
        <f t="shared" si="924"/>
        <v/>
      </c>
      <c r="I901" s="311" t="str">
        <f t="shared" si="925"/>
        <v/>
      </c>
      <c r="J901" s="311" t="str">
        <f t="shared" si="926"/>
        <v/>
      </c>
      <c r="K901" s="311" t="str">
        <f t="shared" si="927"/>
        <v/>
      </c>
      <c r="L901" s="310">
        <f t="shared" si="928"/>
        <v>10.5</v>
      </c>
      <c r="M901" s="310" t="str">
        <f t="shared" si="929"/>
        <v/>
      </c>
      <c r="N901" s="311" t="str">
        <f t="shared" si="930"/>
        <v/>
      </c>
    </row>
    <row r="902" spans="1:14">
      <c r="A902" s="253"/>
      <c r="B902" s="254"/>
      <c r="C902" s="299" t="s">
        <v>1492</v>
      </c>
      <c r="D902" s="299">
        <v>1</v>
      </c>
      <c r="E902" s="300">
        <v>3</v>
      </c>
      <c r="F902" s="300">
        <f>E902*D902</f>
        <v>3</v>
      </c>
      <c r="G902" s="302">
        <v>1</v>
      </c>
      <c r="H902" s="310" t="str">
        <f t="shared" si="924"/>
        <v/>
      </c>
      <c r="I902" s="311" t="str">
        <f t="shared" si="925"/>
        <v/>
      </c>
      <c r="J902" s="311" t="str">
        <f t="shared" si="926"/>
        <v/>
      </c>
      <c r="K902" s="311" t="str">
        <f t="shared" si="927"/>
        <v/>
      </c>
      <c r="L902" s="310">
        <f t="shared" si="928"/>
        <v>3</v>
      </c>
      <c r="M902" s="310" t="str">
        <f t="shared" si="929"/>
        <v/>
      </c>
      <c r="N902" s="311" t="str">
        <f t="shared" si="930"/>
        <v/>
      </c>
    </row>
    <row r="903" spans="1:14">
      <c r="A903" s="253"/>
      <c r="B903" s="254"/>
      <c r="C903" s="299"/>
      <c r="D903" s="299"/>
      <c r="E903" s="300"/>
      <c r="F903" s="300"/>
      <c r="G903" s="302"/>
      <c r="H903" s="310"/>
      <c r="I903" s="311"/>
      <c r="J903" s="311"/>
      <c r="K903" s="311"/>
      <c r="L903" s="310"/>
      <c r="M903" s="310"/>
      <c r="N903" s="311"/>
    </row>
    <row r="904" spans="1:14" ht="16.5">
      <c r="A904" s="303" t="s">
        <v>1606</v>
      </c>
      <c r="B904" s="254"/>
      <c r="C904" s="299"/>
      <c r="D904" s="299"/>
      <c r="E904" s="300"/>
      <c r="F904" s="300"/>
      <c r="G904" s="302"/>
      <c r="H904" s="310"/>
      <c r="I904" s="311"/>
      <c r="J904" s="311"/>
      <c r="K904" s="311"/>
      <c r="L904" s="310"/>
      <c r="M904" s="310"/>
      <c r="N904" s="311"/>
    </row>
    <row r="905" spans="1:14" s="294" customFormat="1">
      <c r="A905" s="297" t="s">
        <v>1515</v>
      </c>
      <c r="B905" s="298"/>
      <c r="C905" s="299" t="s">
        <v>1492</v>
      </c>
      <c r="D905" s="299">
        <v>1</v>
      </c>
      <c r="E905" s="300">
        <v>3</v>
      </c>
      <c r="F905" s="300">
        <f>E905*D905</f>
        <v>3</v>
      </c>
      <c r="G905" s="299">
        <f>(5.45)+17*0.014*2</f>
        <v>5.9260000000000002</v>
      </c>
      <c r="H905" s="310" t="str">
        <f t="shared" ref="H905:H913" si="932">IF(C905="T6",G905*F905,"")</f>
        <v/>
      </c>
      <c r="I905" s="311" t="str">
        <f t="shared" ref="I905:I913" si="933">IF(C905="T8",F905*G905,"")</f>
        <v/>
      </c>
      <c r="J905" s="311" t="str">
        <f t="shared" ref="J905:J913" si="934">IF(C905="T10",F905*G905,"")</f>
        <v/>
      </c>
      <c r="K905" s="311" t="str">
        <f t="shared" ref="K905:K913" si="935">IF(C905="T12",F905*G905,"")</f>
        <v/>
      </c>
      <c r="L905" s="310">
        <f t="shared" ref="L905:L913" si="936">IF(C905="T14",F905*G905,"")</f>
        <v>17.78</v>
      </c>
      <c r="M905" s="310" t="str">
        <f t="shared" ref="M905:M913" si="937">IF(C905="T16",G905*F905,"")</f>
        <v/>
      </c>
      <c r="N905" s="311" t="str">
        <f t="shared" ref="N905:N913" si="938">IF(C905="T20",G905*F905,"")</f>
        <v/>
      </c>
    </row>
    <row r="906" spans="1:14" s="294" customFormat="1">
      <c r="A906" s="297" t="s">
        <v>1515</v>
      </c>
      <c r="B906" s="298"/>
      <c r="C906" s="299" t="s">
        <v>1498</v>
      </c>
      <c r="D906" s="299">
        <v>1</v>
      </c>
      <c r="E906" s="300">
        <v>3</v>
      </c>
      <c r="F906" s="300">
        <f>E906*D906</f>
        <v>3</v>
      </c>
      <c r="G906" s="299">
        <f>(5.45)+17*0.016*2</f>
        <v>5.9939999999999998</v>
      </c>
      <c r="H906" s="310" t="str">
        <f t="shared" si="932"/>
        <v/>
      </c>
      <c r="I906" s="311" t="str">
        <f t="shared" si="933"/>
        <v/>
      </c>
      <c r="J906" s="311" t="str">
        <f t="shared" si="934"/>
        <v/>
      </c>
      <c r="K906" s="311" t="str">
        <f t="shared" si="935"/>
        <v/>
      </c>
      <c r="L906" s="310" t="str">
        <f t="shared" si="936"/>
        <v/>
      </c>
      <c r="M906" s="310">
        <f t="shared" si="937"/>
        <v>17.98</v>
      </c>
      <c r="N906" s="311" t="str">
        <f t="shared" si="938"/>
        <v/>
      </c>
    </row>
    <row r="907" spans="1:14" s="294" customFormat="1">
      <c r="A907" s="297"/>
      <c r="B907" s="298"/>
      <c r="C907" s="299" t="s">
        <v>1516</v>
      </c>
      <c r="D907" s="299">
        <v>1</v>
      </c>
      <c r="E907" s="300">
        <v>2</v>
      </c>
      <c r="F907" s="300">
        <f>E907*D907</f>
        <v>2</v>
      </c>
      <c r="G907" s="299">
        <v>5.45</v>
      </c>
      <c r="H907" s="310" t="str">
        <f t="shared" si="932"/>
        <v/>
      </c>
      <c r="I907" s="311" t="str">
        <f t="shared" si="933"/>
        <v/>
      </c>
      <c r="J907" s="311" t="str">
        <f t="shared" si="934"/>
        <v/>
      </c>
      <c r="K907" s="311">
        <f t="shared" si="935"/>
        <v>10.9</v>
      </c>
      <c r="L907" s="310" t="str">
        <f t="shared" si="936"/>
        <v/>
      </c>
      <c r="M907" s="310" t="str">
        <f t="shared" si="937"/>
        <v/>
      </c>
      <c r="N907" s="311" t="str">
        <f t="shared" si="938"/>
        <v/>
      </c>
    </row>
    <row r="908" spans="1:14" s="294" customFormat="1">
      <c r="A908" s="297" t="s">
        <v>1494</v>
      </c>
      <c r="B908" s="301"/>
      <c r="C908" s="299" t="s">
        <v>1496</v>
      </c>
      <c r="D908" s="299">
        <v>1</v>
      </c>
      <c r="E908" s="300">
        <f>17+15+17</f>
        <v>49</v>
      </c>
      <c r="F908" s="300">
        <f t="shared" ref="F908:F909" si="939">E908*D908</f>
        <v>49</v>
      </c>
      <c r="G908" s="302">
        <f>(0.2+0.7)*2+17*0.008*2</f>
        <v>2.0699999999999998</v>
      </c>
      <c r="H908" s="310" t="str">
        <f t="shared" si="932"/>
        <v/>
      </c>
      <c r="I908" s="311">
        <f t="shared" si="933"/>
        <v>101.43</v>
      </c>
      <c r="J908" s="311" t="str">
        <f t="shared" si="934"/>
        <v/>
      </c>
      <c r="K908" s="311" t="str">
        <f t="shared" si="935"/>
        <v/>
      </c>
      <c r="L908" s="310" t="str">
        <f t="shared" si="936"/>
        <v/>
      </c>
      <c r="M908" s="310" t="str">
        <f t="shared" si="937"/>
        <v/>
      </c>
      <c r="N908" s="311" t="str">
        <f t="shared" si="938"/>
        <v/>
      </c>
    </row>
    <row r="909" spans="1:14" s="294" customFormat="1">
      <c r="A909" s="297" t="s">
        <v>1517</v>
      </c>
      <c r="B909" s="301"/>
      <c r="C909" s="299" t="s">
        <v>1496</v>
      </c>
      <c r="D909" s="299">
        <v>1</v>
      </c>
      <c r="E909" s="300">
        <f>17+15+17</f>
        <v>49</v>
      </c>
      <c r="F909" s="300">
        <f t="shared" si="939"/>
        <v>49</v>
      </c>
      <c r="G909" s="302">
        <f>(0.7*2)+17*0.008*2</f>
        <v>1.67</v>
      </c>
      <c r="H909" s="310" t="str">
        <f t="shared" si="932"/>
        <v/>
      </c>
      <c r="I909" s="311">
        <f t="shared" si="933"/>
        <v>81.83</v>
      </c>
      <c r="J909" s="311" t="str">
        <f t="shared" si="934"/>
        <v/>
      </c>
      <c r="K909" s="311" t="str">
        <f t="shared" si="935"/>
        <v/>
      </c>
      <c r="L909" s="310" t="str">
        <f t="shared" si="936"/>
        <v/>
      </c>
      <c r="M909" s="310" t="str">
        <f t="shared" si="937"/>
        <v/>
      </c>
      <c r="N909" s="311" t="str">
        <f t="shared" si="938"/>
        <v/>
      </c>
    </row>
    <row r="910" spans="1:14">
      <c r="A910" s="297" t="s">
        <v>1520</v>
      </c>
      <c r="B910" s="254"/>
      <c r="C910" s="299" t="s">
        <v>1498</v>
      </c>
      <c r="D910" s="299">
        <v>1</v>
      </c>
      <c r="E910" s="300">
        <v>6</v>
      </c>
      <c r="F910" s="300">
        <f>E910*D910</f>
        <v>6</v>
      </c>
      <c r="G910" s="302">
        <v>3.8</v>
      </c>
      <c r="H910" s="310" t="str">
        <f t="shared" si="932"/>
        <v/>
      </c>
      <c r="I910" s="311" t="str">
        <f t="shared" si="933"/>
        <v/>
      </c>
      <c r="J910" s="311" t="str">
        <f t="shared" si="934"/>
        <v/>
      </c>
      <c r="K910" s="311" t="str">
        <f t="shared" si="935"/>
        <v/>
      </c>
      <c r="L910" s="310" t="str">
        <f t="shared" si="936"/>
        <v/>
      </c>
      <c r="M910" s="310">
        <f t="shared" si="937"/>
        <v>22.8</v>
      </c>
      <c r="N910" s="311" t="str">
        <f t="shared" si="938"/>
        <v/>
      </c>
    </row>
    <row r="911" spans="1:14">
      <c r="A911" s="253"/>
      <c r="B911" s="254"/>
      <c r="C911" s="299" t="s">
        <v>1498</v>
      </c>
      <c r="D911" s="299">
        <v>1</v>
      </c>
      <c r="E911" s="300">
        <v>6</v>
      </c>
      <c r="F911" s="300">
        <f>E911*D911</f>
        <v>6</v>
      </c>
      <c r="G911" s="302">
        <v>3</v>
      </c>
      <c r="H911" s="310" t="str">
        <f t="shared" si="932"/>
        <v/>
      </c>
      <c r="I911" s="311" t="str">
        <f t="shared" si="933"/>
        <v/>
      </c>
      <c r="J911" s="311" t="str">
        <f t="shared" si="934"/>
        <v/>
      </c>
      <c r="K911" s="311" t="str">
        <f t="shared" si="935"/>
        <v/>
      </c>
      <c r="L911" s="310" t="str">
        <f t="shared" si="936"/>
        <v/>
      </c>
      <c r="M911" s="310">
        <f t="shared" si="937"/>
        <v>18</v>
      </c>
      <c r="N911" s="311" t="str">
        <f t="shared" si="938"/>
        <v/>
      </c>
    </row>
    <row r="912" spans="1:14">
      <c r="A912" s="253"/>
      <c r="B912" s="254"/>
      <c r="C912" s="299" t="s">
        <v>1492</v>
      </c>
      <c r="D912" s="299">
        <v>1</v>
      </c>
      <c r="E912" s="300">
        <v>3</v>
      </c>
      <c r="F912" s="300">
        <f>E912*D912</f>
        <v>3</v>
      </c>
      <c r="G912" s="302">
        <v>4.8</v>
      </c>
      <c r="H912" s="310" t="str">
        <f t="shared" si="932"/>
        <v/>
      </c>
      <c r="I912" s="311" t="str">
        <f t="shared" si="933"/>
        <v/>
      </c>
      <c r="J912" s="311" t="str">
        <f t="shared" si="934"/>
        <v/>
      </c>
      <c r="K912" s="311" t="str">
        <f t="shared" si="935"/>
        <v/>
      </c>
      <c r="L912" s="310">
        <f t="shared" si="936"/>
        <v>14.4</v>
      </c>
      <c r="M912" s="310" t="str">
        <f t="shared" si="937"/>
        <v/>
      </c>
      <c r="N912" s="311" t="str">
        <f t="shared" si="938"/>
        <v/>
      </c>
    </row>
    <row r="913" spans="1:14">
      <c r="A913" s="253"/>
      <c r="B913" s="254"/>
      <c r="C913" s="299" t="s">
        <v>1492</v>
      </c>
      <c r="D913" s="299">
        <v>1</v>
      </c>
      <c r="E913" s="300">
        <v>3</v>
      </c>
      <c r="F913" s="300">
        <f>E913*D913</f>
        <v>3</v>
      </c>
      <c r="G913" s="302">
        <v>5</v>
      </c>
      <c r="H913" s="310" t="str">
        <f t="shared" si="932"/>
        <v/>
      </c>
      <c r="I913" s="311" t="str">
        <f t="shared" si="933"/>
        <v/>
      </c>
      <c r="J913" s="311" t="str">
        <f t="shared" si="934"/>
        <v/>
      </c>
      <c r="K913" s="311" t="str">
        <f t="shared" si="935"/>
        <v/>
      </c>
      <c r="L913" s="310">
        <f t="shared" si="936"/>
        <v>15</v>
      </c>
      <c r="M913" s="310" t="str">
        <f t="shared" si="937"/>
        <v/>
      </c>
      <c r="N913" s="311" t="str">
        <f t="shared" si="938"/>
        <v/>
      </c>
    </row>
    <row r="914" spans="1:14">
      <c r="A914" s="253"/>
      <c r="B914" s="254"/>
      <c r="C914" s="299"/>
      <c r="D914" s="299"/>
      <c r="E914" s="300"/>
      <c r="F914" s="300"/>
      <c r="G914" s="302"/>
      <c r="H914" s="310"/>
      <c r="I914" s="311"/>
      <c r="J914" s="311"/>
      <c r="K914" s="311"/>
      <c r="L914" s="310"/>
      <c r="M914" s="310"/>
      <c r="N914" s="311"/>
    </row>
    <row r="915" spans="1:14" ht="16.5">
      <c r="A915" s="303" t="s">
        <v>1605</v>
      </c>
      <c r="B915" s="254"/>
      <c r="C915" s="299"/>
      <c r="D915" s="299"/>
      <c r="E915" s="300"/>
      <c r="F915" s="300"/>
      <c r="G915" s="302"/>
      <c r="H915" s="310"/>
      <c r="I915" s="311"/>
      <c r="J915" s="311"/>
      <c r="K915" s="311"/>
      <c r="L915" s="310"/>
      <c r="M915" s="310"/>
      <c r="N915" s="311"/>
    </row>
    <row r="916" spans="1:14" s="294" customFormat="1" ht="15" customHeight="1">
      <c r="A916" s="297" t="s">
        <v>1515</v>
      </c>
      <c r="B916" s="298"/>
      <c r="C916" s="299" t="s">
        <v>1519</v>
      </c>
      <c r="D916" s="299">
        <v>1</v>
      </c>
      <c r="E916" s="300">
        <v>3</v>
      </c>
      <c r="F916" s="300">
        <f>E916*D916</f>
        <v>3</v>
      </c>
      <c r="G916" s="299">
        <f>(2.7)+17*0.01*2</f>
        <v>3.04</v>
      </c>
      <c r="H916" s="310" t="str">
        <f t="shared" ref="H916:H921" si="940">IF(C916="T6",G916*F916,"")</f>
        <v/>
      </c>
      <c r="I916" s="311" t="str">
        <f t="shared" ref="I916:I921" si="941">IF(C916="T8",F916*G916,"")</f>
        <v/>
      </c>
      <c r="J916" s="311">
        <f t="shared" ref="J916:J921" si="942">IF(C916="T10",F916*G916,"")</f>
        <v>9.1199999999999992</v>
      </c>
      <c r="K916" s="311" t="str">
        <f t="shared" ref="K916:K921" si="943">IF(C916="T12",F916*G916,"")</f>
        <v/>
      </c>
      <c r="L916" s="310" t="str">
        <f t="shared" ref="L916:L921" si="944">IF(C916="T14",F916*G916,"")</f>
        <v/>
      </c>
      <c r="M916" s="310" t="str">
        <f t="shared" ref="M916:M921" si="945">IF(C916="T16",G916*F916,"")</f>
        <v/>
      </c>
      <c r="N916" s="311" t="str">
        <f t="shared" ref="N916:N921" si="946">IF(C916="T20",G916*F916,"")</f>
        <v/>
      </c>
    </row>
    <row r="917" spans="1:14" s="294" customFormat="1" ht="15" customHeight="1">
      <c r="A917" s="297" t="s">
        <v>1515</v>
      </c>
      <c r="B917" s="298"/>
      <c r="C917" s="299" t="s">
        <v>1492</v>
      </c>
      <c r="D917" s="299">
        <v>1</v>
      </c>
      <c r="E917" s="300">
        <v>3</v>
      </c>
      <c r="F917" s="300">
        <f>E917*D917</f>
        <v>3</v>
      </c>
      <c r="G917" s="302">
        <f>(2.7)+17*0.014*2</f>
        <v>3.18</v>
      </c>
      <c r="H917" s="310" t="str">
        <f t="shared" si="940"/>
        <v/>
      </c>
      <c r="I917" s="311" t="str">
        <f t="shared" si="941"/>
        <v/>
      </c>
      <c r="J917" s="311" t="str">
        <f t="shared" si="942"/>
        <v/>
      </c>
      <c r="K917" s="311" t="str">
        <f t="shared" si="943"/>
        <v/>
      </c>
      <c r="L917" s="310">
        <f t="shared" si="944"/>
        <v>9.5399999999999991</v>
      </c>
      <c r="M917" s="310" t="str">
        <f t="shared" si="945"/>
        <v/>
      </c>
      <c r="N917" s="311" t="str">
        <f t="shared" si="946"/>
        <v/>
      </c>
    </row>
    <row r="918" spans="1:14" s="294" customFormat="1" ht="15" customHeight="1">
      <c r="A918" s="297" t="s">
        <v>1494</v>
      </c>
      <c r="B918" s="301"/>
      <c r="C918" s="299" t="s">
        <v>1496</v>
      </c>
      <c r="D918" s="299">
        <v>1</v>
      </c>
      <c r="E918" s="300">
        <f>9+10+9</f>
        <v>28</v>
      </c>
      <c r="F918" s="300">
        <f t="shared" ref="F918:F919" si="947">E918*D918</f>
        <v>28</v>
      </c>
      <c r="G918" s="302">
        <f>(0.2+0.25)*2+17*0.008*2</f>
        <v>1.17</v>
      </c>
      <c r="H918" s="310" t="str">
        <f t="shared" si="940"/>
        <v/>
      </c>
      <c r="I918" s="311">
        <f t="shared" si="941"/>
        <v>32.76</v>
      </c>
      <c r="J918" s="311" t="str">
        <f t="shared" si="942"/>
        <v/>
      </c>
      <c r="K918" s="311" t="str">
        <f t="shared" si="943"/>
        <v/>
      </c>
      <c r="L918" s="310" t="str">
        <f t="shared" si="944"/>
        <v/>
      </c>
      <c r="M918" s="310" t="str">
        <f t="shared" si="945"/>
        <v/>
      </c>
      <c r="N918" s="311" t="str">
        <f t="shared" si="946"/>
        <v/>
      </c>
    </row>
    <row r="919" spans="1:14" s="294" customFormat="1" ht="15" customHeight="1">
      <c r="A919" s="297" t="s">
        <v>1517</v>
      </c>
      <c r="B919" s="301"/>
      <c r="C919" s="299" t="s">
        <v>1496</v>
      </c>
      <c r="D919" s="299">
        <v>1</v>
      </c>
      <c r="E919" s="300">
        <f>9+10+9</f>
        <v>28</v>
      </c>
      <c r="F919" s="300">
        <f t="shared" si="947"/>
        <v>28</v>
      </c>
      <c r="G919" s="302">
        <f>(0.25*2)+17*0.008*2</f>
        <v>0.77</v>
      </c>
      <c r="H919" s="310" t="str">
        <f t="shared" si="940"/>
        <v/>
      </c>
      <c r="I919" s="311">
        <f t="shared" si="941"/>
        <v>21.56</v>
      </c>
      <c r="J919" s="311" t="str">
        <f t="shared" si="942"/>
        <v/>
      </c>
      <c r="K919" s="311" t="str">
        <f t="shared" si="943"/>
        <v/>
      </c>
      <c r="L919" s="310" t="str">
        <f t="shared" si="944"/>
        <v/>
      </c>
      <c r="M919" s="310" t="str">
        <f t="shared" si="945"/>
        <v/>
      </c>
      <c r="N919" s="311" t="str">
        <f t="shared" si="946"/>
        <v/>
      </c>
    </row>
    <row r="920" spans="1:14" ht="15" customHeight="1">
      <c r="A920" s="297" t="s">
        <v>1520</v>
      </c>
      <c r="B920" s="254"/>
      <c r="C920" s="299" t="s">
        <v>1492</v>
      </c>
      <c r="D920" s="299">
        <v>1</v>
      </c>
      <c r="E920" s="300">
        <v>3</v>
      </c>
      <c r="F920" s="300">
        <f>E920*D920</f>
        <v>3</v>
      </c>
      <c r="G920" s="302">
        <v>3.5</v>
      </c>
      <c r="H920" s="310" t="str">
        <f t="shared" si="940"/>
        <v/>
      </c>
      <c r="I920" s="311" t="str">
        <f t="shared" si="941"/>
        <v/>
      </c>
      <c r="J920" s="311" t="str">
        <f t="shared" si="942"/>
        <v/>
      </c>
      <c r="K920" s="311" t="str">
        <f t="shared" si="943"/>
        <v/>
      </c>
      <c r="L920" s="310">
        <f t="shared" si="944"/>
        <v>10.5</v>
      </c>
      <c r="M920" s="310" t="str">
        <f t="shared" si="945"/>
        <v/>
      </c>
      <c r="N920" s="311" t="str">
        <f t="shared" si="946"/>
        <v/>
      </c>
    </row>
    <row r="921" spans="1:14" ht="15" customHeight="1">
      <c r="A921" s="253"/>
      <c r="B921" s="254"/>
      <c r="C921" s="299" t="s">
        <v>1516</v>
      </c>
      <c r="D921" s="299">
        <v>1</v>
      </c>
      <c r="E921" s="300">
        <v>3</v>
      </c>
      <c r="F921" s="300">
        <f>E921*D921</f>
        <v>3</v>
      </c>
      <c r="G921" s="302">
        <v>1</v>
      </c>
      <c r="H921" s="310" t="str">
        <f t="shared" si="940"/>
        <v/>
      </c>
      <c r="I921" s="311" t="str">
        <f t="shared" si="941"/>
        <v/>
      </c>
      <c r="J921" s="311" t="str">
        <f t="shared" si="942"/>
        <v/>
      </c>
      <c r="K921" s="311">
        <f t="shared" si="943"/>
        <v>3</v>
      </c>
      <c r="L921" s="310" t="str">
        <f t="shared" si="944"/>
        <v/>
      </c>
      <c r="M921" s="310" t="str">
        <f t="shared" si="945"/>
        <v/>
      </c>
      <c r="N921" s="311" t="str">
        <f t="shared" si="946"/>
        <v/>
      </c>
    </row>
    <row r="922" spans="1:14" ht="15" customHeight="1">
      <c r="A922" s="253"/>
      <c r="B922" s="254"/>
      <c r="C922" s="299"/>
      <c r="D922" s="299"/>
      <c r="E922" s="300"/>
      <c r="F922" s="300"/>
      <c r="G922" s="302"/>
      <c r="H922" s="310"/>
      <c r="I922" s="311"/>
      <c r="J922" s="311"/>
      <c r="K922" s="311"/>
      <c r="L922" s="310"/>
      <c r="M922" s="310"/>
      <c r="N922" s="311"/>
    </row>
    <row r="923" spans="1:14" ht="16.5">
      <c r="A923" s="303" t="s">
        <v>1604</v>
      </c>
      <c r="B923" s="254"/>
      <c r="C923" s="299"/>
      <c r="D923" s="299"/>
      <c r="E923" s="300"/>
      <c r="F923" s="300"/>
      <c r="G923" s="302"/>
      <c r="H923" s="310"/>
      <c r="I923" s="311"/>
      <c r="J923" s="311"/>
      <c r="K923" s="311"/>
      <c r="L923" s="310"/>
      <c r="M923" s="310"/>
      <c r="N923" s="311"/>
    </row>
    <row r="924" spans="1:14" s="294" customFormat="1">
      <c r="A924" s="297" t="s">
        <v>1515</v>
      </c>
      <c r="B924" s="298"/>
      <c r="C924" s="299" t="s">
        <v>1519</v>
      </c>
      <c r="D924" s="299">
        <v>1</v>
      </c>
      <c r="E924" s="300">
        <v>3</v>
      </c>
      <c r="F924" s="300">
        <f>E924*D924</f>
        <v>3</v>
      </c>
      <c r="G924" s="299">
        <f>(1.95)+17*0.01*2</f>
        <v>2.29</v>
      </c>
      <c r="H924" s="310" t="str">
        <f t="shared" ref="H924:H929" si="948">IF(C924="T6",G924*F924,"")</f>
        <v/>
      </c>
      <c r="I924" s="311" t="str">
        <f t="shared" ref="I924:I929" si="949">IF(C924="T8",F924*G924,"")</f>
        <v/>
      </c>
      <c r="J924" s="311">
        <f t="shared" ref="J924:J929" si="950">IF(C924="T10",F924*G924,"")</f>
        <v>6.87</v>
      </c>
      <c r="K924" s="311" t="str">
        <f t="shared" ref="K924:K929" si="951">IF(C924="T12",F924*G924,"")</f>
        <v/>
      </c>
      <c r="L924" s="310" t="str">
        <f t="shared" ref="L924:L929" si="952">IF(C924="T14",F924*G924,"")</f>
        <v/>
      </c>
      <c r="M924" s="310" t="str">
        <f t="shared" ref="M924:M929" si="953">IF(C924="T16",G924*F924,"")</f>
        <v/>
      </c>
      <c r="N924" s="311" t="str">
        <f t="shared" ref="N924:N929" si="954">IF(C924="T20",G924*F924,"")</f>
        <v/>
      </c>
    </row>
    <row r="925" spans="1:14" s="294" customFormat="1">
      <c r="A925" s="297" t="s">
        <v>1515</v>
      </c>
      <c r="B925" s="298"/>
      <c r="C925" s="299" t="s">
        <v>1492</v>
      </c>
      <c r="D925" s="299">
        <v>1</v>
      </c>
      <c r="E925" s="300">
        <v>3</v>
      </c>
      <c r="F925" s="300">
        <f>E925*D925</f>
        <v>3</v>
      </c>
      <c r="G925" s="302">
        <f>(1.95)+17*0.014*2</f>
        <v>2.4300000000000002</v>
      </c>
      <c r="H925" s="310" t="str">
        <f t="shared" si="948"/>
        <v/>
      </c>
      <c r="I925" s="311" t="str">
        <f t="shared" si="949"/>
        <v/>
      </c>
      <c r="J925" s="311" t="str">
        <f t="shared" si="950"/>
        <v/>
      </c>
      <c r="K925" s="311" t="str">
        <f t="shared" si="951"/>
        <v/>
      </c>
      <c r="L925" s="310">
        <f t="shared" si="952"/>
        <v>7.29</v>
      </c>
      <c r="M925" s="310" t="str">
        <f t="shared" si="953"/>
        <v/>
      </c>
      <c r="N925" s="311" t="str">
        <f t="shared" si="954"/>
        <v/>
      </c>
    </row>
    <row r="926" spans="1:14" s="294" customFormat="1">
      <c r="A926" s="297" t="s">
        <v>1494</v>
      </c>
      <c r="B926" s="301"/>
      <c r="C926" s="299" t="s">
        <v>1496</v>
      </c>
      <c r="D926" s="299">
        <v>1</v>
      </c>
      <c r="E926" s="300">
        <f>9+10+9</f>
        <v>28</v>
      </c>
      <c r="F926" s="300">
        <f t="shared" ref="F926:F927" si="955">E926*D926</f>
        <v>28</v>
      </c>
      <c r="G926" s="302">
        <f>(0.2+0.25)*2+17*0.008*2</f>
        <v>1.17</v>
      </c>
      <c r="H926" s="310" t="str">
        <f t="shared" si="948"/>
        <v/>
      </c>
      <c r="I926" s="311">
        <f t="shared" si="949"/>
        <v>32.76</v>
      </c>
      <c r="J926" s="311" t="str">
        <f t="shared" si="950"/>
        <v/>
      </c>
      <c r="K926" s="311" t="str">
        <f t="shared" si="951"/>
        <v/>
      </c>
      <c r="L926" s="310" t="str">
        <f t="shared" si="952"/>
        <v/>
      </c>
      <c r="M926" s="310" t="str">
        <f t="shared" si="953"/>
        <v/>
      </c>
      <c r="N926" s="311" t="str">
        <f t="shared" si="954"/>
        <v/>
      </c>
    </row>
    <row r="927" spans="1:14" s="294" customFormat="1">
      <c r="A927" s="297" t="s">
        <v>1517</v>
      </c>
      <c r="B927" s="301"/>
      <c r="C927" s="299" t="s">
        <v>1496</v>
      </c>
      <c r="D927" s="299">
        <v>1</v>
      </c>
      <c r="E927" s="300">
        <f>9+10+9</f>
        <v>28</v>
      </c>
      <c r="F927" s="300">
        <f t="shared" si="955"/>
        <v>28</v>
      </c>
      <c r="G927" s="302">
        <f>(0.25*2)+17*0.008*2</f>
        <v>0.77</v>
      </c>
      <c r="H927" s="310" t="str">
        <f t="shared" si="948"/>
        <v/>
      </c>
      <c r="I927" s="311">
        <f t="shared" si="949"/>
        <v>21.56</v>
      </c>
      <c r="J927" s="311" t="str">
        <f t="shared" si="950"/>
        <v/>
      </c>
      <c r="K927" s="311" t="str">
        <f t="shared" si="951"/>
        <v/>
      </c>
      <c r="L927" s="310" t="str">
        <f t="shared" si="952"/>
        <v/>
      </c>
      <c r="M927" s="310" t="str">
        <f t="shared" si="953"/>
        <v/>
      </c>
      <c r="N927" s="311" t="str">
        <f t="shared" si="954"/>
        <v/>
      </c>
    </row>
    <row r="928" spans="1:14">
      <c r="A928" s="297" t="s">
        <v>1520</v>
      </c>
      <c r="B928" s="254"/>
      <c r="C928" s="299" t="s">
        <v>1492</v>
      </c>
      <c r="D928" s="299">
        <v>1</v>
      </c>
      <c r="E928" s="300">
        <v>3</v>
      </c>
      <c r="F928" s="300">
        <f>E928*D928</f>
        <v>3</v>
      </c>
      <c r="G928" s="302">
        <v>3.5</v>
      </c>
      <c r="H928" s="310" t="str">
        <f t="shared" si="948"/>
        <v/>
      </c>
      <c r="I928" s="311" t="str">
        <f t="shared" si="949"/>
        <v/>
      </c>
      <c r="J928" s="311" t="str">
        <f t="shared" si="950"/>
        <v/>
      </c>
      <c r="K928" s="311" t="str">
        <f t="shared" si="951"/>
        <v/>
      </c>
      <c r="L928" s="310">
        <f t="shared" si="952"/>
        <v>10.5</v>
      </c>
      <c r="M928" s="310" t="str">
        <f t="shared" si="953"/>
        <v/>
      </c>
      <c r="N928" s="311" t="str">
        <f t="shared" si="954"/>
        <v/>
      </c>
    </row>
    <row r="929" spans="1:14">
      <c r="A929" s="253"/>
      <c r="B929" s="254"/>
      <c r="C929" s="299" t="s">
        <v>1516</v>
      </c>
      <c r="D929" s="299">
        <v>1</v>
      </c>
      <c r="E929" s="300">
        <v>3</v>
      </c>
      <c r="F929" s="300">
        <f>E929*D929</f>
        <v>3</v>
      </c>
      <c r="G929" s="302">
        <v>1</v>
      </c>
      <c r="H929" s="310" t="str">
        <f t="shared" si="948"/>
        <v/>
      </c>
      <c r="I929" s="311" t="str">
        <f t="shared" si="949"/>
        <v/>
      </c>
      <c r="J929" s="311" t="str">
        <f t="shared" si="950"/>
        <v/>
      </c>
      <c r="K929" s="311">
        <f t="shared" si="951"/>
        <v>3</v>
      </c>
      <c r="L929" s="310" t="str">
        <f t="shared" si="952"/>
        <v/>
      </c>
      <c r="M929" s="310" t="str">
        <f t="shared" si="953"/>
        <v/>
      </c>
      <c r="N929" s="311" t="str">
        <f t="shared" si="954"/>
        <v/>
      </c>
    </row>
    <row r="930" spans="1:14">
      <c r="A930" s="253"/>
      <c r="B930" s="254"/>
      <c r="C930" s="299"/>
      <c r="D930" s="299"/>
      <c r="E930" s="300"/>
      <c r="F930" s="300"/>
      <c r="G930" s="302"/>
      <c r="H930" s="310"/>
      <c r="I930" s="311"/>
      <c r="J930" s="311"/>
      <c r="K930" s="311"/>
      <c r="L930" s="310"/>
      <c r="M930" s="310"/>
      <c r="N930" s="311"/>
    </row>
    <row r="931" spans="1:14" ht="16.5">
      <c r="A931" s="326" t="s">
        <v>1381</v>
      </c>
      <c r="B931" s="254"/>
      <c r="C931" s="299"/>
      <c r="D931" s="299"/>
      <c r="E931" s="300"/>
      <c r="F931" s="300"/>
      <c r="G931" s="302"/>
      <c r="H931" s="310"/>
      <c r="I931" s="311"/>
      <c r="J931" s="311"/>
      <c r="K931" s="311"/>
      <c r="L931" s="310"/>
      <c r="M931" s="310"/>
      <c r="N931" s="311"/>
    </row>
    <row r="932" spans="1:14" ht="16.5">
      <c r="A932" s="303" t="s">
        <v>1603</v>
      </c>
      <c r="B932" s="254"/>
      <c r="C932" s="299"/>
      <c r="D932" s="299"/>
      <c r="E932" s="300"/>
      <c r="F932" s="300"/>
      <c r="G932" s="302"/>
      <c r="H932" s="310"/>
      <c r="I932" s="311"/>
      <c r="J932" s="311"/>
      <c r="K932" s="311"/>
      <c r="L932" s="310"/>
      <c r="M932" s="310"/>
      <c r="N932" s="311"/>
    </row>
    <row r="933" spans="1:14" s="294" customFormat="1">
      <c r="A933" s="297" t="s">
        <v>1515</v>
      </c>
      <c r="B933" s="298"/>
      <c r="C933" s="299" t="s">
        <v>1519</v>
      </c>
      <c r="D933" s="299">
        <v>1</v>
      </c>
      <c r="E933" s="300">
        <v>3</v>
      </c>
      <c r="F933" s="300">
        <f>E933*D933</f>
        <v>3</v>
      </c>
      <c r="G933" s="299">
        <f>(2.45)+17*0.01*2</f>
        <v>2.79</v>
      </c>
      <c r="H933" s="310" t="str">
        <f t="shared" ref="H933:H938" si="956">IF(C933="T6",G933*F933,"")</f>
        <v/>
      </c>
      <c r="I933" s="311" t="str">
        <f t="shared" ref="I933:I938" si="957">IF(C933="T8",F933*G933,"")</f>
        <v/>
      </c>
      <c r="J933" s="311">
        <f t="shared" ref="J933:J938" si="958">IF(C933="T10",F933*G933,"")</f>
        <v>8.3699999999999992</v>
      </c>
      <c r="K933" s="311" t="str">
        <f t="shared" ref="K933:K938" si="959">IF(C933="T12",F933*G933,"")</f>
        <v/>
      </c>
      <c r="L933" s="310" t="str">
        <f t="shared" ref="L933:L938" si="960">IF(C933="T14",F933*G933,"")</f>
        <v/>
      </c>
      <c r="M933" s="310" t="str">
        <f t="shared" ref="M933:M938" si="961">IF(C933="T16",G933*F933,"")</f>
        <v/>
      </c>
      <c r="N933" s="311" t="str">
        <f t="shared" ref="N933:N938" si="962">IF(C933="T20",G933*F933,"")</f>
        <v/>
      </c>
    </row>
    <row r="934" spans="1:14" s="294" customFormat="1">
      <c r="A934" s="297" t="s">
        <v>1515</v>
      </c>
      <c r="B934" s="298"/>
      <c r="C934" s="299" t="s">
        <v>1516</v>
      </c>
      <c r="D934" s="299">
        <v>1</v>
      </c>
      <c r="E934" s="300">
        <v>3</v>
      </c>
      <c r="F934" s="300">
        <f>E934*D934</f>
        <v>3</v>
      </c>
      <c r="G934" s="302">
        <f>(2.45)+17*0.012*2</f>
        <v>2.86</v>
      </c>
      <c r="H934" s="310" t="str">
        <f t="shared" si="956"/>
        <v/>
      </c>
      <c r="I934" s="311" t="str">
        <f t="shared" si="957"/>
        <v/>
      </c>
      <c r="J934" s="311" t="str">
        <f t="shared" si="958"/>
        <v/>
      </c>
      <c r="K934" s="311">
        <f t="shared" si="959"/>
        <v>8.58</v>
      </c>
      <c r="L934" s="310" t="str">
        <f t="shared" si="960"/>
        <v/>
      </c>
      <c r="M934" s="310" t="str">
        <f t="shared" si="961"/>
        <v/>
      </c>
      <c r="N934" s="311" t="str">
        <f t="shared" si="962"/>
        <v/>
      </c>
    </row>
    <row r="935" spans="1:14" s="294" customFormat="1">
      <c r="A935" s="297" t="s">
        <v>1494</v>
      </c>
      <c r="B935" s="301"/>
      <c r="C935" s="299" t="s">
        <v>1496</v>
      </c>
      <c r="D935" s="299">
        <v>1</v>
      </c>
      <c r="E935" s="300">
        <f>8+9+8</f>
        <v>25</v>
      </c>
      <c r="F935" s="300">
        <f t="shared" ref="F935:F936" si="963">E935*D935</f>
        <v>25</v>
      </c>
      <c r="G935" s="302">
        <f>(0.2+0.25)*2+17*0.008*2</f>
        <v>1.17</v>
      </c>
      <c r="H935" s="310" t="str">
        <f t="shared" si="956"/>
        <v/>
      </c>
      <c r="I935" s="311">
        <f t="shared" si="957"/>
        <v>29.25</v>
      </c>
      <c r="J935" s="311" t="str">
        <f t="shared" si="958"/>
        <v/>
      </c>
      <c r="K935" s="311" t="str">
        <f t="shared" si="959"/>
        <v/>
      </c>
      <c r="L935" s="310" t="str">
        <f t="shared" si="960"/>
        <v/>
      </c>
      <c r="M935" s="310" t="str">
        <f t="shared" si="961"/>
        <v/>
      </c>
      <c r="N935" s="311" t="str">
        <f t="shared" si="962"/>
        <v/>
      </c>
    </row>
    <row r="936" spans="1:14" s="294" customFormat="1">
      <c r="A936" s="297" t="s">
        <v>1517</v>
      </c>
      <c r="B936" s="301"/>
      <c r="C936" s="299" t="s">
        <v>1496</v>
      </c>
      <c r="D936" s="299">
        <v>1</v>
      </c>
      <c r="E936" s="300">
        <f>8+9+8</f>
        <v>25</v>
      </c>
      <c r="F936" s="300">
        <f t="shared" si="963"/>
        <v>25</v>
      </c>
      <c r="G936" s="302">
        <f>(0.25*2)+17*0.008*2</f>
        <v>0.77</v>
      </c>
      <c r="H936" s="310" t="str">
        <f t="shared" si="956"/>
        <v/>
      </c>
      <c r="I936" s="311">
        <f t="shared" si="957"/>
        <v>19.25</v>
      </c>
      <c r="J936" s="311" t="str">
        <f t="shared" si="958"/>
        <v/>
      </c>
      <c r="K936" s="311" t="str">
        <f t="shared" si="959"/>
        <v/>
      </c>
      <c r="L936" s="310" t="str">
        <f t="shared" si="960"/>
        <v/>
      </c>
      <c r="M936" s="310" t="str">
        <f t="shared" si="961"/>
        <v/>
      </c>
      <c r="N936" s="311" t="str">
        <f t="shared" si="962"/>
        <v/>
      </c>
    </row>
    <row r="937" spans="1:14" s="294" customFormat="1">
      <c r="A937" s="297" t="s">
        <v>1518</v>
      </c>
      <c r="B937" s="306"/>
      <c r="C937" s="299" t="s">
        <v>1492</v>
      </c>
      <c r="D937" s="299">
        <v>1</v>
      </c>
      <c r="E937" s="300">
        <v>3</v>
      </c>
      <c r="F937" s="300">
        <f>E937*D937</f>
        <v>3</v>
      </c>
      <c r="G937" s="302">
        <v>1</v>
      </c>
      <c r="H937" s="310" t="str">
        <f t="shared" ref="H937" si="964">IF(C937="T6",G937*F937,"")</f>
        <v/>
      </c>
      <c r="I937" s="311" t="str">
        <f t="shared" ref="I937" si="965">IF(C937="T8",F937*G937,"")</f>
        <v/>
      </c>
      <c r="J937" s="311" t="str">
        <f t="shared" ref="J937" si="966">IF(C937="T10",F937*G937,"")</f>
        <v/>
      </c>
      <c r="K937" s="311" t="str">
        <f t="shared" ref="K937" si="967">IF(C937="T12",F937*G937,"")</f>
        <v/>
      </c>
      <c r="L937" s="310">
        <f t="shared" ref="L937" si="968">IF(C937="T14",F937*G937,"")</f>
        <v>3</v>
      </c>
      <c r="M937" s="310" t="str">
        <f t="shared" ref="M937" si="969">IF(C937="T16",G937*F937,"")</f>
        <v/>
      </c>
      <c r="N937" s="311" t="str">
        <f t="shared" ref="N937" si="970">IF(C937="T20",G937*F937,"")</f>
        <v/>
      </c>
    </row>
    <row r="938" spans="1:14">
      <c r="A938" s="297" t="s">
        <v>1520</v>
      </c>
      <c r="B938" s="254"/>
      <c r="C938" s="299" t="s">
        <v>1519</v>
      </c>
      <c r="D938" s="299">
        <v>1</v>
      </c>
      <c r="E938" s="300">
        <v>3</v>
      </c>
      <c r="F938" s="300">
        <f>E938*D938</f>
        <v>3</v>
      </c>
      <c r="G938" s="302">
        <v>3</v>
      </c>
      <c r="H938" s="310" t="str">
        <f t="shared" si="956"/>
        <v/>
      </c>
      <c r="I938" s="311" t="str">
        <f t="shared" si="957"/>
        <v/>
      </c>
      <c r="J938" s="311">
        <f t="shared" si="958"/>
        <v>9</v>
      </c>
      <c r="K938" s="311" t="str">
        <f t="shared" si="959"/>
        <v/>
      </c>
      <c r="L938" s="310" t="str">
        <f t="shared" si="960"/>
        <v/>
      </c>
      <c r="M938" s="310" t="str">
        <f t="shared" si="961"/>
        <v/>
      </c>
      <c r="N938" s="311" t="str">
        <f t="shared" si="962"/>
        <v/>
      </c>
    </row>
    <row r="939" spans="1:14">
      <c r="A939" s="253"/>
      <c r="B939" s="254"/>
      <c r="C939" s="299"/>
      <c r="D939" s="299"/>
      <c r="E939" s="300"/>
      <c r="F939" s="300"/>
      <c r="G939" s="302"/>
      <c r="H939" s="310"/>
      <c r="I939" s="311"/>
      <c r="J939" s="311"/>
      <c r="K939" s="311"/>
      <c r="L939" s="310"/>
      <c r="M939" s="310"/>
      <c r="N939" s="311"/>
    </row>
    <row r="940" spans="1:14" ht="16.5">
      <c r="A940" s="303" t="s">
        <v>1602</v>
      </c>
      <c r="B940" s="254"/>
      <c r="C940" s="299"/>
      <c r="D940" s="299"/>
      <c r="E940" s="300"/>
      <c r="F940" s="300"/>
      <c r="G940" s="302"/>
      <c r="H940" s="310"/>
      <c r="I940" s="311"/>
      <c r="J940" s="311"/>
      <c r="K940" s="311"/>
      <c r="L940" s="310"/>
      <c r="M940" s="310"/>
      <c r="N940" s="311"/>
    </row>
    <row r="941" spans="1:14" s="294" customFormat="1">
      <c r="A941" s="297" t="s">
        <v>1515</v>
      </c>
      <c r="B941" s="298"/>
      <c r="C941" s="299" t="s">
        <v>1519</v>
      </c>
      <c r="D941" s="299">
        <v>1</v>
      </c>
      <c r="E941" s="300">
        <v>3</v>
      </c>
      <c r="F941" s="300">
        <f>E941*D941</f>
        <v>3</v>
      </c>
      <c r="G941" s="299">
        <f>(2.45)+17*0.01*2</f>
        <v>2.79</v>
      </c>
      <c r="H941" s="310" t="str">
        <f t="shared" ref="H941:H946" si="971">IF(C941="T6",G941*F941,"")</f>
        <v/>
      </c>
      <c r="I941" s="311" t="str">
        <f t="shared" ref="I941:I946" si="972">IF(C941="T8",F941*G941,"")</f>
        <v/>
      </c>
      <c r="J941" s="311">
        <f t="shared" ref="J941:J946" si="973">IF(C941="T10",F941*G941,"")</f>
        <v>8.3699999999999992</v>
      </c>
      <c r="K941" s="311" t="str">
        <f t="shared" ref="K941:K946" si="974">IF(C941="T12",F941*G941,"")</f>
        <v/>
      </c>
      <c r="L941" s="310" t="str">
        <f t="shared" ref="L941:L946" si="975">IF(C941="T14",F941*G941,"")</f>
        <v/>
      </c>
      <c r="M941" s="310" t="str">
        <f t="shared" ref="M941:M946" si="976">IF(C941="T16",G941*F941,"")</f>
        <v/>
      </c>
      <c r="N941" s="311" t="str">
        <f t="shared" ref="N941:N946" si="977">IF(C941="T20",G941*F941,"")</f>
        <v/>
      </c>
    </row>
    <row r="942" spans="1:14" s="294" customFormat="1">
      <c r="A942" s="297" t="s">
        <v>1515</v>
      </c>
      <c r="B942" s="298"/>
      <c r="C942" s="299" t="s">
        <v>1516</v>
      </c>
      <c r="D942" s="299">
        <v>1</v>
      </c>
      <c r="E942" s="300">
        <v>3</v>
      </c>
      <c r="F942" s="300">
        <f>E942*D942</f>
        <v>3</v>
      </c>
      <c r="G942" s="302">
        <f>(2.45)+17*0.012*2</f>
        <v>2.86</v>
      </c>
      <c r="H942" s="310" t="str">
        <f t="shared" si="971"/>
        <v/>
      </c>
      <c r="I942" s="311" t="str">
        <f t="shared" si="972"/>
        <v/>
      </c>
      <c r="J942" s="311" t="str">
        <f t="shared" si="973"/>
        <v/>
      </c>
      <c r="K942" s="311">
        <f t="shared" si="974"/>
        <v>8.58</v>
      </c>
      <c r="L942" s="310" t="str">
        <f t="shared" si="975"/>
        <v/>
      </c>
      <c r="M942" s="310" t="str">
        <f t="shared" si="976"/>
        <v/>
      </c>
      <c r="N942" s="311" t="str">
        <f t="shared" si="977"/>
        <v/>
      </c>
    </row>
    <row r="943" spans="1:14" s="294" customFormat="1">
      <c r="A943" s="297" t="s">
        <v>1494</v>
      </c>
      <c r="B943" s="301"/>
      <c r="C943" s="299" t="s">
        <v>1496</v>
      </c>
      <c r="D943" s="299">
        <v>1</v>
      </c>
      <c r="E943" s="300">
        <f>8+9+8</f>
        <v>25</v>
      </c>
      <c r="F943" s="300">
        <f t="shared" ref="F943:F944" si="978">E943*D943</f>
        <v>25</v>
      </c>
      <c r="G943" s="302">
        <f>(0.2+0.25)*2+17*0.008*2</f>
        <v>1.17</v>
      </c>
      <c r="H943" s="310" t="str">
        <f t="shared" si="971"/>
        <v/>
      </c>
      <c r="I943" s="311">
        <f t="shared" si="972"/>
        <v>29.25</v>
      </c>
      <c r="J943" s="311" t="str">
        <f t="shared" si="973"/>
        <v/>
      </c>
      <c r="K943" s="311" t="str">
        <f t="shared" si="974"/>
        <v/>
      </c>
      <c r="L943" s="310" t="str">
        <f t="shared" si="975"/>
        <v/>
      </c>
      <c r="M943" s="310" t="str">
        <f t="shared" si="976"/>
        <v/>
      </c>
      <c r="N943" s="311" t="str">
        <f t="shared" si="977"/>
        <v/>
      </c>
    </row>
    <row r="944" spans="1:14" s="294" customFormat="1">
      <c r="A944" s="297" t="s">
        <v>1517</v>
      </c>
      <c r="B944" s="301"/>
      <c r="C944" s="299" t="s">
        <v>1496</v>
      </c>
      <c r="D944" s="299">
        <v>1</v>
      </c>
      <c r="E944" s="300">
        <f>8+9+8</f>
        <v>25</v>
      </c>
      <c r="F944" s="300">
        <f t="shared" si="978"/>
        <v>25</v>
      </c>
      <c r="G944" s="302">
        <f>(0.25*2)+17*0.008*2</f>
        <v>0.77</v>
      </c>
      <c r="H944" s="310" t="str">
        <f t="shared" si="971"/>
        <v/>
      </c>
      <c r="I944" s="311">
        <f t="shared" si="972"/>
        <v>19.25</v>
      </c>
      <c r="J944" s="311" t="str">
        <f t="shared" si="973"/>
        <v/>
      </c>
      <c r="K944" s="311" t="str">
        <f t="shared" si="974"/>
        <v/>
      </c>
      <c r="L944" s="310" t="str">
        <f t="shared" si="975"/>
        <v/>
      </c>
      <c r="M944" s="310" t="str">
        <f t="shared" si="976"/>
        <v/>
      </c>
      <c r="N944" s="311" t="str">
        <f t="shared" si="977"/>
        <v/>
      </c>
    </row>
    <row r="945" spans="1:14" s="294" customFormat="1">
      <c r="A945" s="297" t="s">
        <v>1518</v>
      </c>
      <c r="B945" s="306"/>
      <c r="C945" s="299" t="s">
        <v>1492</v>
      </c>
      <c r="D945" s="299">
        <v>1</v>
      </c>
      <c r="E945" s="300">
        <v>3</v>
      </c>
      <c r="F945" s="300">
        <f>E945*D945</f>
        <v>3</v>
      </c>
      <c r="G945" s="302">
        <v>1</v>
      </c>
      <c r="H945" s="310" t="str">
        <f t="shared" si="971"/>
        <v/>
      </c>
      <c r="I945" s="311" t="str">
        <f t="shared" si="972"/>
        <v/>
      </c>
      <c r="J945" s="311" t="str">
        <f t="shared" si="973"/>
        <v/>
      </c>
      <c r="K945" s="311" t="str">
        <f t="shared" si="974"/>
        <v/>
      </c>
      <c r="L945" s="310">
        <f t="shared" si="975"/>
        <v>3</v>
      </c>
      <c r="M945" s="310" t="str">
        <f t="shared" si="976"/>
        <v/>
      </c>
      <c r="N945" s="311" t="str">
        <f t="shared" si="977"/>
        <v/>
      </c>
    </row>
    <row r="946" spans="1:14">
      <c r="A946" s="297" t="s">
        <v>1520</v>
      </c>
      <c r="B946" s="254"/>
      <c r="C946" s="299" t="s">
        <v>1519</v>
      </c>
      <c r="D946" s="299">
        <v>1</v>
      </c>
      <c r="E946" s="300">
        <v>3</v>
      </c>
      <c r="F946" s="300">
        <f>E946*D946</f>
        <v>3</v>
      </c>
      <c r="G946" s="302">
        <v>3</v>
      </c>
      <c r="H946" s="310" t="str">
        <f t="shared" si="971"/>
        <v/>
      </c>
      <c r="I946" s="311" t="str">
        <f t="shared" si="972"/>
        <v/>
      </c>
      <c r="J946" s="311">
        <f t="shared" si="973"/>
        <v>9</v>
      </c>
      <c r="K946" s="311" t="str">
        <f t="shared" si="974"/>
        <v/>
      </c>
      <c r="L946" s="310" t="str">
        <f t="shared" si="975"/>
        <v/>
      </c>
      <c r="M946" s="310" t="str">
        <f t="shared" si="976"/>
        <v/>
      </c>
      <c r="N946" s="311" t="str">
        <f t="shared" si="977"/>
        <v/>
      </c>
    </row>
    <row r="947" spans="1:14">
      <c r="A947" s="253"/>
      <c r="B947" s="254"/>
      <c r="C947" s="299"/>
      <c r="D947" s="299"/>
      <c r="E947" s="300"/>
      <c r="F947" s="300"/>
      <c r="G947" s="302"/>
      <c r="H947" s="310"/>
      <c r="I947" s="311"/>
      <c r="J947" s="311"/>
      <c r="K947" s="311"/>
      <c r="L947" s="310"/>
      <c r="M947" s="310"/>
      <c r="N947" s="311"/>
    </row>
    <row r="948" spans="1:14" ht="16.5">
      <c r="A948" s="303" t="s">
        <v>1601</v>
      </c>
      <c r="B948" s="254"/>
      <c r="C948" s="299"/>
      <c r="D948" s="299"/>
      <c r="E948" s="300"/>
      <c r="F948" s="300"/>
      <c r="G948" s="302"/>
      <c r="H948" s="310"/>
      <c r="I948" s="311"/>
      <c r="J948" s="311"/>
      <c r="K948" s="311"/>
      <c r="L948" s="310"/>
      <c r="M948" s="310"/>
      <c r="N948" s="311"/>
    </row>
    <row r="949" spans="1:14" s="294" customFormat="1">
      <c r="A949" s="297" t="s">
        <v>1515</v>
      </c>
      <c r="B949" s="298"/>
      <c r="C949" s="299" t="s">
        <v>1519</v>
      </c>
      <c r="D949" s="299">
        <v>1</v>
      </c>
      <c r="E949" s="300">
        <v>3</v>
      </c>
      <c r="F949" s="300">
        <f>E949*D949</f>
        <v>3</v>
      </c>
      <c r="G949" s="299">
        <f>(5.05)+17*0.01*2</f>
        <v>5.39</v>
      </c>
      <c r="H949" s="310" t="str">
        <f t="shared" ref="H949:H956" si="979">IF(C949="T6",G949*F949,"")</f>
        <v/>
      </c>
      <c r="I949" s="311" t="str">
        <f t="shared" ref="I949:I956" si="980">IF(C949="T8",F949*G949,"")</f>
        <v/>
      </c>
      <c r="J949" s="311">
        <f t="shared" ref="J949:J956" si="981">IF(C949="T10",F949*G949,"")</f>
        <v>16.170000000000002</v>
      </c>
      <c r="K949" s="311" t="str">
        <f t="shared" ref="K949:K956" si="982">IF(C949="T12",F949*G949,"")</f>
        <v/>
      </c>
      <c r="L949" s="310" t="str">
        <f t="shared" ref="L949:L956" si="983">IF(C949="T14",F949*G949,"")</f>
        <v/>
      </c>
      <c r="M949" s="310" t="str">
        <f t="shared" ref="M949:M956" si="984">IF(C949="T16",G949*F949,"")</f>
        <v/>
      </c>
      <c r="N949" s="311" t="str">
        <f t="shared" ref="N949:N956" si="985">IF(C949="T20",G949*F949,"")</f>
        <v/>
      </c>
    </row>
    <row r="950" spans="1:14" s="294" customFormat="1">
      <c r="A950" s="297" t="s">
        <v>1515</v>
      </c>
      <c r="B950" s="298"/>
      <c r="C950" s="299" t="s">
        <v>1516</v>
      </c>
      <c r="D950" s="299">
        <v>1</v>
      </c>
      <c r="E950" s="300">
        <v>3</v>
      </c>
      <c r="F950" s="300">
        <f>E950*D950</f>
        <v>3</v>
      </c>
      <c r="G950" s="299">
        <f>(5.05)+17*0.012*2</f>
        <v>5.4580000000000002</v>
      </c>
      <c r="H950" s="310" t="str">
        <f t="shared" si="979"/>
        <v/>
      </c>
      <c r="I950" s="311" t="str">
        <f t="shared" si="980"/>
        <v/>
      </c>
      <c r="J950" s="311" t="str">
        <f t="shared" si="981"/>
        <v/>
      </c>
      <c r="K950" s="311">
        <f t="shared" si="982"/>
        <v>16.37</v>
      </c>
      <c r="L950" s="310" t="str">
        <f t="shared" si="983"/>
        <v/>
      </c>
      <c r="M950" s="310" t="str">
        <f t="shared" si="984"/>
        <v/>
      </c>
      <c r="N950" s="311" t="str">
        <f t="shared" si="985"/>
        <v/>
      </c>
    </row>
    <row r="951" spans="1:14" s="294" customFormat="1">
      <c r="A951" s="297"/>
      <c r="B951" s="298"/>
      <c r="C951" s="299" t="s">
        <v>1519</v>
      </c>
      <c r="D951" s="299">
        <v>1</v>
      </c>
      <c r="E951" s="300">
        <v>2</v>
      </c>
      <c r="F951" s="300">
        <f>E951*D951</f>
        <v>2</v>
      </c>
      <c r="G951" s="299">
        <v>5.05</v>
      </c>
      <c r="H951" s="310" t="str">
        <f t="shared" si="979"/>
        <v/>
      </c>
      <c r="I951" s="311" t="str">
        <f t="shared" si="980"/>
        <v/>
      </c>
      <c r="J951" s="311">
        <f t="shared" si="981"/>
        <v>10.1</v>
      </c>
      <c r="K951" s="311" t="str">
        <f t="shared" si="982"/>
        <v/>
      </c>
      <c r="L951" s="310" t="str">
        <f t="shared" si="983"/>
        <v/>
      </c>
      <c r="M951" s="310" t="str">
        <f t="shared" si="984"/>
        <v/>
      </c>
      <c r="N951" s="311" t="str">
        <f t="shared" si="985"/>
        <v/>
      </c>
    </row>
    <row r="952" spans="1:14" s="294" customFormat="1">
      <c r="A952" s="297" t="s">
        <v>1494</v>
      </c>
      <c r="B952" s="301"/>
      <c r="C952" s="299" t="s">
        <v>1496</v>
      </c>
      <c r="D952" s="299">
        <v>1</v>
      </c>
      <c r="E952" s="300">
        <f>15+15+15</f>
        <v>45</v>
      </c>
      <c r="F952" s="300">
        <f t="shared" ref="F952:F953" si="986">E952*D952</f>
        <v>45</v>
      </c>
      <c r="G952" s="302">
        <f>(0.2+0.45)*2+17*0.008*2</f>
        <v>1.57</v>
      </c>
      <c r="H952" s="310" t="str">
        <f t="shared" si="979"/>
        <v/>
      </c>
      <c r="I952" s="311">
        <f t="shared" si="980"/>
        <v>70.650000000000006</v>
      </c>
      <c r="J952" s="311" t="str">
        <f t="shared" si="981"/>
        <v/>
      </c>
      <c r="K952" s="311" t="str">
        <f t="shared" si="982"/>
        <v/>
      </c>
      <c r="L952" s="310" t="str">
        <f t="shared" si="983"/>
        <v/>
      </c>
      <c r="M952" s="310" t="str">
        <f t="shared" si="984"/>
        <v/>
      </c>
      <c r="N952" s="311" t="str">
        <f t="shared" si="985"/>
        <v/>
      </c>
    </row>
    <row r="953" spans="1:14" s="294" customFormat="1">
      <c r="A953" s="297" t="s">
        <v>1517</v>
      </c>
      <c r="B953" s="301"/>
      <c r="C953" s="299" t="s">
        <v>1496</v>
      </c>
      <c r="D953" s="299">
        <v>1</v>
      </c>
      <c r="E953" s="300">
        <f>15+15+15</f>
        <v>45</v>
      </c>
      <c r="F953" s="300">
        <f t="shared" si="986"/>
        <v>45</v>
      </c>
      <c r="G953" s="302">
        <f>(0.45*2)+17*0.008*2</f>
        <v>1.17</v>
      </c>
      <c r="H953" s="310" t="str">
        <f t="shared" si="979"/>
        <v/>
      </c>
      <c r="I953" s="311">
        <f t="shared" si="980"/>
        <v>52.65</v>
      </c>
      <c r="J953" s="311" t="str">
        <f t="shared" si="981"/>
        <v/>
      </c>
      <c r="K953" s="311" t="str">
        <f t="shared" si="982"/>
        <v/>
      </c>
      <c r="L953" s="310" t="str">
        <f t="shared" si="983"/>
        <v/>
      </c>
      <c r="M953" s="310" t="str">
        <f t="shared" si="984"/>
        <v/>
      </c>
      <c r="N953" s="311" t="str">
        <f t="shared" si="985"/>
        <v/>
      </c>
    </row>
    <row r="954" spans="1:14">
      <c r="A954" s="297" t="s">
        <v>1518</v>
      </c>
      <c r="B954" s="254"/>
      <c r="C954" s="299" t="s">
        <v>1492</v>
      </c>
      <c r="D954" s="299">
        <v>1</v>
      </c>
      <c r="E954" s="300">
        <v>3</v>
      </c>
      <c r="F954" s="300">
        <f>E954*D954</f>
        <v>3</v>
      </c>
      <c r="G954" s="302">
        <v>2.4</v>
      </c>
      <c r="H954" s="310" t="str">
        <f t="shared" si="979"/>
        <v/>
      </c>
      <c r="I954" s="311" t="str">
        <f t="shared" si="980"/>
        <v/>
      </c>
      <c r="J954" s="311" t="str">
        <f t="shared" si="981"/>
        <v/>
      </c>
      <c r="K954" s="311" t="str">
        <f t="shared" si="982"/>
        <v/>
      </c>
      <c r="L954" s="310">
        <f t="shared" si="983"/>
        <v>7.2</v>
      </c>
      <c r="M954" s="310" t="str">
        <f t="shared" si="984"/>
        <v/>
      </c>
      <c r="N954" s="311" t="str">
        <f t="shared" si="985"/>
        <v/>
      </c>
    </row>
    <row r="955" spans="1:14">
      <c r="A955" s="297" t="s">
        <v>1520</v>
      </c>
      <c r="B955" s="254"/>
      <c r="C955" s="299" t="s">
        <v>1492</v>
      </c>
      <c r="D955" s="299">
        <v>1</v>
      </c>
      <c r="E955" s="300">
        <v>3</v>
      </c>
      <c r="F955" s="300">
        <f>E955*D955</f>
        <v>3</v>
      </c>
      <c r="G955" s="302">
        <v>2.4</v>
      </c>
      <c r="H955" s="310" t="str">
        <f t="shared" si="979"/>
        <v/>
      </c>
      <c r="I955" s="311" t="str">
        <f t="shared" si="980"/>
        <v/>
      </c>
      <c r="J955" s="311" t="str">
        <f t="shared" si="981"/>
        <v/>
      </c>
      <c r="K955" s="311" t="str">
        <f t="shared" si="982"/>
        <v/>
      </c>
      <c r="L955" s="310">
        <f t="shared" si="983"/>
        <v>7.2</v>
      </c>
      <c r="M955" s="310" t="str">
        <f t="shared" si="984"/>
        <v/>
      </c>
      <c r="N955" s="311" t="str">
        <f t="shared" si="985"/>
        <v/>
      </c>
    </row>
    <row r="956" spans="1:14">
      <c r="A956" s="253"/>
      <c r="B956" s="254"/>
      <c r="C956" s="299" t="s">
        <v>1516</v>
      </c>
      <c r="D956" s="299">
        <v>1</v>
      </c>
      <c r="E956" s="300">
        <v>3</v>
      </c>
      <c r="F956" s="300">
        <f>E956*D956</f>
        <v>3</v>
      </c>
      <c r="G956" s="302">
        <v>4.6500000000000004</v>
      </c>
      <c r="H956" s="310" t="str">
        <f t="shared" si="979"/>
        <v/>
      </c>
      <c r="I956" s="311" t="str">
        <f t="shared" si="980"/>
        <v/>
      </c>
      <c r="J956" s="311" t="str">
        <f t="shared" si="981"/>
        <v/>
      </c>
      <c r="K956" s="311">
        <f t="shared" si="982"/>
        <v>13.95</v>
      </c>
      <c r="L956" s="310" t="str">
        <f t="shared" si="983"/>
        <v/>
      </c>
      <c r="M956" s="310" t="str">
        <f t="shared" si="984"/>
        <v/>
      </c>
      <c r="N956" s="311" t="str">
        <f t="shared" si="985"/>
        <v/>
      </c>
    </row>
    <row r="957" spans="1:14">
      <c r="A957" s="253"/>
      <c r="B957" s="254"/>
      <c r="C957" s="299"/>
      <c r="D957" s="299"/>
      <c r="E957" s="300"/>
      <c r="F957" s="300"/>
      <c r="G957" s="302"/>
      <c r="H957" s="310"/>
      <c r="I957" s="311"/>
      <c r="J957" s="311"/>
      <c r="K957" s="311"/>
      <c r="L957" s="310"/>
      <c r="M957" s="310"/>
      <c r="N957" s="311"/>
    </row>
    <row r="958" spans="1:14" ht="16.5">
      <c r="A958" s="303" t="s">
        <v>1600</v>
      </c>
      <c r="B958" s="254"/>
      <c r="C958" s="299"/>
      <c r="D958" s="299"/>
      <c r="E958" s="300"/>
      <c r="F958" s="300"/>
      <c r="G958" s="302"/>
      <c r="H958" s="310"/>
      <c r="I958" s="311"/>
      <c r="J958" s="311"/>
      <c r="K958" s="311"/>
      <c r="L958" s="310"/>
      <c r="M958" s="310"/>
      <c r="N958" s="311"/>
    </row>
    <row r="959" spans="1:14" s="294" customFormat="1">
      <c r="A959" s="297" t="s">
        <v>1515</v>
      </c>
      <c r="B959" s="298"/>
      <c r="C959" s="299" t="s">
        <v>1519</v>
      </c>
      <c r="D959" s="299">
        <v>1</v>
      </c>
      <c r="E959" s="300">
        <v>3</v>
      </c>
      <c r="F959" s="300">
        <f>E959*D959</f>
        <v>3</v>
      </c>
      <c r="G959" s="299">
        <f>(5.45)+17*0.01*2</f>
        <v>5.79</v>
      </c>
      <c r="H959" s="310" t="str">
        <f t="shared" ref="H959:H965" si="987">IF(C959="T6",G959*F959,"")</f>
        <v/>
      </c>
      <c r="I959" s="311" t="str">
        <f t="shared" ref="I959:I965" si="988">IF(C959="T8",F959*G959,"")</f>
        <v/>
      </c>
      <c r="J959" s="311">
        <f t="shared" ref="J959:J965" si="989">IF(C959="T10",F959*G959,"")</f>
        <v>17.37</v>
      </c>
      <c r="K959" s="311" t="str">
        <f t="shared" ref="K959:K965" si="990">IF(C959="T12",F959*G959,"")</f>
        <v/>
      </c>
      <c r="L959" s="310" t="str">
        <f t="shared" ref="L959:L965" si="991">IF(C959="T14",F959*G959,"")</f>
        <v/>
      </c>
      <c r="M959" s="310" t="str">
        <f t="shared" ref="M959:M965" si="992">IF(C959="T16",G959*F959,"")</f>
        <v/>
      </c>
      <c r="N959" s="311" t="str">
        <f t="shared" ref="N959:N965" si="993">IF(C959="T20",G959*F959,"")</f>
        <v/>
      </c>
    </row>
    <row r="960" spans="1:14" s="294" customFormat="1">
      <c r="A960" s="297" t="s">
        <v>1515</v>
      </c>
      <c r="B960" s="298"/>
      <c r="C960" s="299" t="s">
        <v>1492</v>
      </c>
      <c r="D960" s="299">
        <v>1</v>
      </c>
      <c r="E960" s="300">
        <v>3</v>
      </c>
      <c r="F960" s="300">
        <f>E960*D960</f>
        <v>3</v>
      </c>
      <c r="G960" s="299">
        <f>(5.45)+17*0.014*2</f>
        <v>5.9260000000000002</v>
      </c>
      <c r="H960" s="310" t="str">
        <f t="shared" si="987"/>
        <v/>
      </c>
      <c r="I960" s="311" t="str">
        <f t="shared" si="988"/>
        <v/>
      </c>
      <c r="J960" s="311" t="str">
        <f t="shared" si="989"/>
        <v/>
      </c>
      <c r="K960" s="311" t="str">
        <f t="shared" si="990"/>
        <v/>
      </c>
      <c r="L960" s="310">
        <f t="shared" si="991"/>
        <v>17.78</v>
      </c>
      <c r="M960" s="310" t="str">
        <f t="shared" si="992"/>
        <v/>
      </c>
      <c r="N960" s="311" t="str">
        <f t="shared" si="993"/>
        <v/>
      </c>
    </row>
    <row r="961" spans="1:14" s="294" customFormat="1">
      <c r="A961" s="297"/>
      <c r="B961" s="298"/>
      <c r="C961" s="299" t="s">
        <v>1519</v>
      </c>
      <c r="D961" s="299">
        <v>1</v>
      </c>
      <c r="E961" s="300">
        <v>2</v>
      </c>
      <c r="F961" s="300">
        <f>E961*D961</f>
        <v>2</v>
      </c>
      <c r="G961" s="299">
        <v>5.45</v>
      </c>
      <c r="H961" s="310" t="str">
        <f t="shared" si="987"/>
        <v/>
      </c>
      <c r="I961" s="311" t="str">
        <f t="shared" si="988"/>
        <v/>
      </c>
      <c r="J961" s="311">
        <f t="shared" si="989"/>
        <v>10.9</v>
      </c>
      <c r="K961" s="311" t="str">
        <f t="shared" si="990"/>
        <v/>
      </c>
      <c r="L961" s="310" t="str">
        <f t="shared" si="991"/>
        <v/>
      </c>
      <c r="M961" s="310" t="str">
        <f t="shared" si="992"/>
        <v/>
      </c>
      <c r="N961" s="311" t="str">
        <f t="shared" si="993"/>
        <v/>
      </c>
    </row>
    <row r="962" spans="1:14" s="294" customFormat="1">
      <c r="A962" s="297" t="s">
        <v>1494</v>
      </c>
      <c r="B962" s="301"/>
      <c r="C962" s="299" t="s">
        <v>1496</v>
      </c>
      <c r="D962" s="299">
        <v>1</v>
      </c>
      <c r="E962" s="300">
        <f>18+16+18</f>
        <v>52</v>
      </c>
      <c r="F962" s="300">
        <f t="shared" ref="F962:F963" si="994">E962*D962</f>
        <v>52</v>
      </c>
      <c r="G962" s="302">
        <f>(0.2+0.55)*2+17*0.008*2</f>
        <v>1.77</v>
      </c>
      <c r="H962" s="310" t="str">
        <f t="shared" si="987"/>
        <v/>
      </c>
      <c r="I962" s="311">
        <f t="shared" si="988"/>
        <v>92.04</v>
      </c>
      <c r="J962" s="311" t="str">
        <f t="shared" si="989"/>
        <v/>
      </c>
      <c r="K962" s="311" t="str">
        <f t="shared" si="990"/>
        <v/>
      </c>
      <c r="L962" s="310" t="str">
        <f t="shared" si="991"/>
        <v/>
      </c>
      <c r="M962" s="310" t="str">
        <f t="shared" si="992"/>
        <v/>
      </c>
      <c r="N962" s="311" t="str">
        <f t="shared" si="993"/>
        <v/>
      </c>
    </row>
    <row r="963" spans="1:14" s="294" customFormat="1">
      <c r="A963" s="297" t="s">
        <v>1517</v>
      </c>
      <c r="B963" s="301"/>
      <c r="C963" s="299" t="s">
        <v>1496</v>
      </c>
      <c r="D963" s="299">
        <v>1</v>
      </c>
      <c r="E963" s="300">
        <f>18+16+18</f>
        <v>52</v>
      </c>
      <c r="F963" s="300">
        <f t="shared" si="994"/>
        <v>52</v>
      </c>
      <c r="G963" s="302">
        <f>(0.55*2)+17*0.008*2</f>
        <v>1.37</v>
      </c>
      <c r="H963" s="310" t="str">
        <f t="shared" si="987"/>
        <v/>
      </c>
      <c r="I963" s="311">
        <f t="shared" si="988"/>
        <v>71.239999999999995</v>
      </c>
      <c r="J963" s="311" t="str">
        <f t="shared" si="989"/>
        <v/>
      </c>
      <c r="K963" s="311" t="str">
        <f t="shared" si="990"/>
        <v/>
      </c>
      <c r="L963" s="310" t="str">
        <f t="shared" si="991"/>
        <v/>
      </c>
      <c r="M963" s="310" t="str">
        <f t="shared" si="992"/>
        <v/>
      </c>
      <c r="N963" s="311" t="str">
        <f t="shared" si="993"/>
        <v/>
      </c>
    </row>
    <row r="964" spans="1:14">
      <c r="A964" s="297" t="s">
        <v>1520</v>
      </c>
      <c r="B964" s="254"/>
      <c r="C964" s="299" t="s">
        <v>1492</v>
      </c>
      <c r="D964" s="299">
        <v>1</v>
      </c>
      <c r="E964" s="300">
        <v>6</v>
      </c>
      <c r="F964" s="300">
        <f>E964*D964</f>
        <v>6</v>
      </c>
      <c r="G964" s="302">
        <v>2.4</v>
      </c>
      <c r="H964" s="310" t="str">
        <f t="shared" si="987"/>
        <v/>
      </c>
      <c r="I964" s="311" t="str">
        <f t="shared" si="988"/>
        <v/>
      </c>
      <c r="J964" s="311" t="str">
        <f t="shared" si="989"/>
        <v/>
      </c>
      <c r="K964" s="311" t="str">
        <f t="shared" si="990"/>
        <v/>
      </c>
      <c r="L964" s="310">
        <f t="shared" si="991"/>
        <v>14.4</v>
      </c>
      <c r="M964" s="310" t="str">
        <f t="shared" si="992"/>
        <v/>
      </c>
      <c r="N964" s="311" t="str">
        <f t="shared" si="993"/>
        <v/>
      </c>
    </row>
    <row r="965" spans="1:14">
      <c r="A965" s="253"/>
      <c r="B965" s="254"/>
      <c r="C965" s="299" t="s">
        <v>1516</v>
      </c>
      <c r="D965" s="299">
        <v>1</v>
      </c>
      <c r="E965" s="300">
        <v>3</v>
      </c>
      <c r="F965" s="300">
        <f>E965*D965</f>
        <v>3</v>
      </c>
      <c r="G965" s="302">
        <v>4.6500000000000004</v>
      </c>
      <c r="H965" s="310" t="str">
        <f t="shared" si="987"/>
        <v/>
      </c>
      <c r="I965" s="311" t="str">
        <f t="shared" si="988"/>
        <v/>
      </c>
      <c r="J965" s="311" t="str">
        <f t="shared" si="989"/>
        <v/>
      </c>
      <c r="K965" s="311">
        <f t="shared" si="990"/>
        <v>13.95</v>
      </c>
      <c r="L965" s="310" t="str">
        <f t="shared" si="991"/>
        <v/>
      </c>
      <c r="M965" s="310" t="str">
        <f t="shared" si="992"/>
        <v/>
      </c>
      <c r="N965" s="311" t="str">
        <f t="shared" si="993"/>
        <v/>
      </c>
    </row>
    <row r="966" spans="1:14">
      <c r="A966" s="253"/>
      <c r="B966" s="254"/>
      <c r="C966" s="299"/>
      <c r="D966" s="299"/>
      <c r="E966" s="300"/>
      <c r="F966" s="300"/>
      <c r="G966" s="302"/>
      <c r="H966" s="310"/>
      <c r="I966" s="311"/>
      <c r="J966" s="311"/>
      <c r="K966" s="311"/>
      <c r="L966" s="310"/>
      <c r="M966" s="310"/>
      <c r="N966" s="311"/>
    </row>
    <row r="967" spans="1:14" ht="16.5">
      <c r="A967" s="303" t="s">
        <v>1599</v>
      </c>
      <c r="B967" s="254"/>
      <c r="C967" s="299"/>
      <c r="D967" s="299"/>
      <c r="E967" s="300"/>
      <c r="F967" s="300"/>
      <c r="G967" s="302"/>
      <c r="H967" s="310"/>
      <c r="I967" s="311"/>
      <c r="J967" s="311"/>
      <c r="K967" s="311"/>
      <c r="L967" s="310"/>
      <c r="M967" s="310"/>
      <c r="N967" s="311"/>
    </row>
    <row r="968" spans="1:14" s="294" customFormat="1">
      <c r="A968" s="297" t="s">
        <v>1515</v>
      </c>
      <c r="B968" s="298"/>
      <c r="C968" s="299" t="s">
        <v>1519</v>
      </c>
      <c r="D968" s="299">
        <v>1</v>
      </c>
      <c r="E968" s="300">
        <v>3</v>
      </c>
      <c r="F968" s="300">
        <f>E968*D968</f>
        <v>3</v>
      </c>
      <c r="G968" s="299">
        <f>(4.75)+17*0.01*2</f>
        <v>5.09</v>
      </c>
      <c r="H968" s="310" t="str">
        <f t="shared" ref="H968:H974" si="995">IF(C968="T6",G968*F968,"")</f>
        <v/>
      </c>
      <c r="I968" s="311" t="str">
        <f t="shared" ref="I968:I974" si="996">IF(C968="T8",F968*G968,"")</f>
        <v/>
      </c>
      <c r="J968" s="311">
        <f t="shared" ref="J968:J974" si="997">IF(C968="T10",F968*G968,"")</f>
        <v>15.27</v>
      </c>
      <c r="K968" s="311" t="str">
        <f t="shared" ref="K968:K974" si="998">IF(C968="T12",F968*G968,"")</f>
        <v/>
      </c>
      <c r="L968" s="310" t="str">
        <f t="shared" ref="L968:L974" si="999">IF(C968="T14",F968*G968,"")</f>
        <v/>
      </c>
      <c r="M968" s="310" t="str">
        <f t="shared" ref="M968:M974" si="1000">IF(C968="T16",G968*F968,"")</f>
        <v/>
      </c>
      <c r="N968" s="311" t="str">
        <f t="shared" ref="N968:N974" si="1001">IF(C968="T20",G968*F968,"")</f>
        <v/>
      </c>
    </row>
    <row r="969" spans="1:14" s="294" customFormat="1">
      <c r="A969" s="297" t="s">
        <v>1515</v>
      </c>
      <c r="B969" s="298"/>
      <c r="C969" s="299" t="s">
        <v>1492</v>
      </c>
      <c r="D969" s="299">
        <v>1</v>
      </c>
      <c r="E969" s="300">
        <v>3</v>
      </c>
      <c r="F969" s="300">
        <f>E969*D969</f>
        <v>3</v>
      </c>
      <c r="G969" s="299">
        <f>(4.75)+17*0.014*2</f>
        <v>5.226</v>
      </c>
      <c r="H969" s="310" t="str">
        <f t="shared" si="995"/>
        <v/>
      </c>
      <c r="I969" s="311" t="str">
        <f t="shared" si="996"/>
        <v/>
      </c>
      <c r="J969" s="311" t="str">
        <f t="shared" si="997"/>
        <v/>
      </c>
      <c r="K969" s="311" t="str">
        <f t="shared" si="998"/>
        <v/>
      </c>
      <c r="L969" s="310">
        <f t="shared" si="999"/>
        <v>15.68</v>
      </c>
      <c r="M969" s="310" t="str">
        <f t="shared" si="1000"/>
        <v/>
      </c>
      <c r="N969" s="311" t="str">
        <f t="shared" si="1001"/>
        <v/>
      </c>
    </row>
    <row r="970" spans="1:14" s="294" customFormat="1">
      <c r="A970" s="297"/>
      <c r="B970" s="298"/>
      <c r="C970" s="299" t="s">
        <v>1519</v>
      </c>
      <c r="D970" s="299">
        <v>1</v>
      </c>
      <c r="E970" s="300">
        <v>2</v>
      </c>
      <c r="F970" s="300">
        <f>E970*D970</f>
        <v>2</v>
      </c>
      <c r="G970" s="299">
        <v>4.75</v>
      </c>
      <c r="H970" s="310" t="str">
        <f t="shared" si="995"/>
        <v/>
      </c>
      <c r="I970" s="311" t="str">
        <f t="shared" si="996"/>
        <v/>
      </c>
      <c r="J970" s="311">
        <f t="shared" si="997"/>
        <v>9.5</v>
      </c>
      <c r="K970" s="311" t="str">
        <f t="shared" si="998"/>
        <v/>
      </c>
      <c r="L970" s="310" t="str">
        <f t="shared" si="999"/>
        <v/>
      </c>
      <c r="M970" s="310" t="str">
        <f t="shared" si="1000"/>
        <v/>
      </c>
      <c r="N970" s="311" t="str">
        <f t="shared" si="1001"/>
        <v/>
      </c>
    </row>
    <row r="971" spans="1:14" s="294" customFormat="1">
      <c r="A971" s="297" t="s">
        <v>1494</v>
      </c>
      <c r="B971" s="301"/>
      <c r="C971" s="299" t="s">
        <v>1496</v>
      </c>
      <c r="D971" s="299">
        <v>1</v>
      </c>
      <c r="E971" s="300">
        <f>13*3</f>
        <v>39</v>
      </c>
      <c r="F971" s="300">
        <f t="shared" ref="F971:F972" si="1002">E971*D971</f>
        <v>39</v>
      </c>
      <c r="G971" s="302">
        <f>(0.2+0.55)*2+17*0.008*2</f>
        <v>1.77</v>
      </c>
      <c r="H971" s="310" t="str">
        <f t="shared" si="995"/>
        <v/>
      </c>
      <c r="I971" s="311">
        <f t="shared" si="996"/>
        <v>69.03</v>
      </c>
      <c r="J971" s="311" t="str">
        <f t="shared" si="997"/>
        <v/>
      </c>
      <c r="K971" s="311" t="str">
        <f t="shared" si="998"/>
        <v/>
      </c>
      <c r="L971" s="310" t="str">
        <f t="shared" si="999"/>
        <v/>
      </c>
      <c r="M971" s="310" t="str">
        <f t="shared" si="1000"/>
        <v/>
      </c>
      <c r="N971" s="311" t="str">
        <f t="shared" si="1001"/>
        <v/>
      </c>
    </row>
    <row r="972" spans="1:14" s="294" customFormat="1">
      <c r="A972" s="297" t="s">
        <v>1517</v>
      </c>
      <c r="B972" s="301"/>
      <c r="C972" s="299" t="s">
        <v>1496</v>
      </c>
      <c r="D972" s="299">
        <v>1</v>
      </c>
      <c r="E972" s="300">
        <f>13*3</f>
        <v>39</v>
      </c>
      <c r="F972" s="300">
        <f t="shared" si="1002"/>
        <v>39</v>
      </c>
      <c r="G972" s="302">
        <f>(0.55*2)+17*0.008*2</f>
        <v>1.37</v>
      </c>
      <c r="H972" s="310" t="str">
        <f t="shared" si="995"/>
        <v/>
      </c>
      <c r="I972" s="311">
        <f t="shared" si="996"/>
        <v>53.43</v>
      </c>
      <c r="J972" s="311" t="str">
        <f t="shared" si="997"/>
        <v/>
      </c>
      <c r="K972" s="311" t="str">
        <f t="shared" si="998"/>
        <v/>
      </c>
      <c r="L972" s="310" t="str">
        <f t="shared" si="999"/>
        <v/>
      </c>
      <c r="M972" s="310" t="str">
        <f t="shared" si="1000"/>
        <v/>
      </c>
      <c r="N972" s="311" t="str">
        <f t="shared" si="1001"/>
        <v/>
      </c>
    </row>
    <row r="973" spans="1:14">
      <c r="A973" s="297" t="s">
        <v>1520</v>
      </c>
      <c r="B973" s="254"/>
      <c r="C973" s="299" t="s">
        <v>1492</v>
      </c>
      <c r="D973" s="299">
        <v>1</v>
      </c>
      <c r="E973" s="300">
        <v>6</v>
      </c>
      <c r="F973" s="300">
        <f>E973*D973</f>
        <v>6</v>
      </c>
      <c r="G973" s="302">
        <v>2.4</v>
      </c>
      <c r="H973" s="310" t="str">
        <f t="shared" si="995"/>
        <v/>
      </c>
      <c r="I973" s="311" t="str">
        <f t="shared" si="996"/>
        <v/>
      </c>
      <c r="J973" s="311" t="str">
        <f t="shared" si="997"/>
        <v/>
      </c>
      <c r="K973" s="311" t="str">
        <f t="shared" si="998"/>
        <v/>
      </c>
      <c r="L973" s="310">
        <f t="shared" si="999"/>
        <v>14.4</v>
      </c>
      <c r="M973" s="310" t="str">
        <f t="shared" si="1000"/>
        <v/>
      </c>
      <c r="N973" s="311" t="str">
        <f t="shared" si="1001"/>
        <v/>
      </c>
    </row>
    <row r="974" spans="1:14">
      <c r="A974" s="253"/>
      <c r="B974" s="254"/>
      <c r="C974" s="299" t="s">
        <v>1516</v>
      </c>
      <c r="D974" s="299">
        <v>1</v>
      </c>
      <c r="E974" s="300">
        <v>3</v>
      </c>
      <c r="F974" s="300">
        <f>E974*D974</f>
        <v>3</v>
      </c>
      <c r="G974" s="302">
        <v>4.6500000000000004</v>
      </c>
      <c r="H974" s="310" t="str">
        <f t="shared" si="995"/>
        <v/>
      </c>
      <c r="I974" s="311" t="str">
        <f t="shared" si="996"/>
        <v/>
      </c>
      <c r="J974" s="311" t="str">
        <f t="shared" si="997"/>
        <v/>
      </c>
      <c r="K974" s="311">
        <f t="shared" si="998"/>
        <v>13.95</v>
      </c>
      <c r="L974" s="310" t="str">
        <f t="shared" si="999"/>
        <v/>
      </c>
      <c r="M974" s="310" t="str">
        <f t="shared" si="1000"/>
        <v/>
      </c>
      <c r="N974" s="311" t="str">
        <f t="shared" si="1001"/>
        <v/>
      </c>
    </row>
    <row r="975" spans="1:14">
      <c r="A975" s="253"/>
      <c r="B975" s="254"/>
      <c r="C975" s="299"/>
      <c r="D975" s="299"/>
      <c r="E975" s="300"/>
      <c r="F975" s="300"/>
      <c r="G975" s="302"/>
      <c r="H975" s="310"/>
      <c r="I975" s="311"/>
      <c r="J975" s="311"/>
      <c r="K975" s="311"/>
      <c r="L975" s="310"/>
      <c r="M975" s="310"/>
      <c r="N975" s="311"/>
    </row>
    <row r="976" spans="1:14" ht="16.5">
      <c r="A976" s="303" t="s">
        <v>1590</v>
      </c>
      <c r="B976" s="254"/>
      <c r="C976" s="299"/>
      <c r="D976" s="299"/>
      <c r="E976" s="300"/>
      <c r="F976" s="300"/>
      <c r="G976" s="302"/>
      <c r="H976" s="310"/>
      <c r="I976" s="311"/>
      <c r="J976" s="311"/>
      <c r="K976" s="311"/>
      <c r="L976" s="310"/>
      <c r="M976" s="310"/>
      <c r="N976" s="311"/>
    </row>
    <row r="977" spans="1:14" s="294" customFormat="1">
      <c r="A977" s="297" t="s">
        <v>1515</v>
      </c>
      <c r="B977" s="298"/>
      <c r="C977" s="299" t="s">
        <v>1519</v>
      </c>
      <c r="D977" s="299">
        <v>1</v>
      </c>
      <c r="E977" s="300">
        <v>3</v>
      </c>
      <c r="F977" s="300">
        <f>E977*D977</f>
        <v>3</v>
      </c>
      <c r="G977" s="299">
        <f>(2.5)+17*0.01*2</f>
        <v>2.84</v>
      </c>
      <c r="H977" s="310" t="str">
        <f t="shared" ref="H977:H980" si="1003">IF(C977="T6",G977*F977,"")</f>
        <v/>
      </c>
      <c r="I977" s="311" t="str">
        <f t="shared" ref="I977:I980" si="1004">IF(C977="T8",F977*G977,"")</f>
        <v/>
      </c>
      <c r="J977" s="311">
        <f t="shared" ref="J977:J980" si="1005">IF(C977="T10",F977*G977,"")</f>
        <v>8.52</v>
      </c>
      <c r="K977" s="311" t="str">
        <f t="shared" ref="K977:K980" si="1006">IF(C977="T12",F977*G977,"")</f>
        <v/>
      </c>
      <c r="L977" s="310" t="str">
        <f t="shared" ref="L977:L980" si="1007">IF(C977="T14",F977*G977,"")</f>
        <v/>
      </c>
      <c r="M977" s="310" t="str">
        <f t="shared" ref="M977:M980" si="1008">IF(C977="T16",G977*F977,"")</f>
        <v/>
      </c>
      <c r="N977" s="311" t="str">
        <f t="shared" ref="N977:N980" si="1009">IF(C977="T20",G977*F977,"")</f>
        <v/>
      </c>
    </row>
    <row r="978" spans="1:14" s="294" customFormat="1">
      <c r="A978" s="297" t="s">
        <v>1515</v>
      </c>
      <c r="B978" s="298"/>
      <c r="C978" s="299" t="s">
        <v>1492</v>
      </c>
      <c r="D978" s="299">
        <v>1</v>
      </c>
      <c r="E978" s="300">
        <v>3</v>
      </c>
      <c r="F978" s="300">
        <f>E978*D978</f>
        <v>3</v>
      </c>
      <c r="G978" s="299">
        <f>(2.5)+17*0.014*2</f>
        <v>2.976</v>
      </c>
      <c r="H978" s="310" t="str">
        <f t="shared" si="1003"/>
        <v/>
      </c>
      <c r="I978" s="311" t="str">
        <f t="shared" si="1004"/>
        <v/>
      </c>
      <c r="J978" s="311" t="str">
        <f t="shared" si="1005"/>
        <v/>
      </c>
      <c r="K978" s="311" t="str">
        <f t="shared" si="1006"/>
        <v/>
      </c>
      <c r="L978" s="310">
        <f t="shared" si="1007"/>
        <v>8.93</v>
      </c>
      <c r="M978" s="310" t="str">
        <f t="shared" si="1008"/>
        <v/>
      </c>
      <c r="N978" s="311" t="str">
        <f t="shared" si="1009"/>
        <v/>
      </c>
    </row>
    <row r="979" spans="1:14" s="294" customFormat="1">
      <c r="A979" s="297" t="s">
        <v>1494</v>
      </c>
      <c r="B979" s="301"/>
      <c r="C979" s="299" t="s">
        <v>1496</v>
      </c>
      <c r="D979" s="299">
        <v>1</v>
      </c>
      <c r="E979" s="300">
        <f>2.5/0.15</f>
        <v>17</v>
      </c>
      <c r="F979" s="300">
        <f t="shared" ref="F979:F980" si="1010">E979*D979</f>
        <v>17</v>
      </c>
      <c r="G979" s="302">
        <f>(0.2+0.15)*2+17*0.008*2</f>
        <v>0.97</v>
      </c>
      <c r="H979" s="310" t="str">
        <f t="shared" si="1003"/>
        <v/>
      </c>
      <c r="I979" s="311">
        <f t="shared" si="1004"/>
        <v>16.489999999999998</v>
      </c>
      <c r="J979" s="311" t="str">
        <f t="shared" si="1005"/>
        <v/>
      </c>
      <c r="K979" s="311" t="str">
        <f t="shared" si="1006"/>
        <v/>
      </c>
      <c r="L979" s="310" t="str">
        <f t="shared" si="1007"/>
        <v/>
      </c>
      <c r="M979" s="310" t="str">
        <f t="shared" si="1008"/>
        <v/>
      </c>
      <c r="N979" s="311" t="str">
        <f t="shared" si="1009"/>
        <v/>
      </c>
    </row>
    <row r="980" spans="1:14" s="294" customFormat="1">
      <c r="A980" s="297" t="s">
        <v>1517</v>
      </c>
      <c r="B980" s="301"/>
      <c r="C980" s="299" t="s">
        <v>1496</v>
      </c>
      <c r="D980" s="299">
        <v>1</v>
      </c>
      <c r="E980" s="300">
        <v>17</v>
      </c>
      <c r="F980" s="300">
        <f t="shared" si="1010"/>
        <v>17</v>
      </c>
      <c r="G980" s="302">
        <f>(0.2*2)+17*0.008*2</f>
        <v>0.67</v>
      </c>
      <c r="H980" s="310" t="str">
        <f t="shared" si="1003"/>
        <v/>
      </c>
      <c r="I980" s="311">
        <f t="shared" si="1004"/>
        <v>11.39</v>
      </c>
      <c r="J980" s="311" t="str">
        <f t="shared" si="1005"/>
        <v/>
      </c>
      <c r="K980" s="311" t="str">
        <f t="shared" si="1006"/>
        <v/>
      </c>
      <c r="L980" s="310" t="str">
        <f t="shared" si="1007"/>
        <v/>
      </c>
      <c r="M980" s="310" t="str">
        <f t="shared" si="1008"/>
        <v/>
      </c>
      <c r="N980" s="311" t="str">
        <f t="shared" si="1009"/>
        <v/>
      </c>
    </row>
    <row r="981" spans="1:14" ht="16.5">
      <c r="A981" s="305"/>
      <c r="B981" s="254"/>
      <c r="C981" s="299"/>
      <c r="D981" s="299"/>
      <c r="E981" s="300"/>
      <c r="F981" s="300"/>
      <c r="G981" s="302"/>
      <c r="H981" s="310"/>
      <c r="I981" s="311"/>
      <c r="J981" s="311"/>
      <c r="K981" s="311"/>
      <c r="L981" s="310"/>
      <c r="M981" s="310"/>
      <c r="N981" s="311"/>
    </row>
    <row r="982" spans="1:14" ht="16.5">
      <c r="A982" s="303" t="s">
        <v>1590</v>
      </c>
      <c r="B982" s="254"/>
      <c r="C982" s="299"/>
      <c r="D982" s="299"/>
      <c r="E982" s="300"/>
      <c r="F982" s="300"/>
      <c r="G982" s="302"/>
      <c r="H982" s="310"/>
      <c r="I982" s="311"/>
      <c r="J982" s="311"/>
      <c r="K982" s="311"/>
      <c r="L982" s="310"/>
      <c r="M982" s="310"/>
      <c r="N982" s="311"/>
    </row>
    <row r="983" spans="1:14" s="294" customFormat="1">
      <c r="A983" s="297" t="s">
        <v>1515</v>
      </c>
      <c r="B983" s="298"/>
      <c r="C983" s="299" t="s">
        <v>1519</v>
      </c>
      <c r="D983" s="299">
        <v>1</v>
      </c>
      <c r="E983" s="300">
        <v>3</v>
      </c>
      <c r="F983" s="300">
        <f>E983*D983</f>
        <v>3</v>
      </c>
      <c r="G983" s="299">
        <f>(3.11)+17*0.01*2</f>
        <v>3.45</v>
      </c>
      <c r="H983" s="310" t="str">
        <f t="shared" ref="H983:H986" si="1011">IF(C983="T6",G983*F983,"")</f>
        <v/>
      </c>
      <c r="I983" s="311" t="str">
        <f t="shared" ref="I983:I986" si="1012">IF(C983="T8",F983*G983,"")</f>
        <v/>
      </c>
      <c r="J983" s="311">
        <f t="shared" ref="J983:J986" si="1013">IF(C983="T10",F983*G983,"")</f>
        <v>10.35</v>
      </c>
      <c r="K983" s="311" t="str">
        <f t="shared" ref="K983:K986" si="1014">IF(C983="T12",F983*G983,"")</f>
        <v/>
      </c>
      <c r="L983" s="310" t="str">
        <f t="shared" ref="L983:L986" si="1015">IF(C983="T14",F983*G983,"")</f>
        <v/>
      </c>
      <c r="M983" s="310" t="str">
        <f t="shared" ref="M983:M986" si="1016">IF(C983="T16",G983*F983,"")</f>
        <v/>
      </c>
      <c r="N983" s="311" t="str">
        <f t="shared" ref="N983:N986" si="1017">IF(C983="T20",G983*F983,"")</f>
        <v/>
      </c>
    </row>
    <row r="984" spans="1:14" s="294" customFormat="1">
      <c r="A984" s="297" t="s">
        <v>1515</v>
      </c>
      <c r="B984" s="298"/>
      <c r="C984" s="299" t="s">
        <v>1492</v>
      </c>
      <c r="D984" s="299">
        <v>1</v>
      </c>
      <c r="E984" s="300">
        <v>3</v>
      </c>
      <c r="F984" s="300">
        <f>E984*D984</f>
        <v>3</v>
      </c>
      <c r="G984" s="299">
        <f>(3.11)+17*0.014*2</f>
        <v>3.5859999999999999</v>
      </c>
      <c r="H984" s="310" t="str">
        <f t="shared" si="1011"/>
        <v/>
      </c>
      <c r="I984" s="311" t="str">
        <f t="shared" si="1012"/>
        <v/>
      </c>
      <c r="J984" s="311" t="str">
        <f t="shared" si="1013"/>
        <v/>
      </c>
      <c r="K984" s="311" t="str">
        <f t="shared" si="1014"/>
        <v/>
      </c>
      <c r="L984" s="310">
        <f t="shared" si="1015"/>
        <v>10.76</v>
      </c>
      <c r="M984" s="310" t="str">
        <f t="shared" si="1016"/>
        <v/>
      </c>
      <c r="N984" s="311" t="str">
        <f t="shared" si="1017"/>
        <v/>
      </c>
    </row>
    <row r="985" spans="1:14" s="294" customFormat="1">
      <c r="A985" s="297" t="s">
        <v>1494</v>
      </c>
      <c r="B985" s="301"/>
      <c r="C985" s="299" t="s">
        <v>1496</v>
      </c>
      <c r="D985" s="299">
        <v>1</v>
      </c>
      <c r="E985" s="300">
        <f>3.11/0.15</f>
        <v>21</v>
      </c>
      <c r="F985" s="300">
        <f t="shared" ref="F985:F986" si="1018">E985*D985</f>
        <v>21</v>
      </c>
      <c r="G985" s="302">
        <f>(0.2+0.15)*2+17*0.008*2</f>
        <v>0.97</v>
      </c>
      <c r="H985" s="310" t="str">
        <f t="shared" si="1011"/>
        <v/>
      </c>
      <c r="I985" s="311">
        <f t="shared" si="1012"/>
        <v>20.37</v>
      </c>
      <c r="J985" s="311" t="str">
        <f t="shared" si="1013"/>
        <v/>
      </c>
      <c r="K985" s="311" t="str">
        <f t="shared" si="1014"/>
        <v/>
      </c>
      <c r="L985" s="310" t="str">
        <f t="shared" si="1015"/>
        <v/>
      </c>
      <c r="M985" s="310" t="str">
        <f t="shared" si="1016"/>
        <v/>
      </c>
      <c r="N985" s="311" t="str">
        <f t="shared" si="1017"/>
        <v/>
      </c>
    </row>
    <row r="986" spans="1:14" s="294" customFormat="1">
      <c r="A986" s="297" t="s">
        <v>1517</v>
      </c>
      <c r="B986" s="301"/>
      <c r="C986" s="299" t="s">
        <v>1496</v>
      </c>
      <c r="D986" s="299">
        <v>1</v>
      </c>
      <c r="E986" s="300">
        <v>21</v>
      </c>
      <c r="F986" s="300">
        <f t="shared" si="1018"/>
        <v>21</v>
      </c>
      <c r="G986" s="302">
        <f>(0.2*2)+17*0.008*2</f>
        <v>0.67</v>
      </c>
      <c r="H986" s="310" t="str">
        <f t="shared" si="1011"/>
        <v/>
      </c>
      <c r="I986" s="311">
        <f t="shared" si="1012"/>
        <v>14.07</v>
      </c>
      <c r="J986" s="311" t="str">
        <f t="shared" si="1013"/>
        <v/>
      </c>
      <c r="K986" s="311" t="str">
        <f t="shared" si="1014"/>
        <v/>
      </c>
      <c r="L986" s="310" t="str">
        <f t="shared" si="1015"/>
        <v/>
      </c>
      <c r="M986" s="310" t="str">
        <f t="shared" si="1016"/>
        <v/>
      </c>
      <c r="N986" s="311" t="str">
        <f t="shared" si="1017"/>
        <v/>
      </c>
    </row>
    <row r="987" spans="1:14" s="294" customFormat="1">
      <c r="A987" s="297"/>
      <c r="B987" s="306"/>
      <c r="C987" s="299"/>
      <c r="D987" s="299"/>
      <c r="E987" s="300"/>
      <c r="F987" s="300"/>
      <c r="G987" s="302"/>
      <c r="H987" s="310"/>
      <c r="I987" s="311"/>
      <c r="J987" s="311"/>
      <c r="K987" s="311"/>
      <c r="L987" s="310"/>
      <c r="M987" s="310"/>
      <c r="N987" s="311"/>
    </row>
    <row r="988" spans="1:14" ht="16.5">
      <c r="A988" s="303" t="s">
        <v>1598</v>
      </c>
      <c r="B988" s="254"/>
      <c r="C988" s="299"/>
      <c r="D988" s="299"/>
      <c r="E988" s="300"/>
      <c r="F988" s="300"/>
      <c r="G988" s="302"/>
      <c r="H988" s="310"/>
      <c r="I988" s="311"/>
      <c r="J988" s="311"/>
      <c r="K988" s="311"/>
      <c r="L988" s="310"/>
      <c r="M988" s="310"/>
      <c r="N988" s="311"/>
    </row>
    <row r="989" spans="1:14" s="294" customFormat="1">
      <c r="A989" s="297" t="s">
        <v>1515</v>
      </c>
      <c r="B989" s="298"/>
      <c r="C989" s="299" t="s">
        <v>1519</v>
      </c>
      <c r="D989" s="299">
        <v>1</v>
      </c>
      <c r="E989" s="300">
        <v>3</v>
      </c>
      <c r="F989" s="300">
        <f>E989*D989</f>
        <v>3</v>
      </c>
      <c r="G989" s="299">
        <f>(7.75)+17*0.01*2</f>
        <v>8.09</v>
      </c>
      <c r="H989" s="310" t="str">
        <f t="shared" ref="H989:H996" si="1019">IF(C989="T6",G989*F989,"")</f>
        <v/>
      </c>
      <c r="I989" s="311" t="str">
        <f t="shared" ref="I989:I996" si="1020">IF(C989="T8",F989*G989,"")</f>
        <v/>
      </c>
      <c r="J989" s="311">
        <f t="shared" ref="J989:J996" si="1021">IF(C989="T10",F989*G989,"")</f>
        <v>24.27</v>
      </c>
      <c r="K989" s="311" t="str">
        <f t="shared" ref="K989:K996" si="1022">IF(C989="T12",F989*G989,"")</f>
        <v/>
      </c>
      <c r="L989" s="310" t="str">
        <f t="shared" ref="L989:L996" si="1023">IF(C989="T14",F989*G989,"")</f>
        <v/>
      </c>
      <c r="M989" s="310" t="str">
        <f t="shared" ref="M989:M996" si="1024">IF(C989="T16",G989*F989,"")</f>
        <v/>
      </c>
      <c r="N989" s="311" t="str">
        <f t="shared" ref="N989:N996" si="1025">IF(C989="T20",G989*F989,"")</f>
        <v/>
      </c>
    </row>
    <row r="990" spans="1:14" s="294" customFormat="1">
      <c r="A990" s="297" t="s">
        <v>1515</v>
      </c>
      <c r="B990" s="298"/>
      <c r="C990" s="299" t="s">
        <v>1516</v>
      </c>
      <c r="D990" s="299">
        <v>1</v>
      </c>
      <c r="E990" s="300">
        <v>3</v>
      </c>
      <c r="F990" s="300">
        <f>E990*D990</f>
        <v>3</v>
      </c>
      <c r="G990" s="299">
        <f>(7.75)+17*0.012*2</f>
        <v>8.1579999999999995</v>
      </c>
      <c r="H990" s="310" t="str">
        <f t="shared" si="1019"/>
        <v/>
      </c>
      <c r="I990" s="311" t="str">
        <f t="shared" si="1020"/>
        <v/>
      </c>
      <c r="J990" s="311" t="str">
        <f t="shared" si="1021"/>
        <v/>
      </c>
      <c r="K990" s="311">
        <f t="shared" si="1022"/>
        <v>24.47</v>
      </c>
      <c r="L990" s="310" t="str">
        <f t="shared" si="1023"/>
        <v/>
      </c>
      <c r="M990" s="310" t="str">
        <f t="shared" si="1024"/>
        <v/>
      </c>
      <c r="N990" s="311" t="str">
        <f t="shared" si="1025"/>
        <v/>
      </c>
    </row>
    <row r="991" spans="1:14" s="294" customFormat="1">
      <c r="A991" s="297"/>
      <c r="B991" s="298"/>
      <c r="C991" s="299" t="s">
        <v>1519</v>
      </c>
      <c r="D991" s="299">
        <v>1</v>
      </c>
      <c r="E991" s="300">
        <v>2</v>
      </c>
      <c r="F991" s="300">
        <f>E991*D991</f>
        <v>2</v>
      </c>
      <c r="G991" s="299">
        <v>7.75</v>
      </c>
      <c r="H991" s="310" t="str">
        <f t="shared" si="1019"/>
        <v/>
      </c>
      <c r="I991" s="311" t="str">
        <f t="shared" si="1020"/>
        <v/>
      </c>
      <c r="J991" s="311">
        <f t="shared" si="1021"/>
        <v>15.5</v>
      </c>
      <c r="K991" s="311" t="str">
        <f t="shared" si="1022"/>
        <v/>
      </c>
      <c r="L991" s="310" t="str">
        <f t="shared" si="1023"/>
        <v/>
      </c>
      <c r="M991" s="310" t="str">
        <f t="shared" si="1024"/>
        <v/>
      </c>
      <c r="N991" s="311" t="str">
        <f t="shared" si="1025"/>
        <v/>
      </c>
    </row>
    <row r="992" spans="1:14" s="294" customFormat="1">
      <c r="A992" s="297" t="s">
        <v>1494</v>
      </c>
      <c r="B992" s="301"/>
      <c r="C992" s="299" t="s">
        <v>1496</v>
      </c>
      <c r="D992" s="299">
        <v>1</v>
      </c>
      <c r="E992" s="300">
        <f>15+16+15</f>
        <v>46</v>
      </c>
      <c r="F992" s="300">
        <f t="shared" ref="F992:F993" si="1026">E992*D992</f>
        <v>46</v>
      </c>
      <c r="G992" s="302">
        <f>(0.2+0.45)*2+17*0.008*2</f>
        <v>1.57</v>
      </c>
      <c r="H992" s="310" t="str">
        <f t="shared" si="1019"/>
        <v/>
      </c>
      <c r="I992" s="311">
        <f t="shared" si="1020"/>
        <v>72.22</v>
      </c>
      <c r="J992" s="311" t="str">
        <f t="shared" si="1021"/>
        <v/>
      </c>
      <c r="K992" s="311" t="str">
        <f t="shared" si="1022"/>
        <v/>
      </c>
      <c r="L992" s="310" t="str">
        <f t="shared" si="1023"/>
        <v/>
      </c>
      <c r="M992" s="310" t="str">
        <f t="shared" si="1024"/>
        <v/>
      </c>
      <c r="N992" s="311" t="str">
        <f t="shared" si="1025"/>
        <v/>
      </c>
    </row>
    <row r="993" spans="1:14" s="294" customFormat="1">
      <c r="A993" s="297" t="s">
        <v>1517</v>
      </c>
      <c r="B993" s="301"/>
      <c r="C993" s="299" t="s">
        <v>1496</v>
      </c>
      <c r="D993" s="299">
        <v>1</v>
      </c>
      <c r="E993" s="300">
        <f>15+16+15</f>
        <v>46</v>
      </c>
      <c r="F993" s="300">
        <f t="shared" si="1026"/>
        <v>46</v>
      </c>
      <c r="G993" s="302">
        <f>(0.45*2)+17*0.008*2</f>
        <v>1.17</v>
      </c>
      <c r="H993" s="310" t="str">
        <f t="shared" si="1019"/>
        <v/>
      </c>
      <c r="I993" s="311">
        <f t="shared" si="1020"/>
        <v>53.82</v>
      </c>
      <c r="J993" s="311" t="str">
        <f t="shared" si="1021"/>
        <v/>
      </c>
      <c r="K993" s="311" t="str">
        <f t="shared" si="1022"/>
        <v/>
      </c>
      <c r="L993" s="310" t="str">
        <f t="shared" si="1023"/>
        <v/>
      </c>
      <c r="M993" s="310" t="str">
        <f t="shared" si="1024"/>
        <v/>
      </c>
      <c r="N993" s="311" t="str">
        <f t="shared" si="1025"/>
        <v/>
      </c>
    </row>
    <row r="994" spans="1:14">
      <c r="A994" s="297" t="s">
        <v>1518</v>
      </c>
      <c r="B994" s="254"/>
      <c r="C994" s="299" t="s">
        <v>1516</v>
      </c>
      <c r="D994" s="299">
        <v>1</v>
      </c>
      <c r="E994" s="300">
        <v>3</v>
      </c>
      <c r="F994" s="300">
        <f>E994*D994</f>
        <v>3</v>
      </c>
      <c r="G994" s="302">
        <v>1.5</v>
      </c>
      <c r="H994" s="310" t="str">
        <f t="shared" si="1019"/>
        <v/>
      </c>
      <c r="I994" s="311" t="str">
        <f t="shared" si="1020"/>
        <v/>
      </c>
      <c r="J994" s="311" t="str">
        <f t="shared" si="1021"/>
        <v/>
      </c>
      <c r="K994" s="311">
        <f t="shared" si="1022"/>
        <v>4.5</v>
      </c>
      <c r="L994" s="310" t="str">
        <f t="shared" si="1023"/>
        <v/>
      </c>
      <c r="M994" s="310" t="str">
        <f t="shared" si="1024"/>
        <v/>
      </c>
      <c r="N994" s="311" t="str">
        <f t="shared" si="1025"/>
        <v/>
      </c>
    </row>
    <row r="995" spans="1:14">
      <c r="A995" s="297" t="s">
        <v>1520</v>
      </c>
      <c r="B995" s="254"/>
      <c r="C995" s="299" t="s">
        <v>1492</v>
      </c>
      <c r="D995" s="299">
        <v>1</v>
      </c>
      <c r="E995" s="300">
        <v>3</v>
      </c>
      <c r="F995" s="300">
        <f>E995*D995</f>
        <v>3</v>
      </c>
      <c r="G995" s="302">
        <v>3.5</v>
      </c>
      <c r="H995" s="310" t="str">
        <f t="shared" si="1019"/>
        <v/>
      </c>
      <c r="I995" s="311" t="str">
        <f t="shared" si="1020"/>
        <v/>
      </c>
      <c r="J995" s="311" t="str">
        <f t="shared" si="1021"/>
        <v/>
      </c>
      <c r="K995" s="311" t="str">
        <f t="shared" si="1022"/>
        <v/>
      </c>
      <c r="L995" s="310">
        <f t="shared" si="1023"/>
        <v>10.5</v>
      </c>
      <c r="M995" s="310" t="str">
        <f t="shared" si="1024"/>
        <v/>
      </c>
      <c r="N995" s="311" t="str">
        <f t="shared" si="1025"/>
        <v/>
      </c>
    </row>
    <row r="996" spans="1:14">
      <c r="A996" s="253"/>
      <c r="B996" s="254"/>
      <c r="C996" s="299" t="s">
        <v>1516</v>
      </c>
      <c r="D996" s="299">
        <v>1</v>
      </c>
      <c r="E996" s="300">
        <v>3</v>
      </c>
      <c r="F996" s="300">
        <f>E996*D996</f>
        <v>3</v>
      </c>
      <c r="G996" s="302">
        <v>5.4</v>
      </c>
      <c r="H996" s="310" t="str">
        <f t="shared" si="1019"/>
        <v/>
      </c>
      <c r="I996" s="311" t="str">
        <f t="shared" si="1020"/>
        <v/>
      </c>
      <c r="J996" s="311" t="str">
        <f t="shared" si="1021"/>
        <v/>
      </c>
      <c r="K996" s="311">
        <f t="shared" si="1022"/>
        <v>16.2</v>
      </c>
      <c r="L996" s="310" t="str">
        <f t="shared" si="1023"/>
        <v/>
      </c>
      <c r="M996" s="310" t="str">
        <f t="shared" si="1024"/>
        <v/>
      </c>
      <c r="N996" s="311" t="str">
        <f t="shared" si="1025"/>
        <v/>
      </c>
    </row>
    <row r="997" spans="1:14">
      <c r="A997" s="253"/>
      <c r="B997" s="254"/>
      <c r="C997" s="299"/>
      <c r="D997" s="299"/>
      <c r="E997" s="300"/>
      <c r="F997" s="300"/>
      <c r="G997" s="302"/>
      <c r="H997" s="310"/>
      <c r="I997" s="311"/>
      <c r="J997" s="311"/>
      <c r="K997" s="311"/>
      <c r="L997" s="310"/>
      <c r="M997" s="310"/>
      <c r="N997" s="311"/>
    </row>
    <row r="998" spans="1:14" ht="19.5" customHeight="1">
      <c r="A998" s="325" t="s">
        <v>1597</v>
      </c>
      <c r="B998" s="254"/>
      <c r="C998" s="299"/>
      <c r="D998" s="299"/>
      <c r="E998" s="300"/>
      <c r="F998" s="300"/>
      <c r="G998" s="302"/>
      <c r="H998" s="310"/>
      <c r="I998" s="311"/>
      <c r="J998" s="311"/>
      <c r="K998" s="311"/>
      <c r="L998" s="310"/>
      <c r="M998" s="310"/>
      <c r="N998" s="311"/>
    </row>
    <row r="999" spans="1:14" s="294" customFormat="1">
      <c r="A999" s="297" t="s">
        <v>1515</v>
      </c>
      <c r="B999" s="254"/>
      <c r="C999" s="299" t="s">
        <v>1492</v>
      </c>
      <c r="D999" s="299">
        <v>1</v>
      </c>
      <c r="E999" s="300">
        <v>4</v>
      </c>
      <c r="F999" s="300">
        <f>E999*D999</f>
        <v>4</v>
      </c>
      <c r="G999" s="299">
        <f>(8.75)+17*0.014*2</f>
        <v>9.2260000000000009</v>
      </c>
      <c r="H999" s="310" t="str">
        <f t="shared" ref="H999:H1007" si="1027">IF(C999="T6",G999*F999,"")</f>
        <v/>
      </c>
      <c r="I999" s="311" t="str">
        <f t="shared" ref="I999:I1007" si="1028">IF(C999="T8",F999*G999,"")</f>
        <v/>
      </c>
      <c r="J999" s="311" t="str">
        <f t="shared" ref="J999:J1007" si="1029">IF(C999="T10",F999*G999,"")</f>
        <v/>
      </c>
      <c r="K999" s="311" t="str">
        <f t="shared" ref="K999:K1007" si="1030">IF(C999="T12",F999*G999,"")</f>
        <v/>
      </c>
      <c r="L999" s="310">
        <f t="shared" ref="L999:L1007" si="1031">IF(C999="T14",F999*G999,"")</f>
        <v>36.9</v>
      </c>
      <c r="M999" s="310" t="str">
        <f t="shared" ref="M999:M1007" si="1032">IF(C999="T16",G999*F999,"")</f>
        <v/>
      </c>
      <c r="N999" s="311" t="str">
        <f t="shared" ref="N999:N1007" si="1033">IF(C999="T20",G999*F999,"")</f>
        <v/>
      </c>
    </row>
    <row r="1000" spans="1:14" s="294" customFormat="1">
      <c r="A1000" s="297" t="s">
        <v>1515</v>
      </c>
      <c r="B1000" s="298"/>
      <c r="C1000" s="299" t="s">
        <v>1521</v>
      </c>
      <c r="D1000" s="299">
        <v>1</v>
      </c>
      <c r="E1000" s="300">
        <v>8</v>
      </c>
      <c r="F1000" s="300">
        <f>E1000*D1000</f>
        <v>8</v>
      </c>
      <c r="G1000" s="299">
        <f>(8.75)+17*0.02*2</f>
        <v>9.43</v>
      </c>
      <c r="H1000" s="310" t="str">
        <f t="shared" si="1027"/>
        <v/>
      </c>
      <c r="I1000" s="311" t="str">
        <f t="shared" si="1028"/>
        <v/>
      </c>
      <c r="J1000" s="311" t="str">
        <f t="shared" si="1029"/>
        <v/>
      </c>
      <c r="K1000" s="311" t="str">
        <f t="shared" si="1030"/>
        <v/>
      </c>
      <c r="L1000" s="310" t="str">
        <f t="shared" si="1031"/>
        <v/>
      </c>
      <c r="M1000" s="310" t="str">
        <f t="shared" si="1032"/>
        <v/>
      </c>
      <c r="N1000" s="311">
        <f t="shared" si="1033"/>
        <v>75.44</v>
      </c>
    </row>
    <row r="1001" spans="1:14" s="294" customFormat="1">
      <c r="A1001" s="297"/>
      <c r="B1001" s="298"/>
      <c r="C1001" s="299" t="s">
        <v>1516</v>
      </c>
      <c r="D1001" s="299">
        <v>1</v>
      </c>
      <c r="E1001" s="300">
        <v>4</v>
      </c>
      <c r="F1001" s="300">
        <f>E1001*D1001</f>
        <v>4</v>
      </c>
      <c r="G1001" s="299">
        <v>8.75</v>
      </c>
      <c r="H1001" s="310" t="str">
        <f t="shared" si="1027"/>
        <v/>
      </c>
      <c r="I1001" s="311" t="str">
        <f t="shared" si="1028"/>
        <v/>
      </c>
      <c r="J1001" s="311" t="str">
        <f t="shared" si="1029"/>
        <v/>
      </c>
      <c r="K1001" s="311">
        <f t="shared" si="1030"/>
        <v>35</v>
      </c>
      <c r="L1001" s="310" t="str">
        <f t="shared" si="1031"/>
        <v/>
      </c>
      <c r="M1001" s="310" t="str">
        <f t="shared" si="1032"/>
        <v/>
      </c>
      <c r="N1001" s="311" t="str">
        <f t="shared" si="1033"/>
        <v/>
      </c>
    </row>
    <row r="1002" spans="1:14" s="294" customFormat="1">
      <c r="A1002" s="297" t="s">
        <v>1494</v>
      </c>
      <c r="B1002" s="301"/>
      <c r="C1002" s="299" t="s">
        <v>1496</v>
      </c>
      <c r="D1002" s="299">
        <v>1</v>
      </c>
      <c r="E1002" s="300">
        <f>20+20+20</f>
        <v>60</v>
      </c>
      <c r="F1002" s="300">
        <f t="shared" ref="F1002:F1003" si="1034">E1002*D1002</f>
        <v>60</v>
      </c>
      <c r="G1002" s="302">
        <f>(0.25+0.95)*2+17*0.008*2</f>
        <v>2.67</v>
      </c>
      <c r="H1002" s="310" t="str">
        <f t="shared" si="1027"/>
        <v/>
      </c>
      <c r="I1002" s="311">
        <f t="shared" si="1028"/>
        <v>160.19999999999999</v>
      </c>
      <c r="J1002" s="311" t="str">
        <f t="shared" si="1029"/>
        <v/>
      </c>
      <c r="K1002" s="311" t="str">
        <f t="shared" si="1030"/>
        <v/>
      </c>
      <c r="L1002" s="310" t="str">
        <f t="shared" si="1031"/>
        <v/>
      </c>
      <c r="M1002" s="310" t="str">
        <f t="shared" si="1032"/>
        <v/>
      </c>
      <c r="N1002" s="311" t="str">
        <f t="shared" si="1033"/>
        <v/>
      </c>
    </row>
    <row r="1003" spans="1:14" s="294" customFormat="1">
      <c r="A1003" s="297" t="s">
        <v>1517</v>
      </c>
      <c r="B1003" s="301"/>
      <c r="C1003" s="299" t="s">
        <v>1496</v>
      </c>
      <c r="D1003" s="299">
        <v>1</v>
      </c>
      <c r="E1003" s="300">
        <f>20+20+20</f>
        <v>60</v>
      </c>
      <c r="F1003" s="300">
        <f t="shared" si="1034"/>
        <v>60</v>
      </c>
      <c r="G1003" s="302">
        <f>(0.95*2)+17*0.008*2</f>
        <v>2.17</v>
      </c>
      <c r="H1003" s="310" t="str">
        <f t="shared" si="1027"/>
        <v/>
      </c>
      <c r="I1003" s="311">
        <f t="shared" si="1028"/>
        <v>130.19999999999999</v>
      </c>
      <c r="J1003" s="311" t="str">
        <f t="shared" si="1029"/>
        <v/>
      </c>
      <c r="K1003" s="311" t="str">
        <f t="shared" si="1030"/>
        <v/>
      </c>
      <c r="L1003" s="310" t="str">
        <f t="shared" si="1031"/>
        <v/>
      </c>
      <c r="M1003" s="310" t="str">
        <f t="shared" si="1032"/>
        <v/>
      </c>
      <c r="N1003" s="311" t="str">
        <f t="shared" si="1033"/>
        <v/>
      </c>
    </row>
    <row r="1004" spans="1:14">
      <c r="A1004" s="297" t="s">
        <v>1520</v>
      </c>
      <c r="B1004" s="254"/>
      <c r="C1004" s="299" t="s">
        <v>1498</v>
      </c>
      <c r="D1004" s="299">
        <v>1</v>
      </c>
      <c r="E1004" s="300">
        <v>12</v>
      </c>
      <c r="F1004" s="300">
        <f>E1004*D1004</f>
        <v>12</v>
      </c>
      <c r="G1004" s="302">
        <v>4.5</v>
      </c>
      <c r="H1004" s="310" t="str">
        <f t="shared" si="1027"/>
        <v/>
      </c>
      <c r="I1004" s="311" t="str">
        <f t="shared" si="1028"/>
        <v/>
      </c>
      <c r="J1004" s="311" t="str">
        <f t="shared" si="1029"/>
        <v/>
      </c>
      <c r="K1004" s="311" t="str">
        <f t="shared" si="1030"/>
        <v/>
      </c>
      <c r="L1004" s="310" t="str">
        <f t="shared" si="1031"/>
        <v/>
      </c>
      <c r="M1004" s="310">
        <f t="shared" si="1032"/>
        <v>54</v>
      </c>
      <c r="N1004" s="311" t="str">
        <f t="shared" si="1033"/>
        <v/>
      </c>
    </row>
    <row r="1005" spans="1:14">
      <c r="A1005" s="297" t="s">
        <v>1520</v>
      </c>
      <c r="B1005" s="254"/>
      <c r="C1005" s="299" t="s">
        <v>1498</v>
      </c>
      <c r="D1005" s="299">
        <v>1</v>
      </c>
      <c r="E1005" s="300">
        <v>4</v>
      </c>
      <c r="F1005" s="300">
        <f>E1005*D1005</f>
        <v>4</v>
      </c>
      <c r="G1005" s="302">
        <v>6.8</v>
      </c>
      <c r="H1005" s="310" t="str">
        <f t="shared" si="1027"/>
        <v/>
      </c>
      <c r="I1005" s="311" t="str">
        <f t="shared" si="1028"/>
        <v/>
      </c>
      <c r="J1005" s="311" t="str">
        <f t="shared" si="1029"/>
        <v/>
      </c>
      <c r="K1005" s="311" t="str">
        <f t="shared" si="1030"/>
        <v/>
      </c>
      <c r="L1005" s="310" t="str">
        <f t="shared" si="1031"/>
        <v/>
      </c>
      <c r="M1005" s="310">
        <f t="shared" si="1032"/>
        <v>27.2</v>
      </c>
      <c r="N1005" s="311" t="str">
        <f t="shared" si="1033"/>
        <v/>
      </c>
    </row>
    <row r="1006" spans="1:14">
      <c r="A1006" s="297" t="s">
        <v>1520</v>
      </c>
      <c r="B1006" s="254"/>
      <c r="C1006" s="299" t="s">
        <v>1498</v>
      </c>
      <c r="D1006" s="299">
        <v>1</v>
      </c>
      <c r="E1006" s="300">
        <v>4</v>
      </c>
      <c r="F1006" s="300">
        <f>E1006*D1006</f>
        <v>4</v>
      </c>
      <c r="G1006" s="302">
        <v>2</v>
      </c>
      <c r="H1006" s="310" t="str">
        <f t="shared" si="1027"/>
        <v/>
      </c>
      <c r="I1006" s="311" t="str">
        <f t="shared" si="1028"/>
        <v/>
      </c>
      <c r="J1006" s="311" t="str">
        <f t="shared" si="1029"/>
        <v/>
      </c>
      <c r="K1006" s="311" t="str">
        <f t="shared" si="1030"/>
        <v/>
      </c>
      <c r="L1006" s="310" t="str">
        <f t="shared" si="1031"/>
        <v/>
      </c>
      <c r="M1006" s="310">
        <f t="shared" si="1032"/>
        <v>8</v>
      </c>
      <c r="N1006" s="311" t="str">
        <f t="shared" si="1033"/>
        <v/>
      </c>
    </row>
    <row r="1007" spans="1:14">
      <c r="A1007" s="297" t="s">
        <v>1545</v>
      </c>
      <c r="B1007" s="254"/>
      <c r="C1007" s="299" t="s">
        <v>1498</v>
      </c>
      <c r="D1007" s="299">
        <v>1</v>
      </c>
      <c r="E1007" s="300">
        <v>4</v>
      </c>
      <c r="F1007" s="300">
        <f>E1007*D1007</f>
        <v>4</v>
      </c>
      <c r="G1007" s="302">
        <v>2.5</v>
      </c>
      <c r="H1007" s="310" t="str">
        <f t="shared" si="1027"/>
        <v/>
      </c>
      <c r="I1007" s="311" t="str">
        <f t="shared" si="1028"/>
        <v/>
      </c>
      <c r="J1007" s="311" t="str">
        <f t="shared" si="1029"/>
        <v/>
      </c>
      <c r="K1007" s="311" t="str">
        <f t="shared" si="1030"/>
        <v/>
      </c>
      <c r="L1007" s="310" t="str">
        <f t="shared" si="1031"/>
        <v/>
      </c>
      <c r="M1007" s="310">
        <f t="shared" si="1032"/>
        <v>10</v>
      </c>
      <c r="N1007" s="311" t="str">
        <f t="shared" si="1033"/>
        <v/>
      </c>
    </row>
    <row r="1008" spans="1:14">
      <c r="A1008" s="253"/>
      <c r="B1008" s="254"/>
      <c r="C1008" s="299"/>
      <c r="D1008" s="299"/>
      <c r="E1008" s="300"/>
      <c r="F1008" s="300"/>
      <c r="G1008" s="302"/>
      <c r="H1008" s="310"/>
      <c r="I1008" s="311"/>
      <c r="J1008" s="311"/>
      <c r="K1008" s="311"/>
      <c r="L1008" s="310"/>
      <c r="M1008" s="310"/>
      <c r="N1008" s="311"/>
    </row>
    <row r="1009" spans="1:14" ht="16.5">
      <c r="A1009" s="303" t="s">
        <v>1590</v>
      </c>
      <c r="B1009" s="254"/>
      <c r="C1009" s="299"/>
      <c r="D1009" s="299"/>
      <c r="E1009" s="300"/>
      <c r="F1009" s="300"/>
      <c r="G1009" s="302"/>
      <c r="H1009" s="310"/>
      <c r="I1009" s="311"/>
      <c r="J1009" s="311"/>
      <c r="K1009" s="311"/>
      <c r="L1009" s="310"/>
      <c r="M1009" s="310"/>
      <c r="N1009" s="311"/>
    </row>
    <row r="1010" spans="1:14" s="294" customFormat="1">
      <c r="A1010" s="297" t="s">
        <v>1515</v>
      </c>
      <c r="B1010" s="298"/>
      <c r="C1010" s="299" t="s">
        <v>1519</v>
      </c>
      <c r="D1010" s="299">
        <v>1</v>
      </c>
      <c r="E1010" s="300">
        <v>3</v>
      </c>
      <c r="F1010" s="300">
        <f>E1010*D1010</f>
        <v>3</v>
      </c>
      <c r="G1010" s="299">
        <f>(3.35)+17*0.01*2</f>
        <v>3.69</v>
      </c>
      <c r="H1010" s="310" t="str">
        <f t="shared" ref="H1010:H1013" si="1035">IF(C1010="T6",G1010*F1010,"")</f>
        <v/>
      </c>
      <c r="I1010" s="311" t="str">
        <f t="shared" ref="I1010:I1013" si="1036">IF(C1010="T8",F1010*G1010,"")</f>
        <v/>
      </c>
      <c r="J1010" s="311">
        <f t="shared" ref="J1010:J1013" si="1037">IF(C1010="T10",F1010*G1010,"")</f>
        <v>11.07</v>
      </c>
      <c r="K1010" s="311" t="str">
        <f t="shared" ref="K1010:K1013" si="1038">IF(C1010="T12",F1010*G1010,"")</f>
        <v/>
      </c>
      <c r="L1010" s="310" t="str">
        <f t="shared" ref="L1010:L1013" si="1039">IF(C1010="T14",F1010*G1010,"")</f>
        <v/>
      </c>
      <c r="M1010" s="310" t="str">
        <f t="shared" ref="M1010:M1013" si="1040">IF(C1010="T16",G1010*F1010,"")</f>
        <v/>
      </c>
      <c r="N1010" s="311" t="str">
        <f t="shared" ref="N1010:N1013" si="1041">IF(C1010="T20",G1010*F1010,"")</f>
        <v/>
      </c>
    </row>
    <row r="1011" spans="1:14" s="294" customFormat="1">
      <c r="A1011" s="297" t="s">
        <v>1515</v>
      </c>
      <c r="B1011" s="298"/>
      <c r="C1011" s="299" t="s">
        <v>1492</v>
      </c>
      <c r="D1011" s="299">
        <v>1</v>
      </c>
      <c r="E1011" s="300">
        <v>3</v>
      </c>
      <c r="F1011" s="300">
        <f>E1011*D1011</f>
        <v>3</v>
      </c>
      <c r="G1011" s="299">
        <f>(3.35)+17*0.014*2</f>
        <v>3.8260000000000001</v>
      </c>
      <c r="H1011" s="310" t="str">
        <f t="shared" si="1035"/>
        <v/>
      </c>
      <c r="I1011" s="311" t="str">
        <f t="shared" si="1036"/>
        <v/>
      </c>
      <c r="J1011" s="311" t="str">
        <f t="shared" si="1037"/>
        <v/>
      </c>
      <c r="K1011" s="311" t="str">
        <f t="shared" si="1038"/>
        <v/>
      </c>
      <c r="L1011" s="310">
        <f t="shared" si="1039"/>
        <v>11.48</v>
      </c>
      <c r="M1011" s="310" t="str">
        <f t="shared" si="1040"/>
        <v/>
      </c>
      <c r="N1011" s="311" t="str">
        <f t="shared" si="1041"/>
        <v/>
      </c>
    </row>
    <row r="1012" spans="1:14" s="294" customFormat="1">
      <c r="A1012" s="297" t="s">
        <v>1494</v>
      </c>
      <c r="B1012" s="301"/>
      <c r="C1012" s="299" t="s">
        <v>1496</v>
      </c>
      <c r="D1012" s="299">
        <v>1</v>
      </c>
      <c r="E1012" s="300">
        <f>3.35/0.15</f>
        <v>22</v>
      </c>
      <c r="F1012" s="300">
        <f t="shared" ref="F1012:F1013" si="1042">E1012*D1012</f>
        <v>22</v>
      </c>
      <c r="G1012" s="302">
        <f>(0.2+0.15)*2+17*0.008*2</f>
        <v>0.97</v>
      </c>
      <c r="H1012" s="310" t="str">
        <f t="shared" si="1035"/>
        <v/>
      </c>
      <c r="I1012" s="311">
        <f t="shared" si="1036"/>
        <v>21.34</v>
      </c>
      <c r="J1012" s="311" t="str">
        <f t="shared" si="1037"/>
        <v/>
      </c>
      <c r="K1012" s="311" t="str">
        <f t="shared" si="1038"/>
        <v/>
      </c>
      <c r="L1012" s="310" t="str">
        <f t="shared" si="1039"/>
        <v/>
      </c>
      <c r="M1012" s="310" t="str">
        <f t="shared" si="1040"/>
        <v/>
      </c>
      <c r="N1012" s="311" t="str">
        <f t="shared" si="1041"/>
        <v/>
      </c>
    </row>
    <row r="1013" spans="1:14" s="294" customFormat="1">
      <c r="A1013" s="297" t="s">
        <v>1517</v>
      </c>
      <c r="B1013" s="301"/>
      <c r="C1013" s="299" t="s">
        <v>1496</v>
      </c>
      <c r="D1013" s="299">
        <v>1</v>
      </c>
      <c r="E1013" s="300">
        <v>22</v>
      </c>
      <c r="F1013" s="300">
        <f t="shared" si="1042"/>
        <v>22</v>
      </c>
      <c r="G1013" s="302">
        <f>(0.2*2)+17*0.008*2</f>
        <v>0.67</v>
      </c>
      <c r="H1013" s="310" t="str">
        <f t="shared" si="1035"/>
        <v/>
      </c>
      <c r="I1013" s="311">
        <f t="shared" si="1036"/>
        <v>14.74</v>
      </c>
      <c r="J1013" s="311" t="str">
        <f t="shared" si="1037"/>
        <v/>
      </c>
      <c r="K1013" s="311" t="str">
        <f t="shared" si="1038"/>
        <v/>
      </c>
      <c r="L1013" s="310" t="str">
        <f t="shared" si="1039"/>
        <v/>
      </c>
      <c r="M1013" s="310" t="str">
        <f t="shared" si="1040"/>
        <v/>
      </c>
      <c r="N1013" s="311" t="str">
        <f t="shared" si="1041"/>
        <v/>
      </c>
    </row>
    <row r="1014" spans="1:14" ht="16.5">
      <c r="A1014" s="305"/>
      <c r="B1014" s="254"/>
      <c r="C1014" s="299"/>
      <c r="D1014" s="299"/>
      <c r="E1014" s="300"/>
      <c r="F1014" s="300"/>
      <c r="G1014" s="302"/>
      <c r="H1014" s="310"/>
      <c r="I1014" s="311"/>
      <c r="J1014" s="311"/>
      <c r="K1014" s="311"/>
      <c r="L1014" s="310"/>
      <c r="M1014" s="310"/>
      <c r="N1014" s="311"/>
    </row>
    <row r="1015" spans="1:14" ht="17.25" customHeight="1">
      <c r="A1015" s="303" t="s">
        <v>1590</v>
      </c>
      <c r="B1015" s="254"/>
      <c r="C1015" s="299"/>
      <c r="D1015" s="299"/>
      <c r="E1015" s="300"/>
      <c r="F1015" s="300"/>
      <c r="G1015" s="302"/>
      <c r="H1015" s="310"/>
      <c r="I1015" s="311"/>
      <c r="J1015" s="311"/>
      <c r="K1015" s="311"/>
      <c r="L1015" s="310"/>
      <c r="M1015" s="310"/>
      <c r="N1015" s="311"/>
    </row>
    <row r="1016" spans="1:14" s="294" customFormat="1">
      <c r="A1016" s="297" t="s">
        <v>1515</v>
      </c>
      <c r="B1016" s="298"/>
      <c r="C1016" s="299" t="s">
        <v>1519</v>
      </c>
      <c r="D1016" s="299">
        <v>1</v>
      </c>
      <c r="E1016" s="300">
        <v>3</v>
      </c>
      <c r="F1016" s="300">
        <f>E1016*D1016</f>
        <v>3</v>
      </c>
      <c r="G1016" s="299">
        <f>(2.5)+17*0.01*2</f>
        <v>2.84</v>
      </c>
      <c r="H1016" s="310" t="str">
        <f t="shared" ref="H1016:H1019" si="1043">IF(C1016="T6",G1016*F1016,"")</f>
        <v/>
      </c>
      <c r="I1016" s="311" t="str">
        <f t="shared" ref="I1016:I1019" si="1044">IF(C1016="T8",F1016*G1016,"")</f>
        <v/>
      </c>
      <c r="J1016" s="311">
        <f t="shared" ref="J1016:J1019" si="1045">IF(C1016="T10",F1016*G1016,"")</f>
        <v>8.52</v>
      </c>
      <c r="K1016" s="311" t="str">
        <f t="shared" ref="K1016:K1019" si="1046">IF(C1016="T12",F1016*G1016,"")</f>
        <v/>
      </c>
      <c r="L1016" s="310" t="str">
        <f t="shared" ref="L1016:L1019" si="1047">IF(C1016="T14",F1016*G1016,"")</f>
        <v/>
      </c>
      <c r="M1016" s="310" t="str">
        <f t="shared" ref="M1016:M1019" si="1048">IF(C1016="T16",G1016*F1016,"")</f>
        <v/>
      </c>
      <c r="N1016" s="311" t="str">
        <f t="shared" ref="N1016:N1019" si="1049">IF(C1016="T20",G1016*F1016,"")</f>
        <v/>
      </c>
    </row>
    <row r="1017" spans="1:14" s="294" customFormat="1">
      <c r="A1017" s="297" t="s">
        <v>1515</v>
      </c>
      <c r="B1017" s="298"/>
      <c r="C1017" s="299" t="s">
        <v>1492</v>
      </c>
      <c r="D1017" s="299">
        <v>1</v>
      </c>
      <c r="E1017" s="300">
        <v>3</v>
      </c>
      <c r="F1017" s="300">
        <f>E1017*D1017</f>
        <v>3</v>
      </c>
      <c r="G1017" s="299">
        <f>(2.5)+17*0.014*2</f>
        <v>2.976</v>
      </c>
      <c r="H1017" s="310" t="str">
        <f t="shared" si="1043"/>
        <v/>
      </c>
      <c r="I1017" s="311" t="str">
        <f t="shared" si="1044"/>
        <v/>
      </c>
      <c r="J1017" s="311" t="str">
        <f t="shared" si="1045"/>
        <v/>
      </c>
      <c r="K1017" s="311" t="str">
        <f t="shared" si="1046"/>
        <v/>
      </c>
      <c r="L1017" s="310">
        <f t="shared" si="1047"/>
        <v>8.93</v>
      </c>
      <c r="M1017" s="310" t="str">
        <f t="shared" si="1048"/>
        <v/>
      </c>
      <c r="N1017" s="311" t="str">
        <f t="shared" si="1049"/>
        <v/>
      </c>
    </row>
    <row r="1018" spans="1:14" s="294" customFormat="1">
      <c r="A1018" s="297" t="s">
        <v>1494</v>
      </c>
      <c r="B1018" s="301"/>
      <c r="C1018" s="299" t="s">
        <v>1496</v>
      </c>
      <c r="D1018" s="299">
        <v>1</v>
      </c>
      <c r="E1018" s="300">
        <f>2.5/0.15</f>
        <v>17</v>
      </c>
      <c r="F1018" s="300">
        <f t="shared" ref="F1018:F1019" si="1050">E1018*D1018</f>
        <v>17</v>
      </c>
      <c r="G1018" s="302">
        <f>(0.2+0.15)*2+17*0.008*2</f>
        <v>0.97</v>
      </c>
      <c r="H1018" s="310" t="str">
        <f t="shared" si="1043"/>
        <v/>
      </c>
      <c r="I1018" s="311">
        <f t="shared" si="1044"/>
        <v>16.489999999999998</v>
      </c>
      <c r="J1018" s="311" t="str">
        <f t="shared" si="1045"/>
        <v/>
      </c>
      <c r="K1018" s="311" t="str">
        <f t="shared" si="1046"/>
        <v/>
      </c>
      <c r="L1018" s="310" t="str">
        <f t="shared" si="1047"/>
        <v/>
      </c>
      <c r="M1018" s="310" t="str">
        <f t="shared" si="1048"/>
        <v/>
      </c>
      <c r="N1018" s="311" t="str">
        <f t="shared" si="1049"/>
        <v/>
      </c>
    </row>
    <row r="1019" spans="1:14" s="294" customFormat="1">
      <c r="A1019" s="297" t="s">
        <v>1517</v>
      </c>
      <c r="B1019" s="301"/>
      <c r="C1019" s="299" t="s">
        <v>1496</v>
      </c>
      <c r="D1019" s="299">
        <v>1</v>
      </c>
      <c r="E1019" s="300">
        <v>17</v>
      </c>
      <c r="F1019" s="300">
        <f t="shared" si="1050"/>
        <v>17</v>
      </c>
      <c r="G1019" s="302">
        <f>(0.2*2)+17*0.008*2</f>
        <v>0.67</v>
      </c>
      <c r="H1019" s="310" t="str">
        <f t="shared" si="1043"/>
        <v/>
      </c>
      <c r="I1019" s="311">
        <f t="shared" si="1044"/>
        <v>11.39</v>
      </c>
      <c r="J1019" s="311" t="str">
        <f t="shared" si="1045"/>
        <v/>
      </c>
      <c r="K1019" s="311" t="str">
        <f t="shared" si="1046"/>
        <v/>
      </c>
      <c r="L1019" s="310" t="str">
        <f t="shared" si="1047"/>
        <v/>
      </c>
      <c r="M1019" s="310" t="str">
        <f t="shared" si="1048"/>
        <v/>
      </c>
      <c r="N1019" s="311" t="str">
        <f t="shared" si="1049"/>
        <v/>
      </c>
    </row>
    <row r="1020" spans="1:14" ht="17.25" customHeight="1">
      <c r="A1020" s="305"/>
      <c r="B1020" s="254"/>
      <c r="C1020" s="299"/>
      <c r="D1020" s="299"/>
      <c r="E1020" s="300"/>
      <c r="F1020" s="300"/>
      <c r="G1020" s="302"/>
      <c r="H1020" s="310"/>
      <c r="I1020" s="311"/>
      <c r="J1020" s="311"/>
      <c r="K1020" s="311"/>
      <c r="L1020" s="310"/>
      <c r="M1020" s="310"/>
      <c r="N1020" s="311"/>
    </row>
    <row r="1021" spans="1:14" ht="16.5">
      <c r="A1021" s="303" t="s">
        <v>1524</v>
      </c>
      <c r="B1021" s="254"/>
      <c r="C1021" s="299"/>
      <c r="D1021" s="299"/>
      <c r="E1021" s="300"/>
      <c r="F1021" s="300"/>
      <c r="G1021" s="302"/>
      <c r="H1021" s="310"/>
      <c r="I1021" s="311"/>
      <c r="J1021" s="311"/>
      <c r="K1021" s="311"/>
      <c r="L1021" s="310"/>
      <c r="M1021" s="310"/>
      <c r="N1021" s="311"/>
    </row>
    <row r="1022" spans="1:14" s="294" customFormat="1">
      <c r="A1022" s="297" t="s">
        <v>1515</v>
      </c>
      <c r="B1022" s="298"/>
      <c r="C1022" s="299" t="s">
        <v>1519</v>
      </c>
      <c r="D1022" s="299">
        <v>1</v>
      </c>
      <c r="E1022" s="300">
        <v>3</v>
      </c>
      <c r="F1022" s="300">
        <f>E1022*D1022</f>
        <v>3</v>
      </c>
      <c r="G1022" s="299">
        <f>(3.11)+17*0.01*2</f>
        <v>3.45</v>
      </c>
      <c r="H1022" s="310" t="str">
        <f t="shared" ref="H1022:H1025" si="1051">IF(C1022="T6",G1022*F1022,"")</f>
        <v/>
      </c>
      <c r="I1022" s="311" t="str">
        <f t="shared" ref="I1022:I1025" si="1052">IF(C1022="T8",F1022*G1022,"")</f>
        <v/>
      </c>
      <c r="J1022" s="311">
        <f t="shared" ref="J1022:J1025" si="1053">IF(C1022="T10",F1022*G1022,"")</f>
        <v>10.35</v>
      </c>
      <c r="K1022" s="311" t="str">
        <f t="shared" ref="K1022:K1025" si="1054">IF(C1022="T12",F1022*G1022,"")</f>
        <v/>
      </c>
      <c r="L1022" s="310" t="str">
        <f t="shared" ref="L1022:L1025" si="1055">IF(C1022="T14",F1022*G1022,"")</f>
        <v/>
      </c>
      <c r="M1022" s="310" t="str">
        <f t="shared" ref="M1022:M1025" si="1056">IF(C1022="T16",G1022*F1022,"")</f>
        <v/>
      </c>
      <c r="N1022" s="311" t="str">
        <f t="shared" ref="N1022:N1025" si="1057">IF(C1022="T20",G1022*F1022,"")</f>
        <v/>
      </c>
    </row>
    <row r="1023" spans="1:14" s="294" customFormat="1">
      <c r="A1023" s="297" t="s">
        <v>1515</v>
      </c>
      <c r="B1023" s="298"/>
      <c r="C1023" s="299" t="s">
        <v>1492</v>
      </c>
      <c r="D1023" s="299">
        <v>1</v>
      </c>
      <c r="E1023" s="300">
        <v>3</v>
      </c>
      <c r="F1023" s="300">
        <f>E1023*D1023</f>
        <v>3</v>
      </c>
      <c r="G1023" s="299">
        <f>(3.11)+17*0.014*2</f>
        <v>3.5859999999999999</v>
      </c>
      <c r="H1023" s="310" t="str">
        <f t="shared" si="1051"/>
        <v/>
      </c>
      <c r="I1023" s="311" t="str">
        <f t="shared" si="1052"/>
        <v/>
      </c>
      <c r="J1023" s="311" t="str">
        <f t="shared" si="1053"/>
        <v/>
      </c>
      <c r="K1023" s="311" t="str">
        <f t="shared" si="1054"/>
        <v/>
      </c>
      <c r="L1023" s="310">
        <f t="shared" si="1055"/>
        <v>10.76</v>
      </c>
      <c r="M1023" s="310" t="str">
        <f t="shared" si="1056"/>
        <v/>
      </c>
      <c r="N1023" s="311" t="str">
        <f t="shared" si="1057"/>
        <v/>
      </c>
    </row>
    <row r="1024" spans="1:14" s="294" customFormat="1">
      <c r="A1024" s="297" t="s">
        <v>1494</v>
      </c>
      <c r="B1024" s="301"/>
      <c r="C1024" s="299" t="s">
        <v>1496</v>
      </c>
      <c r="D1024" s="299">
        <v>1</v>
      </c>
      <c r="E1024" s="300">
        <f>3.11/0.15</f>
        <v>21</v>
      </c>
      <c r="F1024" s="300">
        <f t="shared" ref="F1024:F1025" si="1058">E1024*D1024</f>
        <v>21</v>
      </c>
      <c r="G1024" s="302">
        <f>(0.2+0.15)*2+17*0.008*2</f>
        <v>0.97</v>
      </c>
      <c r="H1024" s="310" t="str">
        <f t="shared" si="1051"/>
        <v/>
      </c>
      <c r="I1024" s="311">
        <f t="shared" si="1052"/>
        <v>20.37</v>
      </c>
      <c r="J1024" s="311" t="str">
        <f t="shared" si="1053"/>
        <v/>
      </c>
      <c r="K1024" s="311" t="str">
        <f t="shared" si="1054"/>
        <v/>
      </c>
      <c r="L1024" s="310" t="str">
        <f t="shared" si="1055"/>
        <v/>
      </c>
      <c r="M1024" s="310" t="str">
        <f t="shared" si="1056"/>
        <v/>
      </c>
      <c r="N1024" s="311" t="str">
        <f t="shared" si="1057"/>
        <v/>
      </c>
    </row>
    <row r="1025" spans="1:14" s="294" customFormat="1">
      <c r="A1025" s="297" t="s">
        <v>1517</v>
      </c>
      <c r="B1025" s="301"/>
      <c r="C1025" s="299" t="s">
        <v>1496</v>
      </c>
      <c r="D1025" s="299">
        <v>1</v>
      </c>
      <c r="E1025" s="300">
        <v>21</v>
      </c>
      <c r="F1025" s="300">
        <f t="shared" si="1058"/>
        <v>21</v>
      </c>
      <c r="G1025" s="302">
        <f>(0.2*2)+17*0.008*2</f>
        <v>0.67</v>
      </c>
      <c r="H1025" s="310" t="str">
        <f t="shared" si="1051"/>
        <v/>
      </c>
      <c r="I1025" s="311">
        <f t="shared" si="1052"/>
        <v>14.07</v>
      </c>
      <c r="J1025" s="311" t="str">
        <f t="shared" si="1053"/>
        <v/>
      </c>
      <c r="K1025" s="311" t="str">
        <f t="shared" si="1054"/>
        <v/>
      </c>
      <c r="L1025" s="310" t="str">
        <f t="shared" si="1055"/>
        <v/>
      </c>
      <c r="M1025" s="310" t="str">
        <f t="shared" si="1056"/>
        <v/>
      </c>
      <c r="N1025" s="311" t="str">
        <f t="shared" si="1057"/>
        <v/>
      </c>
    </row>
    <row r="1026" spans="1:14">
      <c r="A1026" s="253"/>
      <c r="B1026" s="254"/>
      <c r="C1026" s="299"/>
      <c r="D1026" s="299"/>
      <c r="E1026" s="300"/>
      <c r="F1026" s="300"/>
      <c r="G1026" s="302"/>
      <c r="H1026" s="310"/>
      <c r="I1026" s="311"/>
      <c r="J1026" s="311"/>
      <c r="K1026" s="311"/>
      <c r="L1026" s="310"/>
      <c r="M1026" s="310"/>
      <c r="N1026" s="311"/>
    </row>
    <row r="1027" spans="1:14" ht="16.5">
      <c r="A1027" s="303" t="s">
        <v>1596</v>
      </c>
      <c r="B1027" s="254"/>
      <c r="C1027" s="299"/>
      <c r="D1027" s="299"/>
      <c r="E1027" s="300"/>
      <c r="F1027" s="300"/>
      <c r="G1027" s="302"/>
      <c r="H1027" s="310"/>
      <c r="I1027" s="311"/>
      <c r="J1027" s="311"/>
      <c r="K1027" s="311"/>
      <c r="L1027" s="310"/>
      <c r="M1027" s="310"/>
      <c r="N1027" s="311"/>
    </row>
    <row r="1028" spans="1:14" s="294" customFormat="1">
      <c r="A1028" s="297" t="s">
        <v>1515</v>
      </c>
      <c r="B1028" s="298"/>
      <c r="C1028" s="299" t="s">
        <v>1519</v>
      </c>
      <c r="D1028" s="299">
        <v>1</v>
      </c>
      <c r="E1028" s="300">
        <v>3</v>
      </c>
      <c r="F1028" s="300">
        <f>E1028*D1028</f>
        <v>3</v>
      </c>
      <c r="G1028" s="299">
        <f>(7.75)+17*0.01*2</f>
        <v>8.09</v>
      </c>
      <c r="H1028" s="310" t="str">
        <f t="shared" ref="H1028:H1035" si="1059">IF(C1028="T6",G1028*F1028,"")</f>
        <v/>
      </c>
      <c r="I1028" s="311" t="str">
        <f t="shared" ref="I1028:I1035" si="1060">IF(C1028="T8",F1028*G1028,"")</f>
        <v/>
      </c>
      <c r="J1028" s="311">
        <f t="shared" ref="J1028:J1035" si="1061">IF(C1028="T10",F1028*G1028,"")</f>
        <v>24.27</v>
      </c>
      <c r="K1028" s="311" t="str">
        <f t="shared" ref="K1028:K1035" si="1062">IF(C1028="T12",F1028*G1028,"")</f>
        <v/>
      </c>
      <c r="L1028" s="310" t="str">
        <f t="shared" ref="L1028:L1035" si="1063">IF(C1028="T14",F1028*G1028,"")</f>
        <v/>
      </c>
      <c r="M1028" s="310" t="str">
        <f t="shared" ref="M1028:M1035" si="1064">IF(C1028="T16",G1028*F1028,"")</f>
        <v/>
      </c>
      <c r="N1028" s="311" t="str">
        <f t="shared" ref="N1028:N1035" si="1065">IF(C1028="T20",G1028*F1028,"")</f>
        <v/>
      </c>
    </row>
    <row r="1029" spans="1:14" s="294" customFormat="1">
      <c r="A1029" s="297" t="s">
        <v>1515</v>
      </c>
      <c r="B1029" s="298"/>
      <c r="C1029" s="299" t="s">
        <v>1516</v>
      </c>
      <c r="D1029" s="299">
        <v>1</v>
      </c>
      <c r="E1029" s="300">
        <v>3</v>
      </c>
      <c r="F1029" s="300">
        <f>E1029*D1029</f>
        <v>3</v>
      </c>
      <c r="G1029" s="299">
        <f>(7.75)+17*0.012*2</f>
        <v>8.1579999999999995</v>
      </c>
      <c r="H1029" s="310" t="str">
        <f t="shared" si="1059"/>
        <v/>
      </c>
      <c r="I1029" s="311" t="str">
        <f t="shared" si="1060"/>
        <v/>
      </c>
      <c r="J1029" s="311" t="str">
        <f t="shared" si="1061"/>
        <v/>
      </c>
      <c r="K1029" s="311">
        <f t="shared" si="1062"/>
        <v>24.47</v>
      </c>
      <c r="L1029" s="310" t="str">
        <f t="shared" si="1063"/>
        <v/>
      </c>
      <c r="M1029" s="310" t="str">
        <f t="shared" si="1064"/>
        <v/>
      </c>
      <c r="N1029" s="311" t="str">
        <f t="shared" si="1065"/>
        <v/>
      </c>
    </row>
    <row r="1030" spans="1:14" s="294" customFormat="1">
      <c r="A1030" s="297"/>
      <c r="B1030" s="298"/>
      <c r="C1030" s="299" t="s">
        <v>1519</v>
      </c>
      <c r="D1030" s="299">
        <v>1</v>
      </c>
      <c r="E1030" s="300">
        <v>2</v>
      </c>
      <c r="F1030" s="300">
        <f>E1030*D1030</f>
        <v>2</v>
      </c>
      <c r="G1030" s="299">
        <v>7.75</v>
      </c>
      <c r="H1030" s="310" t="str">
        <f t="shared" si="1059"/>
        <v/>
      </c>
      <c r="I1030" s="311" t="str">
        <f t="shared" si="1060"/>
        <v/>
      </c>
      <c r="J1030" s="311">
        <f t="shared" si="1061"/>
        <v>15.5</v>
      </c>
      <c r="K1030" s="311" t="str">
        <f t="shared" si="1062"/>
        <v/>
      </c>
      <c r="L1030" s="310" t="str">
        <f t="shared" si="1063"/>
        <v/>
      </c>
      <c r="M1030" s="310" t="str">
        <f t="shared" si="1064"/>
        <v/>
      </c>
      <c r="N1030" s="311" t="str">
        <f t="shared" si="1065"/>
        <v/>
      </c>
    </row>
    <row r="1031" spans="1:14" s="294" customFormat="1">
      <c r="A1031" s="297" t="s">
        <v>1494</v>
      </c>
      <c r="B1031" s="301"/>
      <c r="C1031" s="299" t="s">
        <v>1496</v>
      </c>
      <c r="D1031" s="299">
        <v>1</v>
      </c>
      <c r="E1031" s="300">
        <f>15+16+15</f>
        <v>46</v>
      </c>
      <c r="F1031" s="300">
        <f t="shared" ref="F1031:F1032" si="1066">E1031*D1031</f>
        <v>46</v>
      </c>
      <c r="G1031" s="302">
        <f>(0.2+0.45)*2+17*0.008*2</f>
        <v>1.57</v>
      </c>
      <c r="H1031" s="310" t="str">
        <f t="shared" si="1059"/>
        <v/>
      </c>
      <c r="I1031" s="311">
        <f t="shared" si="1060"/>
        <v>72.22</v>
      </c>
      <c r="J1031" s="311" t="str">
        <f t="shared" si="1061"/>
        <v/>
      </c>
      <c r="K1031" s="311" t="str">
        <f t="shared" si="1062"/>
        <v/>
      </c>
      <c r="L1031" s="310" t="str">
        <f t="shared" si="1063"/>
        <v/>
      </c>
      <c r="M1031" s="310" t="str">
        <f t="shared" si="1064"/>
        <v/>
      </c>
      <c r="N1031" s="311" t="str">
        <f t="shared" si="1065"/>
        <v/>
      </c>
    </row>
    <row r="1032" spans="1:14" s="294" customFormat="1">
      <c r="A1032" s="297" t="s">
        <v>1517</v>
      </c>
      <c r="B1032" s="301"/>
      <c r="C1032" s="299" t="s">
        <v>1496</v>
      </c>
      <c r="D1032" s="299">
        <v>1</v>
      </c>
      <c r="E1032" s="300">
        <f>15+16+15</f>
        <v>46</v>
      </c>
      <c r="F1032" s="300">
        <f t="shared" si="1066"/>
        <v>46</v>
      </c>
      <c r="G1032" s="302">
        <f>(0.45*2)+17*0.008*2</f>
        <v>1.17</v>
      </c>
      <c r="H1032" s="310" t="str">
        <f t="shared" si="1059"/>
        <v/>
      </c>
      <c r="I1032" s="311">
        <f t="shared" si="1060"/>
        <v>53.82</v>
      </c>
      <c r="J1032" s="311" t="str">
        <f t="shared" si="1061"/>
        <v/>
      </c>
      <c r="K1032" s="311" t="str">
        <f t="shared" si="1062"/>
        <v/>
      </c>
      <c r="L1032" s="310" t="str">
        <f t="shared" si="1063"/>
        <v/>
      </c>
      <c r="M1032" s="310" t="str">
        <f t="shared" si="1064"/>
        <v/>
      </c>
      <c r="N1032" s="311" t="str">
        <f t="shared" si="1065"/>
        <v/>
      </c>
    </row>
    <row r="1033" spans="1:14">
      <c r="A1033" s="297" t="s">
        <v>1518</v>
      </c>
      <c r="B1033" s="254"/>
      <c r="C1033" s="299" t="s">
        <v>1516</v>
      </c>
      <c r="D1033" s="299">
        <v>1</v>
      </c>
      <c r="E1033" s="300">
        <v>3</v>
      </c>
      <c r="F1033" s="300">
        <f>E1033*D1033</f>
        <v>3</v>
      </c>
      <c r="G1033" s="302">
        <v>1.5</v>
      </c>
      <c r="H1033" s="310" t="str">
        <f t="shared" si="1059"/>
        <v/>
      </c>
      <c r="I1033" s="311" t="str">
        <f t="shared" si="1060"/>
        <v/>
      </c>
      <c r="J1033" s="311" t="str">
        <f t="shared" si="1061"/>
        <v/>
      </c>
      <c r="K1033" s="311">
        <f t="shared" si="1062"/>
        <v>4.5</v>
      </c>
      <c r="L1033" s="310" t="str">
        <f t="shared" si="1063"/>
        <v/>
      </c>
      <c r="M1033" s="310" t="str">
        <f t="shared" si="1064"/>
        <v/>
      </c>
      <c r="N1033" s="311" t="str">
        <f t="shared" si="1065"/>
        <v/>
      </c>
    </row>
    <row r="1034" spans="1:14">
      <c r="A1034" s="297" t="s">
        <v>1520</v>
      </c>
      <c r="B1034" s="254"/>
      <c r="C1034" s="299" t="s">
        <v>1492</v>
      </c>
      <c r="D1034" s="299">
        <v>1</v>
      </c>
      <c r="E1034" s="300">
        <v>3</v>
      </c>
      <c r="F1034" s="300">
        <f>E1034*D1034</f>
        <v>3</v>
      </c>
      <c r="G1034" s="302">
        <v>3.5</v>
      </c>
      <c r="H1034" s="310" t="str">
        <f t="shared" si="1059"/>
        <v/>
      </c>
      <c r="I1034" s="311" t="str">
        <f t="shared" si="1060"/>
        <v/>
      </c>
      <c r="J1034" s="311" t="str">
        <f t="shared" si="1061"/>
        <v/>
      </c>
      <c r="K1034" s="311" t="str">
        <f t="shared" si="1062"/>
        <v/>
      </c>
      <c r="L1034" s="310">
        <f t="shared" si="1063"/>
        <v>10.5</v>
      </c>
      <c r="M1034" s="310" t="str">
        <f t="shared" si="1064"/>
        <v/>
      </c>
      <c r="N1034" s="311" t="str">
        <f t="shared" si="1065"/>
        <v/>
      </c>
    </row>
    <row r="1035" spans="1:14">
      <c r="A1035" s="253"/>
      <c r="B1035" s="254"/>
      <c r="C1035" s="299" t="s">
        <v>1516</v>
      </c>
      <c r="D1035" s="299">
        <v>1</v>
      </c>
      <c r="E1035" s="300">
        <v>3</v>
      </c>
      <c r="F1035" s="300">
        <f>E1035*D1035</f>
        <v>3</v>
      </c>
      <c r="G1035" s="302">
        <v>5.4</v>
      </c>
      <c r="H1035" s="310" t="str">
        <f t="shared" si="1059"/>
        <v/>
      </c>
      <c r="I1035" s="311" t="str">
        <f t="shared" si="1060"/>
        <v/>
      </c>
      <c r="J1035" s="311" t="str">
        <f t="shared" si="1061"/>
        <v/>
      </c>
      <c r="K1035" s="311">
        <f t="shared" si="1062"/>
        <v>16.2</v>
      </c>
      <c r="L1035" s="310" t="str">
        <f t="shared" si="1063"/>
        <v/>
      </c>
      <c r="M1035" s="310" t="str">
        <f t="shared" si="1064"/>
        <v/>
      </c>
      <c r="N1035" s="311" t="str">
        <f t="shared" si="1065"/>
        <v/>
      </c>
    </row>
    <row r="1036" spans="1:14">
      <c r="A1036" s="253"/>
      <c r="B1036" s="254"/>
      <c r="C1036" s="299"/>
      <c r="D1036" s="299"/>
      <c r="E1036" s="300"/>
      <c r="F1036" s="300"/>
      <c r="G1036" s="302"/>
      <c r="H1036" s="310"/>
      <c r="I1036" s="311"/>
      <c r="J1036" s="311"/>
      <c r="K1036" s="311"/>
      <c r="L1036" s="310"/>
      <c r="M1036" s="310"/>
      <c r="N1036" s="311"/>
    </row>
    <row r="1037" spans="1:14" ht="16.5">
      <c r="A1037" s="661" t="s">
        <v>1595</v>
      </c>
      <c r="B1037" s="662"/>
      <c r="C1037" s="299"/>
      <c r="D1037" s="299"/>
      <c r="E1037" s="300"/>
      <c r="F1037" s="300"/>
      <c r="G1037" s="302"/>
      <c r="H1037" s="310"/>
      <c r="I1037" s="311"/>
      <c r="J1037" s="311"/>
      <c r="K1037" s="311"/>
      <c r="L1037" s="310"/>
      <c r="M1037" s="310"/>
      <c r="N1037" s="311"/>
    </row>
    <row r="1038" spans="1:14" s="294" customFormat="1">
      <c r="A1038" s="297" t="s">
        <v>1515</v>
      </c>
      <c r="B1038" s="298"/>
      <c r="C1038" s="299" t="s">
        <v>1492</v>
      </c>
      <c r="D1038" s="299">
        <v>1</v>
      </c>
      <c r="E1038" s="300">
        <v>4</v>
      </c>
      <c r="F1038" s="300">
        <f>E1038*D1038</f>
        <v>4</v>
      </c>
      <c r="G1038" s="299">
        <f>(8.75)+17*0.014*2</f>
        <v>9.2260000000000009</v>
      </c>
      <c r="H1038" s="310" t="str">
        <f t="shared" ref="H1038:H1046" si="1067">IF(C1038="T6",G1038*F1038,"")</f>
        <v/>
      </c>
      <c r="I1038" s="311" t="str">
        <f t="shared" ref="I1038:I1046" si="1068">IF(C1038="T8",F1038*G1038,"")</f>
        <v/>
      </c>
      <c r="J1038" s="311" t="str">
        <f t="shared" ref="J1038:J1046" si="1069">IF(C1038="T10",F1038*G1038,"")</f>
        <v/>
      </c>
      <c r="K1038" s="311" t="str">
        <f t="shared" ref="K1038:K1046" si="1070">IF(C1038="T12",F1038*G1038,"")</f>
        <v/>
      </c>
      <c r="L1038" s="310">
        <f t="shared" ref="L1038:L1046" si="1071">IF(C1038="T14",F1038*G1038,"")</f>
        <v>36.9</v>
      </c>
      <c r="M1038" s="310" t="str">
        <f t="shared" ref="M1038:M1046" si="1072">IF(C1038="T16",G1038*F1038,"")</f>
        <v/>
      </c>
      <c r="N1038" s="311" t="str">
        <f t="shared" ref="N1038:N1046" si="1073">IF(C1038="T20",G1038*F1038,"")</f>
        <v/>
      </c>
    </row>
    <row r="1039" spans="1:14" s="294" customFormat="1">
      <c r="A1039" s="297" t="s">
        <v>1515</v>
      </c>
      <c r="B1039" s="298"/>
      <c r="C1039" s="299" t="s">
        <v>1521</v>
      </c>
      <c r="D1039" s="299">
        <v>1</v>
      </c>
      <c r="E1039" s="300">
        <v>8</v>
      </c>
      <c r="F1039" s="300">
        <f>E1039*D1039</f>
        <v>8</v>
      </c>
      <c r="G1039" s="299">
        <f>(8.75)+17*0.02*2</f>
        <v>9.43</v>
      </c>
      <c r="H1039" s="310" t="str">
        <f t="shared" si="1067"/>
        <v/>
      </c>
      <c r="I1039" s="311" t="str">
        <f t="shared" si="1068"/>
        <v/>
      </c>
      <c r="J1039" s="311" t="str">
        <f t="shared" si="1069"/>
        <v/>
      </c>
      <c r="K1039" s="311" t="str">
        <f t="shared" si="1070"/>
        <v/>
      </c>
      <c r="L1039" s="310" t="str">
        <f t="shared" si="1071"/>
        <v/>
      </c>
      <c r="M1039" s="310" t="str">
        <f t="shared" si="1072"/>
        <v/>
      </c>
      <c r="N1039" s="311">
        <f t="shared" si="1073"/>
        <v>75.44</v>
      </c>
    </row>
    <row r="1040" spans="1:14" s="294" customFormat="1">
      <c r="A1040" s="297"/>
      <c r="B1040" s="298"/>
      <c r="C1040" s="299" t="s">
        <v>1516</v>
      </c>
      <c r="D1040" s="299">
        <v>1</v>
      </c>
      <c r="E1040" s="300">
        <v>4</v>
      </c>
      <c r="F1040" s="300">
        <f>E1040*D1040</f>
        <v>4</v>
      </c>
      <c r="G1040" s="299">
        <v>8.75</v>
      </c>
      <c r="H1040" s="310" t="str">
        <f t="shared" si="1067"/>
        <v/>
      </c>
      <c r="I1040" s="311" t="str">
        <f t="shared" si="1068"/>
        <v/>
      </c>
      <c r="J1040" s="311" t="str">
        <f t="shared" si="1069"/>
        <v/>
      </c>
      <c r="K1040" s="311">
        <f t="shared" si="1070"/>
        <v>35</v>
      </c>
      <c r="L1040" s="310" t="str">
        <f t="shared" si="1071"/>
        <v/>
      </c>
      <c r="M1040" s="310" t="str">
        <f t="shared" si="1072"/>
        <v/>
      </c>
      <c r="N1040" s="311" t="str">
        <f t="shared" si="1073"/>
        <v/>
      </c>
    </row>
    <row r="1041" spans="1:14" s="294" customFormat="1">
      <c r="A1041" s="297" t="s">
        <v>1494</v>
      </c>
      <c r="B1041" s="301"/>
      <c r="C1041" s="299" t="s">
        <v>1496</v>
      </c>
      <c r="D1041" s="299">
        <v>1</v>
      </c>
      <c r="E1041" s="300">
        <f>20+20+20</f>
        <v>60</v>
      </c>
      <c r="F1041" s="300">
        <f t="shared" ref="F1041:F1042" si="1074">E1041*D1041</f>
        <v>60</v>
      </c>
      <c r="G1041" s="302">
        <f>(0.25+0.95)*2+17*0.008*2</f>
        <v>2.67</v>
      </c>
      <c r="H1041" s="310" t="str">
        <f t="shared" si="1067"/>
        <v/>
      </c>
      <c r="I1041" s="311">
        <f t="shared" si="1068"/>
        <v>160.19999999999999</v>
      </c>
      <c r="J1041" s="311" t="str">
        <f t="shared" si="1069"/>
        <v/>
      </c>
      <c r="K1041" s="311" t="str">
        <f t="shared" si="1070"/>
        <v/>
      </c>
      <c r="L1041" s="310" t="str">
        <f t="shared" si="1071"/>
        <v/>
      </c>
      <c r="M1041" s="310" t="str">
        <f t="shared" si="1072"/>
        <v/>
      </c>
      <c r="N1041" s="311" t="str">
        <f t="shared" si="1073"/>
        <v/>
      </c>
    </row>
    <row r="1042" spans="1:14" s="294" customFormat="1">
      <c r="A1042" s="297" t="s">
        <v>1517</v>
      </c>
      <c r="B1042" s="301"/>
      <c r="C1042" s="299" t="s">
        <v>1496</v>
      </c>
      <c r="D1042" s="299">
        <v>1</v>
      </c>
      <c r="E1042" s="300">
        <f>20+20+20</f>
        <v>60</v>
      </c>
      <c r="F1042" s="300">
        <f t="shared" si="1074"/>
        <v>60</v>
      </c>
      <c r="G1042" s="302">
        <f>(0.95*2)+17*0.008*2</f>
        <v>2.17</v>
      </c>
      <c r="H1042" s="310" t="str">
        <f t="shared" si="1067"/>
        <v/>
      </c>
      <c r="I1042" s="311">
        <f t="shared" si="1068"/>
        <v>130.19999999999999</v>
      </c>
      <c r="J1042" s="311" t="str">
        <f t="shared" si="1069"/>
        <v/>
      </c>
      <c r="K1042" s="311" t="str">
        <f t="shared" si="1070"/>
        <v/>
      </c>
      <c r="L1042" s="310" t="str">
        <f t="shared" si="1071"/>
        <v/>
      </c>
      <c r="M1042" s="310" t="str">
        <f t="shared" si="1072"/>
        <v/>
      </c>
      <c r="N1042" s="311" t="str">
        <f t="shared" si="1073"/>
        <v/>
      </c>
    </row>
    <row r="1043" spans="1:14">
      <c r="A1043" s="297" t="s">
        <v>1520</v>
      </c>
      <c r="B1043" s="254"/>
      <c r="C1043" s="299" t="s">
        <v>1498</v>
      </c>
      <c r="D1043" s="299">
        <v>1</v>
      </c>
      <c r="E1043" s="300">
        <v>12</v>
      </c>
      <c r="F1043" s="300">
        <f>E1043*D1043</f>
        <v>12</v>
      </c>
      <c r="G1043" s="302">
        <v>4.5</v>
      </c>
      <c r="H1043" s="310" t="str">
        <f t="shared" si="1067"/>
        <v/>
      </c>
      <c r="I1043" s="311" t="str">
        <f t="shared" si="1068"/>
        <v/>
      </c>
      <c r="J1043" s="311" t="str">
        <f t="shared" si="1069"/>
        <v/>
      </c>
      <c r="K1043" s="311" t="str">
        <f t="shared" si="1070"/>
        <v/>
      </c>
      <c r="L1043" s="310" t="str">
        <f t="shared" si="1071"/>
        <v/>
      </c>
      <c r="M1043" s="310">
        <f t="shared" si="1072"/>
        <v>54</v>
      </c>
      <c r="N1043" s="311" t="str">
        <f t="shared" si="1073"/>
        <v/>
      </c>
    </row>
    <row r="1044" spans="1:14">
      <c r="A1044" s="297" t="s">
        <v>1520</v>
      </c>
      <c r="B1044" s="254"/>
      <c r="C1044" s="299" t="s">
        <v>1498</v>
      </c>
      <c r="D1044" s="299">
        <v>1</v>
      </c>
      <c r="E1044" s="300">
        <v>4</v>
      </c>
      <c r="F1044" s="300">
        <f>E1044*D1044</f>
        <v>4</v>
      </c>
      <c r="G1044" s="302">
        <v>6.8</v>
      </c>
      <c r="H1044" s="310" t="str">
        <f t="shared" si="1067"/>
        <v/>
      </c>
      <c r="I1044" s="311" t="str">
        <f t="shared" si="1068"/>
        <v/>
      </c>
      <c r="J1044" s="311" t="str">
        <f t="shared" si="1069"/>
        <v/>
      </c>
      <c r="K1044" s="311" t="str">
        <f t="shared" si="1070"/>
        <v/>
      </c>
      <c r="L1044" s="310" t="str">
        <f t="shared" si="1071"/>
        <v/>
      </c>
      <c r="M1044" s="310">
        <f t="shared" si="1072"/>
        <v>27.2</v>
      </c>
      <c r="N1044" s="311" t="str">
        <f t="shared" si="1073"/>
        <v/>
      </c>
    </row>
    <row r="1045" spans="1:14">
      <c r="A1045" s="297" t="s">
        <v>1520</v>
      </c>
      <c r="B1045" s="254"/>
      <c r="C1045" s="299" t="s">
        <v>1498</v>
      </c>
      <c r="D1045" s="299">
        <v>1</v>
      </c>
      <c r="E1045" s="300">
        <v>4</v>
      </c>
      <c r="F1045" s="300">
        <f>E1045*D1045</f>
        <v>4</v>
      </c>
      <c r="G1045" s="302">
        <v>2</v>
      </c>
      <c r="H1045" s="310" t="str">
        <f t="shared" si="1067"/>
        <v/>
      </c>
      <c r="I1045" s="311" t="str">
        <f t="shared" si="1068"/>
        <v/>
      </c>
      <c r="J1045" s="311" t="str">
        <f t="shared" si="1069"/>
        <v/>
      </c>
      <c r="K1045" s="311" t="str">
        <f t="shared" si="1070"/>
        <v/>
      </c>
      <c r="L1045" s="310" t="str">
        <f t="shared" si="1071"/>
        <v/>
      </c>
      <c r="M1045" s="310">
        <f t="shared" si="1072"/>
        <v>8</v>
      </c>
      <c r="N1045" s="311" t="str">
        <f t="shared" si="1073"/>
        <v/>
      </c>
    </row>
    <row r="1046" spans="1:14">
      <c r="A1046" s="297" t="s">
        <v>1545</v>
      </c>
      <c r="B1046" s="254"/>
      <c r="C1046" s="299" t="s">
        <v>1498</v>
      </c>
      <c r="D1046" s="299">
        <v>1</v>
      </c>
      <c r="E1046" s="300">
        <v>4</v>
      </c>
      <c r="F1046" s="300">
        <f>E1046*D1046</f>
        <v>4</v>
      </c>
      <c r="G1046" s="302">
        <v>2.5</v>
      </c>
      <c r="H1046" s="310" t="str">
        <f t="shared" si="1067"/>
        <v/>
      </c>
      <c r="I1046" s="311" t="str">
        <f t="shared" si="1068"/>
        <v/>
      </c>
      <c r="J1046" s="311" t="str">
        <f t="shared" si="1069"/>
        <v/>
      </c>
      <c r="K1046" s="311" t="str">
        <f t="shared" si="1070"/>
        <v/>
      </c>
      <c r="L1046" s="310" t="str">
        <f t="shared" si="1071"/>
        <v/>
      </c>
      <c r="M1046" s="310">
        <f t="shared" si="1072"/>
        <v>10</v>
      </c>
      <c r="N1046" s="311" t="str">
        <f t="shared" si="1073"/>
        <v/>
      </c>
    </row>
    <row r="1047" spans="1:14">
      <c r="A1047" s="253"/>
      <c r="B1047" s="254"/>
      <c r="C1047" s="299"/>
      <c r="D1047" s="299"/>
      <c r="E1047" s="300"/>
      <c r="F1047" s="300"/>
      <c r="G1047" s="302"/>
      <c r="H1047" s="310"/>
      <c r="I1047" s="311"/>
      <c r="J1047" s="311"/>
      <c r="K1047" s="311"/>
      <c r="L1047" s="310"/>
      <c r="M1047" s="310"/>
      <c r="N1047" s="311"/>
    </row>
    <row r="1048" spans="1:14" ht="16.5">
      <c r="A1048" s="303" t="s">
        <v>1590</v>
      </c>
      <c r="B1048" s="254"/>
      <c r="C1048" s="299"/>
      <c r="D1048" s="299"/>
      <c r="E1048" s="300"/>
      <c r="F1048" s="300"/>
      <c r="G1048" s="302"/>
      <c r="H1048" s="310"/>
      <c r="I1048" s="311"/>
      <c r="J1048" s="311"/>
      <c r="K1048" s="311"/>
      <c r="L1048" s="310"/>
      <c r="M1048" s="310"/>
      <c r="N1048" s="311"/>
    </row>
    <row r="1049" spans="1:14" s="294" customFormat="1">
      <c r="A1049" s="297" t="s">
        <v>1515</v>
      </c>
      <c r="B1049" s="298"/>
      <c r="C1049" s="299" t="s">
        <v>1519</v>
      </c>
      <c r="D1049" s="299">
        <v>1</v>
      </c>
      <c r="E1049" s="300">
        <v>3</v>
      </c>
      <c r="F1049" s="300">
        <f>E1049*D1049</f>
        <v>3</v>
      </c>
      <c r="G1049" s="299">
        <f>(3.35)+17*0.01*2</f>
        <v>3.69</v>
      </c>
      <c r="H1049" s="310" t="str">
        <f t="shared" ref="H1049:H1052" si="1075">IF(C1049="T6",G1049*F1049,"")</f>
        <v/>
      </c>
      <c r="I1049" s="311" t="str">
        <f t="shared" ref="I1049:I1052" si="1076">IF(C1049="T8",F1049*G1049,"")</f>
        <v/>
      </c>
      <c r="J1049" s="311">
        <f t="shared" ref="J1049:J1052" si="1077">IF(C1049="T10",F1049*G1049,"")</f>
        <v>11.07</v>
      </c>
      <c r="K1049" s="311" t="str">
        <f t="shared" ref="K1049:K1052" si="1078">IF(C1049="T12",F1049*G1049,"")</f>
        <v/>
      </c>
      <c r="L1049" s="310" t="str">
        <f t="shared" ref="L1049:L1052" si="1079">IF(C1049="T14",F1049*G1049,"")</f>
        <v/>
      </c>
      <c r="M1049" s="310" t="str">
        <f t="shared" ref="M1049:M1052" si="1080">IF(C1049="T16",G1049*F1049,"")</f>
        <v/>
      </c>
      <c r="N1049" s="311" t="str">
        <f t="shared" ref="N1049:N1052" si="1081">IF(C1049="T20",G1049*F1049,"")</f>
        <v/>
      </c>
    </row>
    <row r="1050" spans="1:14" s="294" customFormat="1">
      <c r="A1050" s="297" t="s">
        <v>1515</v>
      </c>
      <c r="B1050" s="298"/>
      <c r="C1050" s="299" t="s">
        <v>1492</v>
      </c>
      <c r="D1050" s="299">
        <v>1</v>
      </c>
      <c r="E1050" s="300">
        <v>3</v>
      </c>
      <c r="F1050" s="300">
        <f>E1050*D1050</f>
        <v>3</v>
      </c>
      <c r="G1050" s="299">
        <f>(3.35)+17*0.014*2</f>
        <v>3.8260000000000001</v>
      </c>
      <c r="H1050" s="310" t="str">
        <f t="shared" si="1075"/>
        <v/>
      </c>
      <c r="I1050" s="311" t="str">
        <f t="shared" si="1076"/>
        <v/>
      </c>
      <c r="J1050" s="311" t="str">
        <f t="shared" si="1077"/>
        <v/>
      </c>
      <c r="K1050" s="311" t="str">
        <f t="shared" si="1078"/>
        <v/>
      </c>
      <c r="L1050" s="310">
        <f t="shared" si="1079"/>
        <v>11.48</v>
      </c>
      <c r="M1050" s="310" t="str">
        <f t="shared" si="1080"/>
        <v/>
      </c>
      <c r="N1050" s="311" t="str">
        <f t="shared" si="1081"/>
        <v/>
      </c>
    </row>
    <row r="1051" spans="1:14" s="294" customFormat="1">
      <c r="A1051" s="297" t="s">
        <v>1494</v>
      </c>
      <c r="B1051" s="301"/>
      <c r="C1051" s="299" t="s">
        <v>1496</v>
      </c>
      <c r="D1051" s="299">
        <v>1</v>
      </c>
      <c r="E1051" s="300">
        <f>3.35/0.15</f>
        <v>22</v>
      </c>
      <c r="F1051" s="300">
        <f t="shared" ref="F1051:F1052" si="1082">E1051*D1051</f>
        <v>22</v>
      </c>
      <c r="G1051" s="302">
        <f>(0.2+0.15)*2+17*0.008*2</f>
        <v>0.97</v>
      </c>
      <c r="H1051" s="310" t="str">
        <f t="shared" si="1075"/>
        <v/>
      </c>
      <c r="I1051" s="311">
        <f t="shared" si="1076"/>
        <v>21.34</v>
      </c>
      <c r="J1051" s="311" t="str">
        <f t="shared" si="1077"/>
        <v/>
      </c>
      <c r="K1051" s="311" t="str">
        <f t="shared" si="1078"/>
        <v/>
      </c>
      <c r="L1051" s="310" t="str">
        <f t="shared" si="1079"/>
        <v/>
      </c>
      <c r="M1051" s="310" t="str">
        <f t="shared" si="1080"/>
        <v/>
      </c>
      <c r="N1051" s="311" t="str">
        <f t="shared" si="1081"/>
        <v/>
      </c>
    </row>
    <row r="1052" spans="1:14" s="294" customFormat="1">
      <c r="A1052" s="297" t="s">
        <v>1517</v>
      </c>
      <c r="B1052" s="301"/>
      <c r="C1052" s="299" t="s">
        <v>1496</v>
      </c>
      <c r="D1052" s="299">
        <v>1</v>
      </c>
      <c r="E1052" s="300">
        <v>22</v>
      </c>
      <c r="F1052" s="300">
        <f t="shared" si="1082"/>
        <v>22</v>
      </c>
      <c r="G1052" s="302">
        <f>(0.2*2)+17*0.008*2</f>
        <v>0.67</v>
      </c>
      <c r="H1052" s="310" t="str">
        <f t="shared" si="1075"/>
        <v/>
      </c>
      <c r="I1052" s="311">
        <f t="shared" si="1076"/>
        <v>14.74</v>
      </c>
      <c r="J1052" s="311" t="str">
        <f t="shared" si="1077"/>
        <v/>
      </c>
      <c r="K1052" s="311" t="str">
        <f t="shared" si="1078"/>
        <v/>
      </c>
      <c r="L1052" s="310" t="str">
        <f t="shared" si="1079"/>
        <v/>
      </c>
      <c r="M1052" s="310" t="str">
        <f t="shared" si="1080"/>
        <v/>
      </c>
      <c r="N1052" s="311" t="str">
        <f t="shared" si="1081"/>
        <v/>
      </c>
    </row>
    <row r="1053" spans="1:14">
      <c r="A1053" s="253"/>
      <c r="B1053" s="254"/>
      <c r="C1053" s="299"/>
      <c r="D1053" s="299"/>
      <c r="E1053" s="300"/>
      <c r="F1053" s="300"/>
      <c r="G1053" s="302"/>
      <c r="H1053" s="310"/>
      <c r="I1053" s="311"/>
      <c r="J1053" s="311"/>
      <c r="K1053" s="311"/>
      <c r="L1053" s="310"/>
      <c r="M1053" s="310"/>
      <c r="N1053" s="311"/>
    </row>
    <row r="1054" spans="1:14" ht="16.5">
      <c r="A1054" s="303" t="s">
        <v>1594</v>
      </c>
      <c r="B1054" s="254"/>
      <c r="C1054" s="299"/>
      <c r="D1054" s="299"/>
      <c r="E1054" s="300"/>
      <c r="F1054" s="300"/>
      <c r="G1054" s="302"/>
      <c r="H1054" s="310"/>
      <c r="I1054" s="311"/>
      <c r="J1054" s="311"/>
      <c r="K1054" s="311"/>
      <c r="L1054" s="310"/>
      <c r="M1054" s="310"/>
      <c r="N1054" s="311"/>
    </row>
    <row r="1055" spans="1:14" s="294" customFormat="1">
      <c r="A1055" s="297" t="s">
        <v>1515</v>
      </c>
      <c r="B1055" s="298"/>
      <c r="C1055" s="299" t="s">
        <v>1519</v>
      </c>
      <c r="D1055" s="299">
        <v>1</v>
      </c>
      <c r="E1055" s="300">
        <v>3</v>
      </c>
      <c r="F1055" s="300">
        <f>E1055*D1055</f>
        <v>3</v>
      </c>
      <c r="G1055" s="299">
        <f>(3.4)+17*0.01*2</f>
        <v>3.74</v>
      </c>
      <c r="H1055" s="310" t="str">
        <f t="shared" ref="H1055:H1061" si="1083">IF(C1055="T6",G1055*F1055,"")</f>
        <v/>
      </c>
      <c r="I1055" s="311" t="str">
        <f t="shared" ref="I1055:I1061" si="1084">IF(C1055="T8",F1055*G1055,"")</f>
        <v/>
      </c>
      <c r="J1055" s="311">
        <f t="shared" ref="J1055:J1061" si="1085">IF(C1055="T10",F1055*G1055,"")</f>
        <v>11.22</v>
      </c>
      <c r="K1055" s="311" t="str">
        <f t="shared" ref="K1055:K1061" si="1086">IF(C1055="T12",F1055*G1055,"")</f>
        <v/>
      </c>
      <c r="L1055" s="310" t="str">
        <f t="shared" ref="L1055:L1061" si="1087">IF(C1055="T14",F1055*G1055,"")</f>
        <v/>
      </c>
      <c r="M1055" s="310" t="str">
        <f t="shared" ref="M1055:M1061" si="1088">IF(C1055="T16",G1055*F1055,"")</f>
        <v/>
      </c>
      <c r="N1055" s="311" t="str">
        <f t="shared" ref="N1055:N1061" si="1089">IF(C1055="T20",G1055*F1055,"")</f>
        <v/>
      </c>
    </row>
    <row r="1056" spans="1:14" s="294" customFormat="1">
      <c r="A1056" s="297" t="s">
        <v>1515</v>
      </c>
      <c r="B1056" s="298"/>
      <c r="C1056" s="299" t="s">
        <v>1492</v>
      </c>
      <c r="D1056" s="299">
        <v>1</v>
      </c>
      <c r="E1056" s="300">
        <v>3</v>
      </c>
      <c r="F1056" s="300">
        <f>E1056*D1056</f>
        <v>3</v>
      </c>
      <c r="G1056" s="302">
        <f>(3.4)+17*0.014*2</f>
        <v>3.88</v>
      </c>
      <c r="H1056" s="310" t="str">
        <f t="shared" si="1083"/>
        <v/>
      </c>
      <c r="I1056" s="311" t="str">
        <f t="shared" si="1084"/>
        <v/>
      </c>
      <c r="J1056" s="311" t="str">
        <f t="shared" si="1085"/>
        <v/>
      </c>
      <c r="K1056" s="311" t="str">
        <f t="shared" si="1086"/>
        <v/>
      </c>
      <c r="L1056" s="310">
        <f t="shared" si="1087"/>
        <v>11.64</v>
      </c>
      <c r="M1056" s="310" t="str">
        <f t="shared" si="1088"/>
        <v/>
      </c>
      <c r="N1056" s="311" t="str">
        <f t="shared" si="1089"/>
        <v/>
      </c>
    </row>
    <row r="1057" spans="1:14" s="294" customFormat="1">
      <c r="A1057" s="297"/>
      <c r="B1057" s="298"/>
      <c r="C1057" s="299" t="s">
        <v>1519</v>
      </c>
      <c r="D1057" s="299">
        <v>1</v>
      </c>
      <c r="E1057" s="300">
        <v>3</v>
      </c>
      <c r="F1057" s="300">
        <v>3</v>
      </c>
      <c r="G1057" s="302">
        <v>3.4</v>
      </c>
      <c r="H1057" s="310"/>
      <c r="I1057" s="311"/>
      <c r="J1057" s="311">
        <f t="shared" si="1085"/>
        <v>10.199999999999999</v>
      </c>
      <c r="K1057" s="311"/>
      <c r="L1057" s="310"/>
      <c r="M1057" s="310"/>
      <c r="N1057" s="311"/>
    </row>
    <row r="1058" spans="1:14" s="294" customFormat="1">
      <c r="A1058" s="297" t="s">
        <v>1494</v>
      </c>
      <c r="B1058" s="301"/>
      <c r="C1058" s="299" t="s">
        <v>1496</v>
      </c>
      <c r="D1058" s="299">
        <v>1</v>
      </c>
      <c r="E1058" s="300">
        <f>11+10+11</f>
        <v>32</v>
      </c>
      <c r="F1058" s="300">
        <f t="shared" ref="F1058:F1059" si="1090">E1058*D1058</f>
        <v>32</v>
      </c>
      <c r="G1058" s="302">
        <f>(0.2+0.55)*2+17*0.008*2</f>
        <v>1.77</v>
      </c>
      <c r="H1058" s="310" t="str">
        <f t="shared" si="1083"/>
        <v/>
      </c>
      <c r="I1058" s="311">
        <f t="shared" si="1084"/>
        <v>56.64</v>
      </c>
      <c r="J1058" s="311" t="str">
        <f t="shared" si="1085"/>
        <v/>
      </c>
      <c r="K1058" s="311" t="str">
        <f t="shared" si="1086"/>
        <v/>
      </c>
      <c r="L1058" s="310" t="str">
        <f t="shared" si="1087"/>
        <v/>
      </c>
      <c r="M1058" s="310" t="str">
        <f t="shared" si="1088"/>
        <v/>
      </c>
      <c r="N1058" s="311" t="str">
        <f t="shared" si="1089"/>
        <v/>
      </c>
    </row>
    <row r="1059" spans="1:14" s="294" customFormat="1">
      <c r="A1059" s="297" t="s">
        <v>1517</v>
      </c>
      <c r="B1059" s="301"/>
      <c r="C1059" s="299" t="s">
        <v>1496</v>
      </c>
      <c r="D1059" s="299">
        <v>1</v>
      </c>
      <c r="E1059" s="300">
        <f>11+10+11</f>
        <v>32</v>
      </c>
      <c r="F1059" s="300">
        <f t="shared" si="1090"/>
        <v>32</v>
      </c>
      <c r="G1059" s="302">
        <f>(0.55*2)+17*0.008*2</f>
        <v>1.37</v>
      </c>
      <c r="H1059" s="310" t="str">
        <f t="shared" si="1083"/>
        <v/>
      </c>
      <c r="I1059" s="311">
        <f t="shared" si="1084"/>
        <v>43.84</v>
      </c>
      <c r="J1059" s="311" t="str">
        <f t="shared" si="1085"/>
        <v/>
      </c>
      <c r="K1059" s="311" t="str">
        <f t="shared" si="1086"/>
        <v/>
      </c>
      <c r="L1059" s="310" t="str">
        <f t="shared" si="1087"/>
        <v/>
      </c>
      <c r="M1059" s="310" t="str">
        <f t="shared" si="1088"/>
        <v/>
      </c>
      <c r="N1059" s="311" t="str">
        <f t="shared" si="1089"/>
        <v/>
      </c>
    </row>
    <row r="1060" spans="1:14">
      <c r="A1060" s="297" t="s">
        <v>1518</v>
      </c>
      <c r="B1060" s="254"/>
      <c r="C1060" s="299" t="s">
        <v>1492</v>
      </c>
      <c r="D1060" s="299">
        <v>1</v>
      </c>
      <c r="E1060" s="300">
        <v>3</v>
      </c>
      <c r="F1060" s="300">
        <f>E1060*D1060</f>
        <v>3</v>
      </c>
      <c r="G1060" s="302">
        <v>1.8</v>
      </c>
      <c r="H1060" s="310" t="str">
        <f t="shared" si="1083"/>
        <v/>
      </c>
      <c r="I1060" s="311" t="str">
        <f t="shared" si="1084"/>
        <v/>
      </c>
      <c r="J1060" s="311" t="str">
        <f t="shared" si="1085"/>
        <v/>
      </c>
      <c r="K1060" s="311" t="str">
        <f t="shared" si="1086"/>
        <v/>
      </c>
      <c r="L1060" s="310">
        <f t="shared" si="1087"/>
        <v>5.4</v>
      </c>
      <c r="M1060" s="310" t="str">
        <f t="shared" si="1088"/>
        <v/>
      </c>
      <c r="N1060" s="311" t="str">
        <f t="shared" si="1089"/>
        <v/>
      </c>
    </row>
    <row r="1061" spans="1:14">
      <c r="A1061" s="297" t="s">
        <v>1520</v>
      </c>
      <c r="B1061" s="254"/>
      <c r="C1061" s="299" t="s">
        <v>1492</v>
      </c>
      <c r="D1061" s="299">
        <v>1</v>
      </c>
      <c r="E1061" s="300">
        <v>3</v>
      </c>
      <c r="F1061" s="300">
        <f>E1061*D1061</f>
        <v>3</v>
      </c>
      <c r="G1061" s="302">
        <v>2.9</v>
      </c>
      <c r="H1061" s="310" t="str">
        <f t="shared" si="1083"/>
        <v/>
      </c>
      <c r="I1061" s="311" t="str">
        <f t="shared" si="1084"/>
        <v/>
      </c>
      <c r="J1061" s="311" t="str">
        <f t="shared" si="1085"/>
        <v/>
      </c>
      <c r="K1061" s="311" t="str">
        <f t="shared" si="1086"/>
        <v/>
      </c>
      <c r="L1061" s="310">
        <f t="shared" si="1087"/>
        <v>8.6999999999999993</v>
      </c>
      <c r="M1061" s="310" t="str">
        <f t="shared" si="1088"/>
        <v/>
      </c>
      <c r="N1061" s="311" t="str">
        <f t="shared" si="1089"/>
        <v/>
      </c>
    </row>
    <row r="1062" spans="1:14">
      <c r="A1062" s="253"/>
      <c r="B1062" s="254"/>
      <c r="C1062" s="299"/>
      <c r="D1062" s="299"/>
      <c r="E1062" s="300"/>
      <c r="F1062" s="300"/>
      <c r="G1062" s="302"/>
      <c r="H1062" s="310"/>
      <c r="I1062" s="311"/>
      <c r="J1062" s="311"/>
      <c r="K1062" s="311"/>
      <c r="L1062" s="310"/>
      <c r="M1062" s="310"/>
      <c r="N1062" s="311"/>
    </row>
    <row r="1063" spans="1:14" ht="16.5">
      <c r="A1063" s="303" t="s">
        <v>1593</v>
      </c>
      <c r="B1063" s="254"/>
      <c r="C1063" s="299"/>
      <c r="D1063" s="299"/>
      <c r="E1063" s="300"/>
      <c r="F1063" s="300"/>
      <c r="G1063" s="302"/>
      <c r="H1063" s="310"/>
      <c r="I1063" s="311"/>
      <c r="J1063" s="311"/>
      <c r="K1063" s="311"/>
      <c r="L1063" s="310"/>
      <c r="M1063" s="310"/>
      <c r="N1063" s="311"/>
    </row>
    <row r="1064" spans="1:14" s="294" customFormat="1">
      <c r="A1064" s="297" t="s">
        <v>1515</v>
      </c>
      <c r="B1064" s="298"/>
      <c r="C1064" s="299" t="s">
        <v>1519</v>
      </c>
      <c r="D1064" s="299">
        <v>1</v>
      </c>
      <c r="E1064" s="300">
        <v>3</v>
      </c>
      <c r="F1064" s="300">
        <f>E1064*D1064</f>
        <v>3</v>
      </c>
      <c r="G1064" s="299">
        <f>(3.45)+17*0.01*2</f>
        <v>3.79</v>
      </c>
      <c r="H1064" s="310" t="str">
        <f t="shared" ref="H1064:H1071" si="1091">IF(C1064="T6",G1064*F1064,"")</f>
        <v/>
      </c>
      <c r="I1064" s="311" t="str">
        <f t="shared" ref="I1064:I1071" si="1092">IF(C1064="T8",F1064*G1064,"")</f>
        <v/>
      </c>
      <c r="J1064" s="311">
        <f t="shared" ref="J1064:J1071" si="1093">IF(C1064="T10",F1064*G1064,"")</f>
        <v>11.37</v>
      </c>
      <c r="K1064" s="311" t="str">
        <f t="shared" ref="K1064:K1071" si="1094">IF(C1064="T12",F1064*G1064,"")</f>
        <v/>
      </c>
      <c r="L1064" s="310" t="str">
        <f t="shared" ref="L1064:L1071" si="1095">IF(C1064="T14",F1064*G1064,"")</f>
        <v/>
      </c>
      <c r="M1064" s="310" t="str">
        <f t="shared" ref="M1064:M1071" si="1096">IF(C1064="T16",G1064*F1064,"")</f>
        <v/>
      </c>
      <c r="N1064" s="311" t="str">
        <f t="shared" ref="N1064:N1071" si="1097">IF(C1064="T20",G1064*F1064,"")</f>
        <v/>
      </c>
    </row>
    <row r="1065" spans="1:14" s="294" customFormat="1">
      <c r="A1065" s="297" t="s">
        <v>1515</v>
      </c>
      <c r="B1065" s="298"/>
      <c r="C1065" s="299" t="s">
        <v>1516</v>
      </c>
      <c r="D1065" s="299">
        <v>1</v>
      </c>
      <c r="E1065" s="300">
        <v>3</v>
      </c>
      <c r="F1065" s="300">
        <f>E1065*D1065</f>
        <v>3</v>
      </c>
      <c r="G1065" s="302">
        <f>(3.45)+17*0.012*2</f>
        <v>3.86</v>
      </c>
      <c r="H1065" s="310" t="str">
        <f t="shared" si="1091"/>
        <v/>
      </c>
      <c r="I1065" s="311" t="str">
        <f t="shared" si="1092"/>
        <v/>
      </c>
      <c r="J1065" s="311" t="str">
        <f t="shared" si="1093"/>
        <v/>
      </c>
      <c r="K1065" s="311">
        <f t="shared" si="1094"/>
        <v>11.58</v>
      </c>
      <c r="L1065" s="310" t="str">
        <f t="shared" si="1095"/>
        <v/>
      </c>
      <c r="M1065" s="310" t="str">
        <f t="shared" si="1096"/>
        <v/>
      </c>
      <c r="N1065" s="311" t="str">
        <f t="shared" si="1097"/>
        <v/>
      </c>
    </row>
    <row r="1066" spans="1:14" s="294" customFormat="1">
      <c r="A1066" s="297"/>
      <c r="B1066" s="298"/>
      <c r="C1066" s="299" t="s">
        <v>1519</v>
      </c>
      <c r="D1066" s="299">
        <v>1</v>
      </c>
      <c r="E1066" s="300">
        <v>3</v>
      </c>
      <c r="F1066" s="300">
        <v>3</v>
      </c>
      <c r="G1066" s="302">
        <v>3.45</v>
      </c>
      <c r="H1066" s="310"/>
      <c r="I1066" s="311"/>
      <c r="J1066" s="311">
        <f t="shared" si="1093"/>
        <v>10.35</v>
      </c>
      <c r="K1066" s="311"/>
      <c r="L1066" s="310"/>
      <c r="M1066" s="310"/>
      <c r="N1066" s="311"/>
    </row>
    <row r="1067" spans="1:14" s="294" customFormat="1">
      <c r="A1067" s="297" t="s">
        <v>1494</v>
      </c>
      <c r="B1067" s="301"/>
      <c r="C1067" s="299" t="s">
        <v>1496</v>
      </c>
      <c r="D1067" s="299">
        <v>1</v>
      </c>
      <c r="E1067" s="300">
        <f>11+10+11</f>
        <v>32</v>
      </c>
      <c r="F1067" s="300">
        <f t="shared" ref="F1067:F1068" si="1098">E1067*D1067</f>
        <v>32</v>
      </c>
      <c r="G1067" s="302">
        <f>(0.2+0.55)*2+17*0.008*2</f>
        <v>1.77</v>
      </c>
      <c r="H1067" s="310" t="str">
        <f t="shared" si="1091"/>
        <v/>
      </c>
      <c r="I1067" s="311">
        <f t="shared" si="1092"/>
        <v>56.64</v>
      </c>
      <c r="J1067" s="311" t="str">
        <f t="shared" si="1093"/>
        <v/>
      </c>
      <c r="K1067" s="311" t="str">
        <f t="shared" si="1094"/>
        <v/>
      </c>
      <c r="L1067" s="310" t="str">
        <f t="shared" si="1095"/>
        <v/>
      </c>
      <c r="M1067" s="310" t="str">
        <f t="shared" si="1096"/>
        <v/>
      </c>
      <c r="N1067" s="311" t="str">
        <f t="shared" si="1097"/>
        <v/>
      </c>
    </row>
    <row r="1068" spans="1:14" s="294" customFormat="1">
      <c r="A1068" s="297" t="s">
        <v>1517</v>
      </c>
      <c r="B1068" s="301"/>
      <c r="C1068" s="299" t="s">
        <v>1496</v>
      </c>
      <c r="D1068" s="299">
        <v>1</v>
      </c>
      <c r="E1068" s="300">
        <f>11+10+11</f>
        <v>32</v>
      </c>
      <c r="F1068" s="300">
        <f t="shared" si="1098"/>
        <v>32</v>
      </c>
      <c r="G1068" s="302">
        <f>(0.55*2)+17*0.008*2</f>
        <v>1.37</v>
      </c>
      <c r="H1068" s="310" t="str">
        <f t="shared" si="1091"/>
        <v/>
      </c>
      <c r="I1068" s="311">
        <f t="shared" si="1092"/>
        <v>43.84</v>
      </c>
      <c r="J1068" s="311" t="str">
        <f t="shared" si="1093"/>
        <v/>
      </c>
      <c r="K1068" s="311" t="str">
        <f t="shared" si="1094"/>
        <v/>
      </c>
      <c r="L1068" s="310" t="str">
        <f t="shared" si="1095"/>
        <v/>
      </c>
      <c r="M1068" s="310" t="str">
        <f t="shared" si="1096"/>
        <v/>
      </c>
      <c r="N1068" s="311" t="str">
        <f t="shared" si="1097"/>
        <v/>
      </c>
    </row>
    <row r="1069" spans="1:14">
      <c r="A1069" s="297" t="s">
        <v>1518</v>
      </c>
      <c r="B1069" s="254"/>
      <c r="C1069" s="299" t="s">
        <v>1516</v>
      </c>
      <c r="D1069" s="299">
        <v>1</v>
      </c>
      <c r="E1069" s="300">
        <v>3</v>
      </c>
      <c r="F1069" s="300">
        <f>E1069*D1069</f>
        <v>3</v>
      </c>
      <c r="G1069" s="302">
        <v>1.6</v>
      </c>
      <c r="H1069" s="310" t="str">
        <f t="shared" si="1091"/>
        <v/>
      </c>
      <c r="I1069" s="311" t="str">
        <f t="shared" si="1092"/>
        <v/>
      </c>
      <c r="J1069" s="311" t="str">
        <f t="shared" si="1093"/>
        <v/>
      </c>
      <c r="K1069" s="311">
        <f t="shared" si="1094"/>
        <v>4.8</v>
      </c>
      <c r="L1069" s="310" t="str">
        <f t="shared" si="1095"/>
        <v/>
      </c>
      <c r="M1069" s="310" t="str">
        <f t="shared" si="1096"/>
        <v/>
      </c>
      <c r="N1069" s="311" t="str">
        <f t="shared" si="1097"/>
        <v/>
      </c>
    </row>
    <row r="1070" spans="1:14">
      <c r="A1070" s="297" t="s">
        <v>1520</v>
      </c>
      <c r="B1070" s="254"/>
      <c r="C1070" s="299" t="s">
        <v>1492</v>
      </c>
      <c r="D1070" s="299">
        <v>1</v>
      </c>
      <c r="E1070" s="300">
        <v>3</v>
      </c>
      <c r="F1070" s="300">
        <f>E1070*D1070</f>
        <v>3</v>
      </c>
      <c r="G1070" s="302">
        <v>3.2</v>
      </c>
      <c r="H1070" s="310" t="str">
        <f t="shared" si="1091"/>
        <v/>
      </c>
      <c r="I1070" s="311" t="str">
        <f t="shared" si="1092"/>
        <v/>
      </c>
      <c r="J1070" s="311" t="str">
        <f t="shared" si="1093"/>
        <v/>
      </c>
      <c r="K1070" s="311" t="str">
        <f t="shared" si="1094"/>
        <v/>
      </c>
      <c r="L1070" s="310">
        <f t="shared" si="1095"/>
        <v>9.6</v>
      </c>
      <c r="M1070" s="310" t="str">
        <f t="shared" si="1096"/>
        <v/>
      </c>
      <c r="N1070" s="311" t="str">
        <f t="shared" si="1097"/>
        <v/>
      </c>
    </row>
    <row r="1071" spans="1:14">
      <c r="A1071" s="253"/>
      <c r="B1071" s="254"/>
      <c r="C1071" s="299" t="s">
        <v>1516</v>
      </c>
      <c r="D1071" s="299">
        <v>1</v>
      </c>
      <c r="E1071" s="300">
        <v>3</v>
      </c>
      <c r="F1071" s="300">
        <f>E1071*D1071</f>
        <v>3</v>
      </c>
      <c r="G1071" s="302">
        <v>3.45</v>
      </c>
      <c r="H1071" s="310" t="str">
        <f t="shared" si="1091"/>
        <v/>
      </c>
      <c r="I1071" s="311" t="str">
        <f t="shared" si="1092"/>
        <v/>
      </c>
      <c r="J1071" s="311" t="str">
        <f t="shared" si="1093"/>
        <v/>
      </c>
      <c r="K1071" s="311">
        <f t="shared" si="1094"/>
        <v>10.35</v>
      </c>
      <c r="L1071" s="310" t="str">
        <f t="shared" si="1095"/>
        <v/>
      </c>
      <c r="M1071" s="310" t="str">
        <f t="shared" si="1096"/>
        <v/>
      </c>
      <c r="N1071" s="311" t="str">
        <f t="shared" si="1097"/>
        <v/>
      </c>
    </row>
    <row r="1072" spans="1:14">
      <c r="A1072" s="253"/>
      <c r="B1072" s="254"/>
      <c r="C1072" s="299"/>
      <c r="D1072" s="299"/>
      <c r="E1072" s="300"/>
      <c r="F1072" s="300"/>
      <c r="G1072" s="302"/>
      <c r="H1072" s="310"/>
      <c r="I1072" s="311"/>
      <c r="J1072" s="311"/>
      <c r="K1072" s="311"/>
      <c r="L1072" s="310"/>
      <c r="M1072" s="310"/>
      <c r="N1072" s="311"/>
    </row>
    <row r="1073" spans="1:14" ht="16.5">
      <c r="A1073" s="303" t="s">
        <v>1592</v>
      </c>
      <c r="B1073" s="254"/>
      <c r="C1073" s="299"/>
      <c r="D1073" s="299"/>
      <c r="E1073" s="300"/>
      <c r="F1073" s="300"/>
      <c r="G1073" s="302"/>
      <c r="H1073" s="310"/>
      <c r="I1073" s="311"/>
      <c r="J1073" s="311"/>
      <c r="K1073" s="311"/>
      <c r="L1073" s="310"/>
      <c r="M1073" s="310"/>
      <c r="N1073" s="311"/>
    </row>
    <row r="1074" spans="1:14" s="294" customFormat="1">
      <c r="A1074" s="297" t="s">
        <v>1515</v>
      </c>
      <c r="B1074" s="298"/>
      <c r="C1074" s="299" t="s">
        <v>1519</v>
      </c>
      <c r="D1074" s="299">
        <v>1</v>
      </c>
      <c r="E1074" s="300">
        <v>3</v>
      </c>
      <c r="F1074" s="300">
        <f>E1074*D1074</f>
        <v>3</v>
      </c>
      <c r="G1074" s="299">
        <f>(3.85)+17*0.01*2</f>
        <v>4.1900000000000004</v>
      </c>
      <c r="H1074" s="310" t="str">
        <f t="shared" ref="H1074:H1075" si="1099">IF(C1074="T6",G1074*F1074,"")</f>
        <v/>
      </c>
      <c r="I1074" s="311" t="str">
        <f t="shared" ref="I1074:I1075" si="1100">IF(C1074="T8",F1074*G1074,"")</f>
        <v/>
      </c>
      <c r="J1074" s="311">
        <f t="shared" ref="J1074:J1081" si="1101">IF(C1074="T10",F1074*G1074,"")</f>
        <v>12.57</v>
      </c>
      <c r="K1074" s="311" t="str">
        <f t="shared" ref="K1074:K1075" si="1102">IF(C1074="T12",F1074*G1074,"")</f>
        <v/>
      </c>
      <c r="L1074" s="310" t="str">
        <f t="shared" ref="L1074:L1075" si="1103">IF(C1074="T14",F1074*G1074,"")</f>
        <v/>
      </c>
      <c r="M1074" s="310" t="str">
        <f t="shared" ref="M1074:M1075" si="1104">IF(C1074="T16",G1074*F1074,"")</f>
        <v/>
      </c>
      <c r="N1074" s="311" t="str">
        <f t="shared" ref="N1074:N1075" si="1105">IF(C1074="T20",G1074*F1074,"")</f>
        <v/>
      </c>
    </row>
    <row r="1075" spans="1:14" s="294" customFormat="1">
      <c r="A1075" s="297" t="s">
        <v>1515</v>
      </c>
      <c r="B1075" s="298"/>
      <c r="C1075" s="299" t="s">
        <v>1516</v>
      </c>
      <c r="D1075" s="299">
        <v>1</v>
      </c>
      <c r="E1075" s="300">
        <v>3</v>
      </c>
      <c r="F1075" s="300">
        <f>E1075*D1075</f>
        <v>3</v>
      </c>
      <c r="G1075" s="302">
        <f>(3.85)+17*0.012*2</f>
        <v>4.26</v>
      </c>
      <c r="H1075" s="310" t="str">
        <f t="shared" si="1099"/>
        <v/>
      </c>
      <c r="I1075" s="311" t="str">
        <f t="shared" si="1100"/>
        <v/>
      </c>
      <c r="J1075" s="311" t="str">
        <f t="shared" si="1101"/>
        <v/>
      </c>
      <c r="K1075" s="311">
        <f t="shared" si="1102"/>
        <v>12.78</v>
      </c>
      <c r="L1075" s="310" t="str">
        <f t="shared" si="1103"/>
        <v/>
      </c>
      <c r="M1075" s="310" t="str">
        <f t="shared" si="1104"/>
        <v/>
      </c>
      <c r="N1075" s="311" t="str">
        <f t="shared" si="1105"/>
        <v/>
      </c>
    </row>
    <row r="1076" spans="1:14" s="294" customFormat="1">
      <c r="A1076" s="297"/>
      <c r="B1076" s="298"/>
      <c r="C1076" s="299" t="s">
        <v>1519</v>
      </c>
      <c r="D1076" s="299">
        <v>1</v>
      </c>
      <c r="E1076" s="300">
        <v>3</v>
      </c>
      <c r="F1076" s="300">
        <v>3</v>
      </c>
      <c r="G1076" s="302">
        <v>3.85</v>
      </c>
      <c r="H1076" s="310"/>
      <c r="I1076" s="311"/>
      <c r="J1076" s="311">
        <f t="shared" si="1101"/>
        <v>11.55</v>
      </c>
      <c r="K1076" s="311"/>
      <c r="L1076" s="310"/>
      <c r="M1076" s="310"/>
      <c r="N1076" s="311"/>
    </row>
    <row r="1077" spans="1:14" s="294" customFormat="1">
      <c r="A1077" s="297" t="s">
        <v>1494</v>
      </c>
      <c r="B1077" s="301"/>
      <c r="C1077" s="299" t="s">
        <v>1496</v>
      </c>
      <c r="D1077" s="299">
        <v>1</v>
      </c>
      <c r="E1077" s="300">
        <f>12+15+12</f>
        <v>39</v>
      </c>
      <c r="F1077" s="300">
        <f t="shared" ref="F1077:F1078" si="1106">E1077*D1077</f>
        <v>39</v>
      </c>
      <c r="G1077" s="302">
        <f>(0.2+0.4)*2+17*0.008*2</f>
        <v>1.47</v>
      </c>
      <c r="H1077" s="310" t="str">
        <f t="shared" ref="H1077:H1081" si="1107">IF(C1077="T6",G1077*F1077,"")</f>
        <v/>
      </c>
      <c r="I1077" s="311">
        <f t="shared" ref="I1077:I1081" si="1108">IF(C1077="T8",F1077*G1077,"")</f>
        <v>57.33</v>
      </c>
      <c r="J1077" s="311" t="str">
        <f t="shared" si="1101"/>
        <v/>
      </c>
      <c r="K1077" s="311" t="str">
        <f t="shared" ref="K1077:K1081" si="1109">IF(C1077="T12",F1077*G1077,"")</f>
        <v/>
      </c>
      <c r="L1077" s="310" t="str">
        <f t="shared" ref="L1077:L1081" si="1110">IF(C1077="T14",F1077*G1077,"")</f>
        <v/>
      </c>
      <c r="M1077" s="310" t="str">
        <f t="shared" ref="M1077:M1081" si="1111">IF(C1077="T16",G1077*F1077,"")</f>
        <v/>
      </c>
      <c r="N1077" s="311" t="str">
        <f t="shared" ref="N1077:N1081" si="1112">IF(C1077="T20",G1077*F1077,"")</f>
        <v/>
      </c>
    </row>
    <row r="1078" spans="1:14" s="294" customFormat="1">
      <c r="A1078" s="297" t="s">
        <v>1517</v>
      </c>
      <c r="B1078" s="301"/>
      <c r="C1078" s="299" t="s">
        <v>1496</v>
      </c>
      <c r="D1078" s="299">
        <v>1</v>
      </c>
      <c r="E1078" s="300">
        <f>12+15+12</f>
        <v>39</v>
      </c>
      <c r="F1078" s="300">
        <f t="shared" si="1106"/>
        <v>39</v>
      </c>
      <c r="G1078" s="302">
        <f>(0.4*2)+17*0.008*2</f>
        <v>1.07</v>
      </c>
      <c r="H1078" s="310" t="str">
        <f t="shared" si="1107"/>
        <v/>
      </c>
      <c r="I1078" s="311">
        <f t="shared" si="1108"/>
        <v>41.73</v>
      </c>
      <c r="J1078" s="311" t="str">
        <f t="shared" si="1101"/>
        <v/>
      </c>
      <c r="K1078" s="311" t="str">
        <f t="shared" si="1109"/>
        <v/>
      </c>
      <c r="L1078" s="310" t="str">
        <f t="shared" si="1110"/>
        <v/>
      </c>
      <c r="M1078" s="310" t="str">
        <f t="shared" si="1111"/>
        <v/>
      </c>
      <c r="N1078" s="311" t="str">
        <f t="shared" si="1112"/>
        <v/>
      </c>
    </row>
    <row r="1079" spans="1:14">
      <c r="A1079" s="297" t="s">
        <v>1518</v>
      </c>
      <c r="B1079" s="254"/>
      <c r="C1079" s="299" t="s">
        <v>1492</v>
      </c>
      <c r="D1079" s="299">
        <v>1</v>
      </c>
      <c r="E1079" s="300">
        <v>3</v>
      </c>
      <c r="F1079" s="300">
        <f>E1079*D1079</f>
        <v>3</v>
      </c>
      <c r="G1079" s="302">
        <v>1.8</v>
      </c>
      <c r="H1079" s="310" t="str">
        <f t="shared" si="1107"/>
        <v/>
      </c>
      <c r="I1079" s="311" t="str">
        <f t="shared" si="1108"/>
        <v/>
      </c>
      <c r="J1079" s="311" t="str">
        <f t="shared" si="1101"/>
        <v/>
      </c>
      <c r="K1079" s="311" t="str">
        <f t="shared" si="1109"/>
        <v/>
      </c>
      <c r="L1079" s="310">
        <f t="shared" si="1110"/>
        <v>5.4</v>
      </c>
      <c r="M1079" s="310" t="str">
        <f t="shared" si="1111"/>
        <v/>
      </c>
      <c r="N1079" s="311" t="str">
        <f t="shared" si="1112"/>
        <v/>
      </c>
    </row>
    <row r="1080" spans="1:14">
      <c r="A1080" s="297" t="s">
        <v>1520</v>
      </c>
      <c r="B1080" s="254"/>
      <c r="C1080" s="299" t="s">
        <v>1492</v>
      </c>
      <c r="D1080" s="299">
        <v>1</v>
      </c>
      <c r="E1080" s="300">
        <v>3</v>
      </c>
      <c r="F1080" s="300">
        <f>E1080*D1080</f>
        <v>3</v>
      </c>
      <c r="G1080" s="302">
        <v>3.2</v>
      </c>
      <c r="H1080" s="310" t="str">
        <f t="shared" si="1107"/>
        <v/>
      </c>
      <c r="I1080" s="311" t="str">
        <f t="shared" si="1108"/>
        <v/>
      </c>
      <c r="J1080" s="311" t="str">
        <f t="shared" si="1101"/>
        <v/>
      </c>
      <c r="K1080" s="311" t="str">
        <f t="shared" si="1109"/>
        <v/>
      </c>
      <c r="L1080" s="310">
        <f t="shared" si="1110"/>
        <v>9.6</v>
      </c>
      <c r="M1080" s="310" t="str">
        <f t="shared" si="1111"/>
        <v/>
      </c>
      <c r="N1080" s="311" t="str">
        <f t="shared" si="1112"/>
        <v/>
      </c>
    </row>
    <row r="1081" spans="1:14">
      <c r="A1081" s="253"/>
      <c r="B1081" s="254"/>
      <c r="C1081" s="299" t="s">
        <v>1516</v>
      </c>
      <c r="D1081" s="299">
        <v>1</v>
      </c>
      <c r="E1081" s="300">
        <v>3</v>
      </c>
      <c r="F1081" s="300">
        <f>E1081*D1081</f>
        <v>3</v>
      </c>
      <c r="G1081" s="302">
        <v>3.85</v>
      </c>
      <c r="H1081" s="310" t="str">
        <f t="shared" si="1107"/>
        <v/>
      </c>
      <c r="I1081" s="311" t="str">
        <f t="shared" si="1108"/>
        <v/>
      </c>
      <c r="J1081" s="311" t="str">
        <f t="shared" si="1101"/>
        <v/>
      </c>
      <c r="K1081" s="311">
        <f t="shared" si="1109"/>
        <v>11.55</v>
      </c>
      <c r="L1081" s="310" t="str">
        <f t="shared" si="1110"/>
        <v/>
      </c>
      <c r="M1081" s="310" t="str">
        <f t="shared" si="1111"/>
        <v/>
      </c>
      <c r="N1081" s="311" t="str">
        <f t="shared" si="1112"/>
        <v/>
      </c>
    </row>
    <row r="1082" spans="1:14">
      <c r="A1082" s="253"/>
      <c r="B1082" s="254"/>
      <c r="C1082" s="299"/>
      <c r="D1082" s="299"/>
      <c r="E1082" s="300"/>
      <c r="F1082" s="300"/>
      <c r="G1082" s="302"/>
      <c r="H1082" s="310"/>
      <c r="I1082" s="311"/>
      <c r="J1082" s="311"/>
      <c r="K1082" s="311"/>
      <c r="L1082" s="310"/>
      <c r="M1082" s="310"/>
      <c r="N1082" s="311"/>
    </row>
    <row r="1083" spans="1:14" ht="16.5">
      <c r="A1083" s="303" t="s">
        <v>1591</v>
      </c>
      <c r="B1083" s="254"/>
      <c r="C1083" s="299"/>
      <c r="D1083" s="299"/>
      <c r="E1083" s="300"/>
      <c r="F1083" s="300"/>
      <c r="G1083" s="302"/>
      <c r="H1083" s="310"/>
      <c r="I1083" s="311"/>
      <c r="J1083" s="311"/>
      <c r="K1083" s="311"/>
      <c r="L1083" s="310"/>
      <c r="M1083" s="310"/>
      <c r="N1083" s="311"/>
    </row>
    <row r="1084" spans="1:14" s="294" customFormat="1">
      <c r="A1084" s="297" t="s">
        <v>1515</v>
      </c>
      <c r="B1084" s="298"/>
      <c r="C1084" s="299" t="s">
        <v>1519</v>
      </c>
      <c r="D1084" s="299">
        <v>2</v>
      </c>
      <c r="E1084" s="300">
        <v>6</v>
      </c>
      <c r="F1084" s="300">
        <f>E1084*D1084</f>
        <v>12</v>
      </c>
      <c r="G1084" s="299">
        <f>(5.06)+17*0.01*2</f>
        <v>5.4</v>
      </c>
      <c r="H1084" s="310" t="str">
        <f t="shared" ref="H1084:H1087" si="1113">IF(C1084="T6",G1084*F1084,"")</f>
        <v/>
      </c>
      <c r="I1084" s="311" t="str">
        <f t="shared" ref="I1084:I1087" si="1114">IF(C1084="T8",F1084*G1084,"")</f>
        <v/>
      </c>
      <c r="J1084" s="311">
        <f t="shared" ref="J1084:J1087" si="1115">IF(C1084="T10",F1084*G1084,"")</f>
        <v>64.8</v>
      </c>
      <c r="K1084" s="311" t="str">
        <f t="shared" ref="K1084:K1087" si="1116">IF(C1084="T12",F1084*G1084,"")</f>
        <v/>
      </c>
      <c r="L1084" s="310" t="str">
        <f t="shared" ref="L1084:L1087" si="1117">IF(C1084="T14",F1084*G1084,"")</f>
        <v/>
      </c>
      <c r="M1084" s="310" t="str">
        <f t="shared" ref="M1084:M1087" si="1118">IF(C1084="T16",G1084*F1084,"")</f>
        <v/>
      </c>
      <c r="N1084" s="311" t="str">
        <f t="shared" ref="N1084:N1087" si="1119">IF(C1084="T20",G1084*F1084,"")</f>
        <v/>
      </c>
    </row>
    <row r="1085" spans="1:14" s="294" customFormat="1">
      <c r="A1085" s="297" t="s">
        <v>1515</v>
      </c>
      <c r="B1085" s="298"/>
      <c r="C1085" s="299" t="s">
        <v>1516</v>
      </c>
      <c r="D1085" s="299">
        <v>2</v>
      </c>
      <c r="E1085" s="300">
        <v>3</v>
      </c>
      <c r="F1085" s="300">
        <f>E1085*D1085</f>
        <v>6</v>
      </c>
      <c r="G1085" s="299">
        <f>(5.06)+17*0.014*2</f>
        <v>5.5359999999999996</v>
      </c>
      <c r="H1085" s="310" t="str">
        <f t="shared" si="1113"/>
        <v/>
      </c>
      <c r="I1085" s="311" t="str">
        <f t="shared" si="1114"/>
        <v/>
      </c>
      <c r="J1085" s="311" t="str">
        <f t="shared" si="1115"/>
        <v/>
      </c>
      <c r="K1085" s="311">
        <f t="shared" si="1116"/>
        <v>33.22</v>
      </c>
      <c r="L1085" s="310" t="str">
        <f t="shared" si="1117"/>
        <v/>
      </c>
      <c r="M1085" s="310" t="str">
        <f t="shared" si="1118"/>
        <v/>
      </c>
      <c r="N1085" s="311" t="str">
        <f t="shared" si="1119"/>
        <v/>
      </c>
    </row>
    <row r="1086" spans="1:14" s="294" customFormat="1">
      <c r="A1086" s="297" t="s">
        <v>1494</v>
      </c>
      <c r="B1086" s="301"/>
      <c r="C1086" s="299" t="s">
        <v>1496</v>
      </c>
      <c r="D1086" s="299">
        <v>2</v>
      </c>
      <c r="E1086" s="300">
        <f>5.06/0.15</f>
        <v>34</v>
      </c>
      <c r="F1086" s="300">
        <f t="shared" ref="F1086:F1087" si="1120">E1086*D1086</f>
        <v>68</v>
      </c>
      <c r="G1086" s="302">
        <f>(0.2+0.2)*2+17*0.008*2</f>
        <v>1.07</v>
      </c>
      <c r="H1086" s="310" t="str">
        <f t="shared" si="1113"/>
        <v/>
      </c>
      <c r="I1086" s="311">
        <f t="shared" si="1114"/>
        <v>72.760000000000005</v>
      </c>
      <c r="J1086" s="311" t="str">
        <f t="shared" si="1115"/>
        <v/>
      </c>
      <c r="K1086" s="311" t="str">
        <f t="shared" si="1116"/>
        <v/>
      </c>
      <c r="L1086" s="310" t="str">
        <f t="shared" si="1117"/>
        <v/>
      </c>
      <c r="M1086" s="310" t="str">
        <f t="shared" si="1118"/>
        <v/>
      </c>
      <c r="N1086" s="311" t="str">
        <f t="shared" si="1119"/>
        <v/>
      </c>
    </row>
    <row r="1087" spans="1:14" s="294" customFormat="1">
      <c r="A1087" s="297" t="s">
        <v>1517</v>
      </c>
      <c r="B1087" s="301"/>
      <c r="C1087" s="299" t="s">
        <v>1496</v>
      </c>
      <c r="D1087" s="299">
        <v>2</v>
      </c>
      <c r="E1087" s="300">
        <v>34</v>
      </c>
      <c r="F1087" s="300">
        <f t="shared" si="1120"/>
        <v>68</v>
      </c>
      <c r="G1087" s="302">
        <f>(0.2*2)+17*0.008*2</f>
        <v>0.67</v>
      </c>
      <c r="H1087" s="310" t="str">
        <f t="shared" si="1113"/>
        <v/>
      </c>
      <c r="I1087" s="311">
        <f t="shared" si="1114"/>
        <v>45.56</v>
      </c>
      <c r="J1087" s="311" t="str">
        <f t="shared" si="1115"/>
        <v/>
      </c>
      <c r="K1087" s="311" t="str">
        <f t="shared" si="1116"/>
        <v/>
      </c>
      <c r="L1087" s="310" t="str">
        <f t="shared" si="1117"/>
        <v/>
      </c>
      <c r="M1087" s="310" t="str">
        <f t="shared" si="1118"/>
        <v/>
      </c>
      <c r="N1087" s="311" t="str">
        <f t="shared" si="1119"/>
        <v/>
      </c>
    </row>
    <row r="1088" spans="1:14" ht="16.5">
      <c r="A1088" s="305"/>
      <c r="B1088" s="254"/>
      <c r="C1088" s="299"/>
      <c r="D1088" s="299"/>
      <c r="E1088" s="300"/>
      <c r="F1088" s="300"/>
      <c r="G1088" s="302"/>
      <c r="H1088" s="310"/>
      <c r="I1088" s="311"/>
      <c r="J1088" s="311"/>
      <c r="K1088" s="311"/>
      <c r="L1088" s="310"/>
      <c r="M1088" s="310"/>
      <c r="N1088" s="311"/>
    </row>
    <row r="1089" spans="1:14" ht="16.5">
      <c r="A1089" s="303" t="s">
        <v>1590</v>
      </c>
      <c r="B1089" s="254"/>
      <c r="C1089" s="299"/>
      <c r="D1089" s="299"/>
      <c r="E1089" s="300"/>
      <c r="F1089" s="300"/>
      <c r="G1089" s="302"/>
      <c r="H1089" s="310"/>
      <c r="I1089" s="311"/>
      <c r="J1089" s="311"/>
      <c r="K1089" s="311"/>
      <c r="L1089" s="310"/>
      <c r="M1089" s="310"/>
      <c r="N1089" s="311"/>
    </row>
    <row r="1090" spans="1:14" s="294" customFormat="1">
      <c r="A1090" s="297" t="s">
        <v>1515</v>
      </c>
      <c r="B1090" s="298"/>
      <c r="C1090" s="299" t="s">
        <v>1519</v>
      </c>
      <c r="D1090" s="299">
        <v>2</v>
      </c>
      <c r="E1090" s="300">
        <v>3</v>
      </c>
      <c r="F1090" s="300">
        <f>E1090*D1090</f>
        <v>6</v>
      </c>
      <c r="G1090" s="299">
        <f>(1)+17*0.01*2</f>
        <v>1.34</v>
      </c>
      <c r="H1090" s="310" t="str">
        <f t="shared" ref="H1090:H1093" si="1121">IF(C1090="T6",G1090*F1090,"")</f>
        <v/>
      </c>
      <c r="I1090" s="311" t="str">
        <f t="shared" ref="I1090:I1093" si="1122">IF(C1090="T8",F1090*G1090,"")</f>
        <v/>
      </c>
      <c r="J1090" s="311">
        <f t="shared" ref="J1090:J1093" si="1123">IF(C1090="T10",F1090*G1090,"")</f>
        <v>8.0399999999999991</v>
      </c>
      <c r="K1090" s="311" t="str">
        <f t="shared" ref="K1090:K1093" si="1124">IF(C1090="T12",F1090*G1090,"")</f>
        <v/>
      </c>
      <c r="L1090" s="310" t="str">
        <f t="shared" ref="L1090:L1093" si="1125">IF(C1090="T14",F1090*G1090,"")</f>
        <v/>
      </c>
      <c r="M1090" s="310" t="str">
        <f t="shared" ref="M1090:M1093" si="1126">IF(C1090="T16",G1090*F1090,"")</f>
        <v/>
      </c>
      <c r="N1090" s="311" t="str">
        <f t="shared" ref="N1090:N1093" si="1127">IF(C1090="T20",G1090*F1090,"")</f>
        <v/>
      </c>
    </row>
    <row r="1091" spans="1:14" s="294" customFormat="1">
      <c r="A1091" s="297" t="s">
        <v>1515</v>
      </c>
      <c r="B1091" s="298"/>
      <c r="C1091" s="299" t="s">
        <v>1492</v>
      </c>
      <c r="D1091" s="299">
        <v>2</v>
      </c>
      <c r="E1091" s="300">
        <v>3</v>
      </c>
      <c r="F1091" s="300">
        <f>E1091*D1091</f>
        <v>6</v>
      </c>
      <c r="G1091" s="299">
        <f>(1)+17*0.014*2</f>
        <v>1.476</v>
      </c>
      <c r="H1091" s="310" t="str">
        <f t="shared" si="1121"/>
        <v/>
      </c>
      <c r="I1091" s="311" t="str">
        <f t="shared" si="1122"/>
        <v/>
      </c>
      <c r="J1091" s="311" t="str">
        <f t="shared" si="1123"/>
        <v/>
      </c>
      <c r="K1091" s="311" t="str">
        <f t="shared" si="1124"/>
        <v/>
      </c>
      <c r="L1091" s="310">
        <f t="shared" si="1125"/>
        <v>8.86</v>
      </c>
      <c r="M1091" s="310" t="str">
        <f t="shared" si="1126"/>
        <v/>
      </c>
      <c r="N1091" s="311" t="str">
        <f t="shared" si="1127"/>
        <v/>
      </c>
    </row>
    <row r="1092" spans="1:14" s="294" customFormat="1">
      <c r="A1092" s="297" t="s">
        <v>1494</v>
      </c>
      <c r="B1092" s="301"/>
      <c r="C1092" s="299" t="s">
        <v>1496</v>
      </c>
      <c r="D1092" s="299">
        <v>2</v>
      </c>
      <c r="E1092" s="300">
        <f>1/0.15</f>
        <v>7</v>
      </c>
      <c r="F1092" s="300">
        <f t="shared" ref="F1092:F1093" si="1128">E1092*D1092</f>
        <v>14</v>
      </c>
      <c r="G1092" s="302">
        <f>(0.2+0.15)*2+17*0.008*2</f>
        <v>0.97</v>
      </c>
      <c r="H1092" s="310" t="str">
        <f t="shared" si="1121"/>
        <v/>
      </c>
      <c r="I1092" s="311">
        <f t="shared" si="1122"/>
        <v>13.58</v>
      </c>
      <c r="J1092" s="311" t="str">
        <f t="shared" si="1123"/>
        <v/>
      </c>
      <c r="K1092" s="311" t="str">
        <f t="shared" si="1124"/>
        <v/>
      </c>
      <c r="L1092" s="310" t="str">
        <f t="shared" si="1125"/>
        <v/>
      </c>
      <c r="M1092" s="310" t="str">
        <f t="shared" si="1126"/>
        <v/>
      </c>
      <c r="N1092" s="311" t="str">
        <f t="shared" si="1127"/>
        <v/>
      </c>
    </row>
    <row r="1093" spans="1:14" s="294" customFormat="1">
      <c r="A1093" s="297" t="s">
        <v>1517</v>
      </c>
      <c r="B1093" s="301"/>
      <c r="C1093" s="299" t="s">
        <v>1496</v>
      </c>
      <c r="D1093" s="299">
        <v>2</v>
      </c>
      <c r="E1093" s="300">
        <v>7</v>
      </c>
      <c r="F1093" s="300">
        <f t="shared" si="1128"/>
        <v>14</v>
      </c>
      <c r="G1093" s="302">
        <f>(0.2*2)+17*0.008*2</f>
        <v>0.67</v>
      </c>
      <c r="H1093" s="310" t="str">
        <f t="shared" si="1121"/>
        <v/>
      </c>
      <c r="I1093" s="311">
        <f t="shared" si="1122"/>
        <v>9.3800000000000008</v>
      </c>
      <c r="J1093" s="311" t="str">
        <f t="shared" si="1123"/>
        <v/>
      </c>
      <c r="K1093" s="311" t="str">
        <f t="shared" si="1124"/>
        <v/>
      </c>
      <c r="L1093" s="310" t="str">
        <f t="shared" si="1125"/>
        <v/>
      </c>
      <c r="M1093" s="310" t="str">
        <f t="shared" si="1126"/>
        <v/>
      </c>
      <c r="N1093" s="311" t="str">
        <f t="shared" si="1127"/>
        <v/>
      </c>
    </row>
    <row r="1094" spans="1:14" ht="16.5">
      <c r="A1094" s="305"/>
      <c r="B1094" s="254"/>
      <c r="C1094" s="299"/>
      <c r="D1094" s="299"/>
      <c r="E1094" s="300"/>
      <c r="F1094" s="300"/>
      <c r="G1094" s="302"/>
      <c r="H1094" s="310"/>
      <c r="I1094" s="311"/>
      <c r="J1094" s="311"/>
      <c r="K1094" s="311"/>
      <c r="L1094" s="310"/>
      <c r="M1094" s="310"/>
      <c r="N1094" s="311"/>
    </row>
    <row r="1095" spans="1:14" ht="16.5">
      <c r="A1095" s="303" t="s">
        <v>1589</v>
      </c>
      <c r="B1095" s="254"/>
      <c r="C1095" s="299"/>
      <c r="D1095" s="299"/>
      <c r="E1095" s="300"/>
      <c r="F1095" s="300"/>
      <c r="G1095" s="302"/>
      <c r="H1095" s="310"/>
      <c r="I1095" s="311"/>
      <c r="J1095" s="311"/>
      <c r="K1095" s="311"/>
      <c r="L1095" s="310"/>
      <c r="M1095" s="310"/>
      <c r="N1095" s="311"/>
    </row>
    <row r="1096" spans="1:14" s="294" customFormat="1">
      <c r="A1096" s="297" t="s">
        <v>1515</v>
      </c>
      <c r="B1096" s="298"/>
      <c r="C1096" s="299" t="s">
        <v>1519</v>
      </c>
      <c r="D1096" s="299">
        <v>2</v>
      </c>
      <c r="E1096" s="300">
        <v>6</v>
      </c>
      <c r="F1096" s="300">
        <f>E1096*D1096</f>
        <v>12</v>
      </c>
      <c r="G1096" s="299">
        <f>(5.6)+17*0.01*2</f>
        <v>5.94</v>
      </c>
      <c r="H1096" s="310" t="str">
        <f t="shared" ref="H1096:H1099" si="1129">IF(C1096="T6",G1096*F1096,"")</f>
        <v/>
      </c>
      <c r="I1096" s="311" t="str">
        <f t="shared" ref="I1096:I1099" si="1130">IF(C1096="T8",F1096*G1096,"")</f>
        <v/>
      </c>
      <c r="J1096" s="311">
        <f t="shared" ref="J1096:J1099" si="1131">IF(C1096="T10",F1096*G1096,"")</f>
        <v>71.28</v>
      </c>
      <c r="K1096" s="311" t="str">
        <f t="shared" ref="K1096:K1099" si="1132">IF(C1096="T12",F1096*G1096,"")</f>
        <v/>
      </c>
      <c r="L1096" s="310" t="str">
        <f t="shared" ref="L1096:L1099" si="1133">IF(C1096="T14",F1096*G1096,"")</f>
        <v/>
      </c>
      <c r="M1096" s="310" t="str">
        <f t="shared" ref="M1096:M1099" si="1134">IF(C1096="T16",G1096*F1096,"")</f>
        <v/>
      </c>
      <c r="N1096" s="311" t="str">
        <f t="shared" ref="N1096:N1099" si="1135">IF(C1096="T20",G1096*F1096,"")</f>
        <v/>
      </c>
    </row>
    <row r="1097" spans="1:14" s="294" customFormat="1">
      <c r="A1097" s="297" t="s">
        <v>1515</v>
      </c>
      <c r="B1097" s="298"/>
      <c r="C1097" s="299" t="s">
        <v>1516</v>
      </c>
      <c r="D1097" s="299">
        <v>2</v>
      </c>
      <c r="E1097" s="300">
        <v>3</v>
      </c>
      <c r="F1097" s="300">
        <f>E1097*D1097</f>
        <v>6</v>
      </c>
      <c r="G1097" s="299">
        <f>(5.6)+17*0.014*2</f>
        <v>6.0759999999999996</v>
      </c>
      <c r="H1097" s="310" t="str">
        <f t="shared" si="1129"/>
        <v/>
      </c>
      <c r="I1097" s="311" t="str">
        <f t="shared" si="1130"/>
        <v/>
      </c>
      <c r="J1097" s="311" t="str">
        <f t="shared" si="1131"/>
        <v/>
      </c>
      <c r="K1097" s="311">
        <f t="shared" si="1132"/>
        <v>36.46</v>
      </c>
      <c r="L1097" s="310" t="str">
        <f t="shared" si="1133"/>
        <v/>
      </c>
      <c r="M1097" s="310" t="str">
        <f t="shared" si="1134"/>
        <v/>
      </c>
      <c r="N1097" s="311" t="str">
        <f t="shared" si="1135"/>
        <v/>
      </c>
    </row>
    <row r="1098" spans="1:14" s="294" customFormat="1">
      <c r="A1098" s="297" t="s">
        <v>1494</v>
      </c>
      <c r="B1098" s="301"/>
      <c r="C1098" s="299" t="s">
        <v>1496</v>
      </c>
      <c r="D1098" s="299">
        <v>2</v>
      </c>
      <c r="E1098" s="300">
        <f>5.6/0.15</f>
        <v>37</v>
      </c>
      <c r="F1098" s="300">
        <f t="shared" ref="F1098:F1099" si="1136">E1098*D1098</f>
        <v>74</v>
      </c>
      <c r="G1098" s="302">
        <f>(0.2+0.2)*2+17*0.008*2</f>
        <v>1.07</v>
      </c>
      <c r="H1098" s="310" t="str">
        <f t="shared" si="1129"/>
        <v/>
      </c>
      <c r="I1098" s="311">
        <f t="shared" si="1130"/>
        <v>79.180000000000007</v>
      </c>
      <c r="J1098" s="311" t="str">
        <f t="shared" si="1131"/>
        <v/>
      </c>
      <c r="K1098" s="311" t="str">
        <f t="shared" si="1132"/>
        <v/>
      </c>
      <c r="L1098" s="310" t="str">
        <f t="shared" si="1133"/>
        <v/>
      </c>
      <c r="M1098" s="310" t="str">
        <f t="shared" si="1134"/>
        <v/>
      </c>
      <c r="N1098" s="311" t="str">
        <f t="shared" si="1135"/>
        <v/>
      </c>
    </row>
    <row r="1099" spans="1:14" s="294" customFormat="1">
      <c r="A1099" s="297" t="s">
        <v>1517</v>
      </c>
      <c r="B1099" s="301"/>
      <c r="C1099" s="299" t="s">
        <v>1496</v>
      </c>
      <c r="D1099" s="299">
        <v>2</v>
      </c>
      <c r="E1099" s="300">
        <v>37</v>
      </c>
      <c r="F1099" s="300">
        <f t="shared" si="1136"/>
        <v>74</v>
      </c>
      <c r="G1099" s="302">
        <f>(0.2*2)+17*0.008*2</f>
        <v>0.67</v>
      </c>
      <c r="H1099" s="310" t="str">
        <f t="shared" si="1129"/>
        <v/>
      </c>
      <c r="I1099" s="311">
        <f t="shared" si="1130"/>
        <v>49.58</v>
      </c>
      <c r="J1099" s="311" t="str">
        <f t="shared" si="1131"/>
        <v/>
      </c>
      <c r="K1099" s="311" t="str">
        <f t="shared" si="1132"/>
        <v/>
      </c>
      <c r="L1099" s="310" t="str">
        <f t="shared" si="1133"/>
        <v/>
      </c>
      <c r="M1099" s="310" t="str">
        <f t="shared" si="1134"/>
        <v/>
      </c>
      <c r="N1099" s="311" t="str">
        <f t="shared" si="1135"/>
        <v/>
      </c>
    </row>
    <row r="1100" spans="1:14" ht="16.5">
      <c r="A1100" s="305"/>
      <c r="B1100" s="254"/>
      <c r="C1100" s="299"/>
      <c r="D1100" s="299"/>
      <c r="E1100" s="300"/>
      <c r="F1100" s="300"/>
      <c r="G1100" s="302"/>
      <c r="H1100" s="310"/>
      <c r="I1100" s="311"/>
      <c r="J1100" s="311"/>
      <c r="K1100" s="311"/>
      <c r="L1100" s="310"/>
      <c r="M1100" s="310"/>
      <c r="N1100" s="311"/>
    </row>
    <row r="1101" spans="1:14" ht="16.5">
      <c r="A1101" s="303" t="s">
        <v>1524</v>
      </c>
      <c r="B1101" s="254"/>
      <c r="C1101" s="299"/>
      <c r="D1101" s="299"/>
      <c r="E1101" s="300"/>
      <c r="F1101" s="300"/>
      <c r="G1101" s="302"/>
      <c r="H1101" s="310"/>
      <c r="I1101" s="311"/>
      <c r="J1101" s="311"/>
      <c r="K1101" s="311"/>
      <c r="L1101" s="310"/>
      <c r="M1101" s="310"/>
      <c r="N1101" s="311"/>
    </row>
    <row r="1102" spans="1:14" s="294" customFormat="1">
      <c r="A1102" s="297" t="s">
        <v>1515</v>
      </c>
      <c r="B1102" s="298"/>
      <c r="C1102" s="299" t="s">
        <v>1519</v>
      </c>
      <c r="D1102" s="299">
        <v>2</v>
      </c>
      <c r="E1102" s="300">
        <v>3</v>
      </c>
      <c r="F1102" s="300">
        <f>E1102*D1102</f>
        <v>6</v>
      </c>
      <c r="G1102" s="299">
        <f>(1)+17*0.01*2</f>
        <v>1.34</v>
      </c>
      <c r="H1102" s="310" t="str">
        <f t="shared" ref="H1102:H1105" si="1137">IF(C1102="T6",G1102*F1102,"")</f>
        <v/>
      </c>
      <c r="I1102" s="311" t="str">
        <f t="shared" ref="I1102:I1105" si="1138">IF(C1102="T8",F1102*G1102,"")</f>
        <v/>
      </c>
      <c r="J1102" s="311">
        <f t="shared" ref="J1102:J1105" si="1139">IF(C1102="T10",F1102*G1102,"")</f>
        <v>8.0399999999999991</v>
      </c>
      <c r="K1102" s="311" t="str">
        <f t="shared" ref="K1102:K1105" si="1140">IF(C1102="T12",F1102*G1102,"")</f>
        <v/>
      </c>
      <c r="L1102" s="310" t="str">
        <f t="shared" ref="L1102:L1105" si="1141">IF(C1102="T14",F1102*G1102,"")</f>
        <v/>
      </c>
      <c r="M1102" s="310" t="str">
        <f t="shared" ref="M1102:M1105" si="1142">IF(C1102="T16",G1102*F1102,"")</f>
        <v/>
      </c>
      <c r="N1102" s="311" t="str">
        <f t="shared" ref="N1102:N1105" si="1143">IF(C1102="T20",G1102*F1102,"")</f>
        <v/>
      </c>
    </row>
    <row r="1103" spans="1:14" s="294" customFormat="1">
      <c r="A1103" s="297" t="s">
        <v>1515</v>
      </c>
      <c r="B1103" s="298"/>
      <c r="C1103" s="299" t="s">
        <v>1492</v>
      </c>
      <c r="D1103" s="299">
        <v>2</v>
      </c>
      <c r="E1103" s="300">
        <v>3</v>
      </c>
      <c r="F1103" s="300">
        <f>E1103*D1103</f>
        <v>6</v>
      </c>
      <c r="G1103" s="299">
        <f>(1)+17*0.014*2</f>
        <v>1.476</v>
      </c>
      <c r="H1103" s="310" t="str">
        <f t="shared" si="1137"/>
        <v/>
      </c>
      <c r="I1103" s="311" t="str">
        <f t="shared" si="1138"/>
        <v/>
      </c>
      <c r="J1103" s="311" t="str">
        <f t="shared" si="1139"/>
        <v/>
      </c>
      <c r="K1103" s="311" t="str">
        <f t="shared" si="1140"/>
        <v/>
      </c>
      <c r="L1103" s="310">
        <f t="shared" si="1141"/>
        <v>8.86</v>
      </c>
      <c r="M1103" s="310" t="str">
        <f t="shared" si="1142"/>
        <v/>
      </c>
      <c r="N1103" s="311" t="str">
        <f t="shared" si="1143"/>
        <v/>
      </c>
    </row>
    <row r="1104" spans="1:14" s="294" customFormat="1">
      <c r="A1104" s="297" t="s">
        <v>1494</v>
      </c>
      <c r="B1104" s="301"/>
      <c r="C1104" s="299" t="s">
        <v>1496</v>
      </c>
      <c r="D1104" s="299">
        <v>2</v>
      </c>
      <c r="E1104" s="300">
        <f>1/0.15</f>
        <v>7</v>
      </c>
      <c r="F1104" s="300">
        <f t="shared" ref="F1104:F1105" si="1144">E1104*D1104</f>
        <v>14</v>
      </c>
      <c r="G1104" s="302">
        <f>(0.2+0.15)*2+17*0.008*2</f>
        <v>0.97</v>
      </c>
      <c r="H1104" s="310" t="str">
        <f t="shared" si="1137"/>
        <v/>
      </c>
      <c r="I1104" s="311">
        <f t="shared" si="1138"/>
        <v>13.58</v>
      </c>
      <c r="J1104" s="311" t="str">
        <f t="shared" si="1139"/>
        <v/>
      </c>
      <c r="K1104" s="311" t="str">
        <f t="shared" si="1140"/>
        <v/>
      </c>
      <c r="L1104" s="310" t="str">
        <f t="shared" si="1141"/>
        <v/>
      </c>
      <c r="M1104" s="310" t="str">
        <f t="shared" si="1142"/>
        <v/>
      </c>
      <c r="N1104" s="311" t="str">
        <f t="shared" si="1143"/>
        <v/>
      </c>
    </row>
    <row r="1105" spans="1:14" s="294" customFormat="1">
      <c r="A1105" s="297" t="s">
        <v>1517</v>
      </c>
      <c r="B1105" s="301"/>
      <c r="C1105" s="299" t="s">
        <v>1496</v>
      </c>
      <c r="D1105" s="299">
        <v>2</v>
      </c>
      <c r="E1105" s="300">
        <v>7</v>
      </c>
      <c r="F1105" s="300">
        <f t="shared" si="1144"/>
        <v>14</v>
      </c>
      <c r="G1105" s="302">
        <f>(0.2*2)+17*0.008*2</f>
        <v>0.67</v>
      </c>
      <c r="H1105" s="310" t="str">
        <f t="shared" si="1137"/>
        <v/>
      </c>
      <c r="I1105" s="311">
        <f t="shared" si="1138"/>
        <v>9.3800000000000008</v>
      </c>
      <c r="J1105" s="311" t="str">
        <f t="shared" si="1139"/>
        <v/>
      </c>
      <c r="K1105" s="311" t="str">
        <f t="shared" si="1140"/>
        <v/>
      </c>
      <c r="L1105" s="310" t="str">
        <f t="shared" si="1141"/>
        <v/>
      </c>
      <c r="M1105" s="310" t="str">
        <f t="shared" si="1142"/>
        <v/>
      </c>
      <c r="N1105" s="311" t="str">
        <f t="shared" si="1143"/>
        <v/>
      </c>
    </row>
    <row r="1106" spans="1:14" ht="16.5">
      <c r="A1106" s="305"/>
      <c r="B1106" s="254"/>
      <c r="C1106" s="299"/>
      <c r="D1106" s="299"/>
      <c r="E1106" s="300"/>
      <c r="F1106" s="300"/>
      <c r="G1106" s="302"/>
      <c r="H1106" s="310"/>
      <c r="I1106" s="311"/>
      <c r="J1106" s="311"/>
      <c r="K1106" s="311"/>
      <c r="L1106" s="310"/>
      <c r="M1106" s="310"/>
      <c r="N1106" s="311"/>
    </row>
    <row r="1107" spans="1:14" ht="16.5">
      <c r="A1107" s="303" t="s">
        <v>1589</v>
      </c>
      <c r="B1107" s="254"/>
      <c r="C1107" s="299"/>
      <c r="D1107" s="299"/>
      <c r="E1107" s="300"/>
      <c r="F1107" s="300"/>
      <c r="G1107" s="302"/>
      <c r="H1107" s="310"/>
      <c r="I1107" s="311"/>
      <c r="J1107" s="311"/>
      <c r="K1107" s="311"/>
      <c r="L1107" s="310"/>
      <c r="M1107" s="310"/>
      <c r="N1107" s="311"/>
    </row>
    <row r="1108" spans="1:14" s="294" customFormat="1">
      <c r="A1108" s="297" t="s">
        <v>1515</v>
      </c>
      <c r="B1108" s="298"/>
      <c r="C1108" s="299" t="s">
        <v>1519</v>
      </c>
      <c r="D1108" s="299">
        <v>2</v>
      </c>
      <c r="E1108" s="300">
        <v>6</v>
      </c>
      <c r="F1108" s="300">
        <f>E1108*D1108</f>
        <v>12</v>
      </c>
      <c r="G1108" s="299">
        <f>(4.78)+17*0.01*2</f>
        <v>5.12</v>
      </c>
      <c r="H1108" s="310" t="str">
        <f t="shared" ref="H1108:H1111" si="1145">IF(C1108="T6",G1108*F1108,"")</f>
        <v/>
      </c>
      <c r="I1108" s="311" t="str">
        <f t="shared" ref="I1108:I1111" si="1146">IF(C1108="T8",F1108*G1108,"")</f>
        <v/>
      </c>
      <c r="J1108" s="311">
        <f t="shared" ref="J1108:J1111" si="1147">IF(C1108="T10",F1108*G1108,"")</f>
        <v>61.44</v>
      </c>
      <c r="K1108" s="311" t="str">
        <f t="shared" ref="K1108:K1111" si="1148">IF(C1108="T12",F1108*G1108,"")</f>
        <v/>
      </c>
      <c r="L1108" s="310" t="str">
        <f t="shared" ref="L1108:L1111" si="1149">IF(C1108="T14",F1108*G1108,"")</f>
        <v/>
      </c>
      <c r="M1108" s="310" t="str">
        <f t="shared" ref="M1108:M1111" si="1150">IF(C1108="T16",G1108*F1108,"")</f>
        <v/>
      </c>
      <c r="N1108" s="311" t="str">
        <f t="shared" ref="N1108:N1111" si="1151">IF(C1108="T20",G1108*F1108,"")</f>
        <v/>
      </c>
    </row>
    <row r="1109" spans="1:14" s="294" customFormat="1">
      <c r="A1109" s="297" t="s">
        <v>1515</v>
      </c>
      <c r="B1109" s="298"/>
      <c r="C1109" s="299" t="s">
        <v>1516</v>
      </c>
      <c r="D1109" s="299">
        <v>2</v>
      </c>
      <c r="E1109" s="300">
        <v>3</v>
      </c>
      <c r="F1109" s="300">
        <f>E1109*D1109</f>
        <v>6</v>
      </c>
      <c r="G1109" s="299">
        <f>(4.78)+17*0.014*2</f>
        <v>5.2560000000000002</v>
      </c>
      <c r="H1109" s="310" t="str">
        <f t="shared" si="1145"/>
        <v/>
      </c>
      <c r="I1109" s="311" t="str">
        <f t="shared" si="1146"/>
        <v/>
      </c>
      <c r="J1109" s="311" t="str">
        <f t="shared" si="1147"/>
        <v/>
      </c>
      <c r="K1109" s="311">
        <f t="shared" si="1148"/>
        <v>31.54</v>
      </c>
      <c r="L1109" s="310" t="str">
        <f t="shared" si="1149"/>
        <v/>
      </c>
      <c r="M1109" s="310" t="str">
        <f t="shared" si="1150"/>
        <v/>
      </c>
      <c r="N1109" s="311" t="str">
        <f t="shared" si="1151"/>
        <v/>
      </c>
    </row>
    <row r="1110" spans="1:14" s="294" customFormat="1">
      <c r="A1110" s="297" t="s">
        <v>1494</v>
      </c>
      <c r="B1110" s="301"/>
      <c r="C1110" s="299" t="s">
        <v>1496</v>
      </c>
      <c r="D1110" s="299">
        <v>2</v>
      </c>
      <c r="E1110" s="300">
        <f>4.75/0.15</f>
        <v>32</v>
      </c>
      <c r="F1110" s="300">
        <f t="shared" ref="F1110:F1111" si="1152">E1110*D1110</f>
        <v>64</v>
      </c>
      <c r="G1110" s="302">
        <f>(0.2+0.2)*2+17*0.008*2</f>
        <v>1.07</v>
      </c>
      <c r="H1110" s="310" t="str">
        <f t="shared" si="1145"/>
        <v/>
      </c>
      <c r="I1110" s="311">
        <f t="shared" si="1146"/>
        <v>68.48</v>
      </c>
      <c r="J1110" s="311" t="str">
        <f t="shared" si="1147"/>
        <v/>
      </c>
      <c r="K1110" s="311" t="str">
        <f t="shared" si="1148"/>
        <v/>
      </c>
      <c r="L1110" s="310" t="str">
        <f t="shared" si="1149"/>
        <v/>
      </c>
      <c r="M1110" s="310" t="str">
        <f t="shared" si="1150"/>
        <v/>
      </c>
      <c r="N1110" s="311" t="str">
        <f t="shared" si="1151"/>
        <v/>
      </c>
    </row>
    <row r="1111" spans="1:14" s="294" customFormat="1">
      <c r="A1111" s="297" t="s">
        <v>1517</v>
      </c>
      <c r="B1111" s="301"/>
      <c r="C1111" s="299" t="s">
        <v>1496</v>
      </c>
      <c r="D1111" s="299">
        <v>2</v>
      </c>
      <c r="E1111" s="300">
        <v>32</v>
      </c>
      <c r="F1111" s="300">
        <f t="shared" si="1152"/>
        <v>64</v>
      </c>
      <c r="G1111" s="302">
        <f>(0.2*2)+17*0.008*2</f>
        <v>0.67</v>
      </c>
      <c r="H1111" s="310" t="str">
        <f t="shared" si="1145"/>
        <v/>
      </c>
      <c r="I1111" s="311">
        <f t="shared" si="1146"/>
        <v>42.88</v>
      </c>
      <c r="J1111" s="311" t="str">
        <f t="shared" si="1147"/>
        <v/>
      </c>
      <c r="K1111" s="311" t="str">
        <f t="shared" si="1148"/>
        <v/>
      </c>
      <c r="L1111" s="310" t="str">
        <f t="shared" si="1149"/>
        <v/>
      </c>
      <c r="M1111" s="310" t="str">
        <f t="shared" si="1150"/>
        <v/>
      </c>
      <c r="N1111" s="311" t="str">
        <f t="shared" si="1151"/>
        <v/>
      </c>
    </row>
    <row r="1112" spans="1:14" ht="16.5">
      <c r="A1112" s="305"/>
      <c r="B1112" s="254"/>
      <c r="C1112" s="299"/>
      <c r="D1112" s="299"/>
      <c r="E1112" s="300"/>
      <c r="F1112" s="300"/>
      <c r="G1112" s="302"/>
      <c r="H1112" s="310"/>
      <c r="I1112" s="311"/>
      <c r="J1112" s="311"/>
      <c r="K1112" s="311"/>
      <c r="L1112" s="310"/>
      <c r="M1112" s="310"/>
      <c r="N1112" s="311"/>
    </row>
    <row r="1113" spans="1:14" ht="16.5">
      <c r="A1113" s="303" t="s">
        <v>1524</v>
      </c>
      <c r="B1113" s="254"/>
      <c r="C1113" s="299"/>
      <c r="D1113" s="299"/>
      <c r="E1113" s="300"/>
      <c r="F1113" s="300"/>
      <c r="G1113" s="302"/>
      <c r="H1113" s="310"/>
      <c r="I1113" s="311"/>
      <c r="J1113" s="311"/>
      <c r="K1113" s="311"/>
      <c r="L1113" s="310"/>
      <c r="M1113" s="310"/>
      <c r="N1113" s="311"/>
    </row>
    <row r="1114" spans="1:14" s="294" customFormat="1">
      <c r="A1114" s="297" t="s">
        <v>1515</v>
      </c>
      <c r="B1114" s="298"/>
      <c r="C1114" s="299" t="s">
        <v>1519</v>
      </c>
      <c r="D1114" s="299">
        <v>2</v>
      </c>
      <c r="E1114" s="300">
        <v>3</v>
      </c>
      <c r="F1114" s="300">
        <f>E1114*D1114</f>
        <v>6</v>
      </c>
      <c r="G1114" s="299">
        <f>(1)+17*0.01*2</f>
        <v>1.34</v>
      </c>
      <c r="H1114" s="310" t="str">
        <f t="shared" ref="H1114:H1117" si="1153">IF(C1114="T6",G1114*F1114,"")</f>
        <v/>
      </c>
      <c r="I1114" s="311" t="str">
        <f t="shared" ref="I1114:I1117" si="1154">IF(C1114="T8",F1114*G1114,"")</f>
        <v/>
      </c>
      <c r="J1114" s="311">
        <f t="shared" ref="J1114:J1117" si="1155">IF(C1114="T10",F1114*G1114,"")</f>
        <v>8.0399999999999991</v>
      </c>
      <c r="K1114" s="311" t="str">
        <f t="shared" ref="K1114:K1117" si="1156">IF(C1114="T12",F1114*G1114,"")</f>
        <v/>
      </c>
      <c r="L1114" s="310" t="str">
        <f t="shared" ref="L1114:L1117" si="1157">IF(C1114="T14",F1114*G1114,"")</f>
        <v/>
      </c>
      <c r="M1114" s="310" t="str">
        <f t="shared" ref="M1114:M1117" si="1158">IF(C1114="T16",G1114*F1114,"")</f>
        <v/>
      </c>
      <c r="N1114" s="311" t="str">
        <f t="shared" ref="N1114:N1117" si="1159">IF(C1114="T20",G1114*F1114,"")</f>
        <v/>
      </c>
    </row>
    <row r="1115" spans="1:14" s="294" customFormat="1">
      <c r="A1115" s="297" t="s">
        <v>1515</v>
      </c>
      <c r="B1115" s="298"/>
      <c r="C1115" s="299" t="s">
        <v>1492</v>
      </c>
      <c r="D1115" s="299">
        <v>2</v>
      </c>
      <c r="E1115" s="300">
        <v>3</v>
      </c>
      <c r="F1115" s="300">
        <f>E1115*D1115</f>
        <v>6</v>
      </c>
      <c r="G1115" s="299">
        <f>(1)+17*0.014*2</f>
        <v>1.476</v>
      </c>
      <c r="H1115" s="310" t="str">
        <f t="shared" si="1153"/>
        <v/>
      </c>
      <c r="I1115" s="311" t="str">
        <f t="shared" si="1154"/>
        <v/>
      </c>
      <c r="J1115" s="311" t="str">
        <f t="shared" si="1155"/>
        <v/>
      </c>
      <c r="K1115" s="311" t="str">
        <f t="shared" si="1156"/>
        <v/>
      </c>
      <c r="L1115" s="310">
        <f t="shared" si="1157"/>
        <v>8.86</v>
      </c>
      <c r="M1115" s="310" t="str">
        <f t="shared" si="1158"/>
        <v/>
      </c>
      <c r="N1115" s="311" t="str">
        <f t="shared" si="1159"/>
        <v/>
      </c>
    </row>
    <row r="1116" spans="1:14" s="294" customFormat="1">
      <c r="A1116" s="297" t="s">
        <v>1494</v>
      </c>
      <c r="B1116" s="301"/>
      <c r="C1116" s="299" t="s">
        <v>1496</v>
      </c>
      <c r="D1116" s="299">
        <v>2</v>
      </c>
      <c r="E1116" s="300">
        <f>1/0.15</f>
        <v>7</v>
      </c>
      <c r="F1116" s="300">
        <f t="shared" ref="F1116:F1117" si="1160">E1116*D1116</f>
        <v>14</v>
      </c>
      <c r="G1116" s="302">
        <f>(0.2+0.15)*2+17*0.008*2</f>
        <v>0.97</v>
      </c>
      <c r="H1116" s="310" t="str">
        <f t="shared" si="1153"/>
        <v/>
      </c>
      <c r="I1116" s="311">
        <f t="shared" si="1154"/>
        <v>13.58</v>
      </c>
      <c r="J1116" s="311" t="str">
        <f t="shared" si="1155"/>
        <v/>
      </c>
      <c r="K1116" s="311" t="str">
        <f t="shared" si="1156"/>
        <v/>
      </c>
      <c r="L1116" s="310" t="str">
        <f t="shared" si="1157"/>
        <v/>
      </c>
      <c r="M1116" s="310" t="str">
        <f t="shared" si="1158"/>
        <v/>
      </c>
      <c r="N1116" s="311" t="str">
        <f t="shared" si="1159"/>
        <v/>
      </c>
    </row>
    <row r="1117" spans="1:14" s="294" customFormat="1">
      <c r="A1117" s="297" t="s">
        <v>1517</v>
      </c>
      <c r="B1117" s="301"/>
      <c r="C1117" s="299" t="s">
        <v>1496</v>
      </c>
      <c r="D1117" s="299">
        <v>2</v>
      </c>
      <c r="E1117" s="300">
        <v>7</v>
      </c>
      <c r="F1117" s="300">
        <f t="shared" si="1160"/>
        <v>14</v>
      </c>
      <c r="G1117" s="302">
        <f>(0.2*2)+17*0.008*2</f>
        <v>0.67</v>
      </c>
      <c r="H1117" s="310" t="str">
        <f t="shared" si="1153"/>
        <v/>
      </c>
      <c r="I1117" s="311">
        <f t="shared" si="1154"/>
        <v>9.3800000000000008</v>
      </c>
      <c r="J1117" s="311" t="str">
        <f t="shared" si="1155"/>
        <v/>
      </c>
      <c r="K1117" s="311" t="str">
        <f t="shared" si="1156"/>
        <v/>
      </c>
      <c r="L1117" s="310" t="str">
        <f t="shared" si="1157"/>
        <v/>
      </c>
      <c r="M1117" s="310" t="str">
        <f t="shared" si="1158"/>
        <v/>
      </c>
      <c r="N1117" s="311" t="str">
        <f t="shared" si="1159"/>
        <v/>
      </c>
    </row>
    <row r="1118" spans="1:14">
      <c r="A1118" s="253"/>
      <c r="B1118" s="254"/>
      <c r="C1118" s="299"/>
      <c r="D1118" s="299"/>
      <c r="E1118" s="300"/>
      <c r="F1118" s="300"/>
      <c r="G1118" s="302"/>
      <c r="H1118" s="310"/>
      <c r="I1118" s="311"/>
      <c r="J1118" s="311"/>
      <c r="K1118" s="311"/>
      <c r="L1118" s="310"/>
      <c r="M1118" s="310"/>
      <c r="N1118" s="311"/>
    </row>
    <row r="1119" spans="1:14" ht="16.5">
      <c r="A1119" s="303" t="s">
        <v>1588</v>
      </c>
      <c r="B1119" s="254"/>
      <c r="C1119" s="299"/>
      <c r="D1119" s="299"/>
      <c r="E1119" s="300"/>
      <c r="F1119" s="300"/>
      <c r="G1119" s="302"/>
      <c r="H1119" s="310"/>
      <c r="I1119" s="311"/>
      <c r="J1119" s="311"/>
      <c r="K1119" s="311"/>
      <c r="L1119" s="310"/>
      <c r="M1119" s="310"/>
      <c r="N1119" s="311"/>
    </row>
    <row r="1120" spans="1:14" s="294" customFormat="1">
      <c r="A1120" s="297" t="s">
        <v>1515</v>
      </c>
      <c r="B1120" s="298"/>
      <c r="C1120" s="299" t="s">
        <v>1519</v>
      </c>
      <c r="D1120" s="299">
        <v>1</v>
      </c>
      <c r="E1120" s="300">
        <v>3</v>
      </c>
      <c r="F1120" s="300">
        <f>E1120*D1120</f>
        <v>3</v>
      </c>
      <c r="G1120" s="299">
        <f>(2.45)+17*0.01*2</f>
        <v>2.79</v>
      </c>
      <c r="H1120" s="310" t="str">
        <f t="shared" ref="H1120:H1121" si="1161">IF(C1120="T6",G1120*F1120,"")</f>
        <v/>
      </c>
      <c r="I1120" s="311" t="str">
        <f t="shared" ref="I1120:I1121" si="1162">IF(C1120="T8",F1120*G1120,"")</f>
        <v/>
      </c>
      <c r="J1120" s="311">
        <f t="shared" ref="J1120:J1125" si="1163">IF(C1120="T10",F1120*G1120,"")</f>
        <v>8.3699999999999992</v>
      </c>
      <c r="K1120" s="311" t="str">
        <f t="shared" ref="K1120:K1121" si="1164">IF(C1120="T12",F1120*G1120,"")</f>
        <v/>
      </c>
      <c r="L1120" s="310" t="str">
        <f t="shared" ref="L1120:L1121" si="1165">IF(C1120="T14",F1120*G1120,"")</f>
        <v/>
      </c>
      <c r="M1120" s="310" t="str">
        <f t="shared" ref="M1120:M1121" si="1166">IF(C1120="T16",G1120*F1120,"")</f>
        <v/>
      </c>
      <c r="N1120" s="311" t="str">
        <f t="shared" ref="N1120:N1121" si="1167">IF(C1120="T20",G1120*F1120,"")</f>
        <v/>
      </c>
    </row>
    <row r="1121" spans="1:14" s="294" customFormat="1">
      <c r="A1121" s="297" t="s">
        <v>1515</v>
      </c>
      <c r="B1121" s="298"/>
      <c r="C1121" s="299" t="s">
        <v>1516</v>
      </c>
      <c r="D1121" s="299">
        <v>1</v>
      </c>
      <c r="E1121" s="300">
        <v>3</v>
      </c>
      <c r="F1121" s="300">
        <f>E1121*D1121</f>
        <v>3</v>
      </c>
      <c r="G1121" s="302">
        <f>(2.45)+17*0.012*2</f>
        <v>2.86</v>
      </c>
      <c r="H1121" s="310" t="str">
        <f t="shared" si="1161"/>
        <v/>
      </c>
      <c r="I1121" s="311" t="str">
        <f t="shared" si="1162"/>
        <v/>
      </c>
      <c r="J1121" s="311" t="str">
        <f t="shared" si="1163"/>
        <v/>
      </c>
      <c r="K1121" s="311">
        <f t="shared" si="1164"/>
        <v>8.58</v>
      </c>
      <c r="L1121" s="310" t="str">
        <f t="shared" si="1165"/>
        <v/>
      </c>
      <c r="M1121" s="310" t="str">
        <f t="shared" si="1166"/>
        <v/>
      </c>
      <c r="N1121" s="311" t="str">
        <f t="shared" si="1167"/>
        <v/>
      </c>
    </row>
    <row r="1122" spans="1:14" s="294" customFormat="1">
      <c r="A1122" s="297" t="s">
        <v>1494</v>
      </c>
      <c r="B1122" s="301"/>
      <c r="C1122" s="299" t="s">
        <v>1496</v>
      </c>
      <c r="D1122" s="299">
        <v>1</v>
      </c>
      <c r="E1122" s="300">
        <f>8+9+8</f>
        <v>25</v>
      </c>
      <c r="F1122" s="300">
        <f t="shared" ref="F1122:F1123" si="1168">E1122*D1122</f>
        <v>25</v>
      </c>
      <c r="G1122" s="302">
        <f>(0.2+0.25)*2+17*0.008*2</f>
        <v>1.17</v>
      </c>
      <c r="H1122" s="310" t="str">
        <f t="shared" ref="H1122:H1125" si="1169">IF(C1122="T6",G1122*F1122,"")</f>
        <v/>
      </c>
      <c r="I1122" s="311">
        <f t="shared" ref="I1122:I1125" si="1170">IF(C1122="T8",F1122*G1122,"")</f>
        <v>29.25</v>
      </c>
      <c r="J1122" s="311" t="str">
        <f t="shared" si="1163"/>
        <v/>
      </c>
      <c r="K1122" s="311" t="str">
        <f t="shared" ref="K1122:K1125" si="1171">IF(C1122="T12",F1122*G1122,"")</f>
        <v/>
      </c>
      <c r="L1122" s="310" t="str">
        <f t="shared" ref="L1122:L1125" si="1172">IF(C1122="T14",F1122*G1122,"")</f>
        <v/>
      </c>
      <c r="M1122" s="310" t="str">
        <f t="shared" ref="M1122:M1125" si="1173">IF(C1122="T16",G1122*F1122,"")</f>
        <v/>
      </c>
      <c r="N1122" s="311" t="str">
        <f t="shared" ref="N1122:N1125" si="1174">IF(C1122="T20",G1122*F1122,"")</f>
        <v/>
      </c>
    </row>
    <row r="1123" spans="1:14" s="294" customFormat="1">
      <c r="A1123" s="297" t="s">
        <v>1517</v>
      </c>
      <c r="B1123" s="301"/>
      <c r="C1123" s="299" t="s">
        <v>1496</v>
      </c>
      <c r="D1123" s="299">
        <v>1</v>
      </c>
      <c r="E1123" s="300">
        <v>25</v>
      </c>
      <c r="F1123" s="300">
        <f t="shared" si="1168"/>
        <v>25</v>
      </c>
      <c r="G1123" s="302">
        <f>(0.25*2)+17*0.008*2</f>
        <v>0.77</v>
      </c>
      <c r="H1123" s="310" t="str">
        <f t="shared" si="1169"/>
        <v/>
      </c>
      <c r="I1123" s="311">
        <f t="shared" si="1170"/>
        <v>19.25</v>
      </c>
      <c r="J1123" s="311" t="str">
        <f t="shared" si="1163"/>
        <v/>
      </c>
      <c r="K1123" s="311" t="str">
        <f t="shared" si="1171"/>
        <v/>
      </c>
      <c r="L1123" s="310" t="str">
        <f t="shared" si="1172"/>
        <v/>
      </c>
      <c r="M1123" s="310" t="str">
        <f t="shared" si="1173"/>
        <v/>
      </c>
      <c r="N1123" s="311" t="str">
        <f t="shared" si="1174"/>
        <v/>
      </c>
    </row>
    <row r="1124" spans="1:14">
      <c r="A1124" s="297" t="s">
        <v>1518</v>
      </c>
      <c r="B1124" s="254"/>
      <c r="C1124" s="299" t="s">
        <v>1519</v>
      </c>
      <c r="D1124" s="299">
        <v>1</v>
      </c>
      <c r="E1124" s="300">
        <v>3</v>
      </c>
      <c r="F1124" s="300">
        <f>E1124*D1124</f>
        <v>3</v>
      </c>
      <c r="G1124" s="302">
        <v>1.6</v>
      </c>
      <c r="H1124" s="310" t="str">
        <f t="shared" si="1169"/>
        <v/>
      </c>
      <c r="I1124" s="311" t="str">
        <f t="shared" si="1170"/>
        <v/>
      </c>
      <c r="J1124" s="311">
        <f t="shared" si="1163"/>
        <v>4.8</v>
      </c>
      <c r="K1124" s="311" t="str">
        <f t="shared" si="1171"/>
        <v/>
      </c>
      <c r="L1124" s="310" t="str">
        <f t="shared" si="1172"/>
        <v/>
      </c>
      <c r="M1124" s="310" t="str">
        <f t="shared" si="1173"/>
        <v/>
      </c>
      <c r="N1124" s="311" t="str">
        <f t="shared" si="1174"/>
        <v/>
      </c>
    </row>
    <row r="1125" spans="1:14">
      <c r="A1125" s="297" t="s">
        <v>1520</v>
      </c>
      <c r="B1125" s="254"/>
      <c r="C1125" s="299" t="s">
        <v>1492</v>
      </c>
      <c r="D1125" s="299">
        <v>1</v>
      </c>
      <c r="E1125" s="300">
        <v>3</v>
      </c>
      <c r="F1125" s="300">
        <f>E1125*D1125</f>
        <v>3</v>
      </c>
      <c r="G1125" s="302">
        <v>3.6</v>
      </c>
      <c r="H1125" s="310" t="str">
        <f t="shared" si="1169"/>
        <v/>
      </c>
      <c r="I1125" s="311" t="str">
        <f t="shared" si="1170"/>
        <v/>
      </c>
      <c r="J1125" s="311" t="str">
        <f t="shared" si="1163"/>
        <v/>
      </c>
      <c r="K1125" s="311" t="str">
        <f t="shared" si="1171"/>
        <v/>
      </c>
      <c r="L1125" s="310">
        <f t="shared" si="1172"/>
        <v>10.8</v>
      </c>
      <c r="M1125" s="310" t="str">
        <f t="shared" si="1173"/>
        <v/>
      </c>
      <c r="N1125" s="311" t="str">
        <f t="shared" si="1174"/>
        <v/>
      </c>
    </row>
    <row r="1126" spans="1:14">
      <c r="A1126" s="253"/>
      <c r="B1126" s="254"/>
      <c r="C1126" s="299"/>
      <c r="D1126" s="299"/>
      <c r="E1126" s="300"/>
      <c r="F1126" s="300"/>
      <c r="G1126" s="302"/>
      <c r="H1126" s="310"/>
      <c r="I1126" s="311"/>
      <c r="J1126" s="311"/>
      <c r="K1126" s="311"/>
      <c r="L1126" s="310"/>
      <c r="M1126" s="310"/>
      <c r="N1126" s="311"/>
    </row>
    <row r="1127" spans="1:14" ht="16.5">
      <c r="A1127" s="303" t="s">
        <v>1587</v>
      </c>
      <c r="B1127" s="254"/>
      <c r="C1127" s="299"/>
      <c r="D1127" s="299"/>
      <c r="E1127" s="300"/>
      <c r="F1127" s="300"/>
      <c r="G1127" s="302"/>
      <c r="H1127" s="310"/>
      <c r="I1127" s="311"/>
      <c r="J1127" s="311"/>
      <c r="K1127" s="311"/>
      <c r="L1127" s="310"/>
      <c r="M1127" s="310"/>
      <c r="N1127" s="311"/>
    </row>
    <row r="1128" spans="1:14" s="294" customFormat="1">
      <c r="A1128" s="297" t="s">
        <v>1515</v>
      </c>
      <c r="B1128" s="298"/>
      <c r="C1128" s="299" t="s">
        <v>1519</v>
      </c>
      <c r="D1128" s="299">
        <v>1</v>
      </c>
      <c r="E1128" s="300">
        <v>3</v>
      </c>
      <c r="F1128" s="300">
        <f>E1128*D1128</f>
        <v>3</v>
      </c>
      <c r="G1128" s="299">
        <f>(5.05)+17*0.01*2</f>
        <v>5.39</v>
      </c>
      <c r="H1128" s="310" t="str">
        <f t="shared" ref="H1128:H1129" si="1175">IF(C1128="T6",G1128*F1128,"")</f>
        <v/>
      </c>
      <c r="I1128" s="311" t="str">
        <f t="shared" ref="I1128:I1129" si="1176">IF(C1128="T8",F1128*G1128,"")</f>
        <v/>
      </c>
      <c r="J1128" s="311">
        <f t="shared" ref="J1128:J1134" si="1177">IF(C1128="T10",F1128*G1128,"")</f>
        <v>16.170000000000002</v>
      </c>
      <c r="K1128" s="311" t="str">
        <f t="shared" ref="K1128:K1129" si="1178">IF(C1128="T12",F1128*G1128,"")</f>
        <v/>
      </c>
      <c r="L1128" s="310" t="str">
        <f t="shared" ref="L1128:L1129" si="1179">IF(C1128="T14",F1128*G1128,"")</f>
        <v/>
      </c>
      <c r="M1128" s="310" t="str">
        <f t="shared" ref="M1128:M1129" si="1180">IF(C1128="T16",G1128*F1128,"")</f>
        <v/>
      </c>
      <c r="N1128" s="311" t="str">
        <f t="shared" ref="N1128:N1129" si="1181">IF(C1128="T20",G1128*F1128,"")</f>
        <v/>
      </c>
    </row>
    <row r="1129" spans="1:14" s="294" customFormat="1">
      <c r="A1129" s="297" t="s">
        <v>1515</v>
      </c>
      <c r="B1129" s="298"/>
      <c r="C1129" s="299" t="s">
        <v>1516</v>
      </c>
      <c r="D1129" s="299">
        <v>1</v>
      </c>
      <c r="E1129" s="300">
        <v>3</v>
      </c>
      <c r="F1129" s="300">
        <f>E1129*D1129</f>
        <v>3</v>
      </c>
      <c r="G1129" s="302">
        <f>(5.05)+17*0.012*2</f>
        <v>5.46</v>
      </c>
      <c r="H1129" s="310" t="str">
        <f t="shared" si="1175"/>
        <v/>
      </c>
      <c r="I1129" s="311" t="str">
        <f t="shared" si="1176"/>
        <v/>
      </c>
      <c r="J1129" s="311" t="str">
        <f t="shared" si="1177"/>
        <v/>
      </c>
      <c r="K1129" s="311">
        <f t="shared" si="1178"/>
        <v>16.38</v>
      </c>
      <c r="L1129" s="310" t="str">
        <f t="shared" si="1179"/>
        <v/>
      </c>
      <c r="M1129" s="310" t="str">
        <f t="shared" si="1180"/>
        <v/>
      </c>
      <c r="N1129" s="311" t="str">
        <f t="shared" si="1181"/>
        <v/>
      </c>
    </row>
    <row r="1130" spans="1:14" s="294" customFormat="1">
      <c r="A1130" s="297"/>
      <c r="B1130" s="298"/>
      <c r="C1130" s="299" t="s">
        <v>1519</v>
      </c>
      <c r="D1130" s="299">
        <v>1</v>
      </c>
      <c r="E1130" s="300">
        <v>3</v>
      </c>
      <c r="F1130" s="300">
        <v>3</v>
      </c>
      <c r="G1130" s="302">
        <v>5.45</v>
      </c>
      <c r="H1130" s="310"/>
      <c r="I1130" s="311"/>
      <c r="J1130" s="311">
        <f t="shared" si="1177"/>
        <v>16.350000000000001</v>
      </c>
      <c r="K1130" s="311"/>
      <c r="L1130" s="310"/>
      <c r="M1130" s="310"/>
      <c r="N1130" s="311"/>
    </row>
    <row r="1131" spans="1:14" s="294" customFormat="1">
      <c r="A1131" s="297" t="s">
        <v>1494</v>
      </c>
      <c r="B1131" s="301"/>
      <c r="C1131" s="299" t="s">
        <v>1496</v>
      </c>
      <c r="D1131" s="299">
        <v>1</v>
      </c>
      <c r="E1131" s="300">
        <f>15*3</f>
        <v>45</v>
      </c>
      <c r="F1131" s="300">
        <f t="shared" ref="F1131:F1132" si="1182">E1131*D1131</f>
        <v>45</v>
      </c>
      <c r="G1131" s="302">
        <f>(0.2+0.4)*2+17*0.008*2</f>
        <v>1.47</v>
      </c>
      <c r="H1131" s="310" t="str">
        <f t="shared" ref="H1131:H1134" si="1183">IF(C1131="T6",G1131*F1131,"")</f>
        <v/>
      </c>
      <c r="I1131" s="311">
        <f t="shared" ref="I1131:I1134" si="1184">IF(C1131="T8",F1131*G1131,"")</f>
        <v>66.150000000000006</v>
      </c>
      <c r="J1131" s="311" t="str">
        <f t="shared" si="1177"/>
        <v/>
      </c>
      <c r="K1131" s="311" t="str">
        <f t="shared" ref="K1131:K1134" si="1185">IF(C1131="T12",F1131*G1131,"")</f>
        <v/>
      </c>
      <c r="L1131" s="310" t="str">
        <f t="shared" ref="L1131:L1134" si="1186">IF(C1131="T14",F1131*G1131,"")</f>
        <v/>
      </c>
      <c r="M1131" s="310" t="str">
        <f t="shared" ref="M1131:M1134" si="1187">IF(C1131="T16",G1131*F1131,"")</f>
        <v/>
      </c>
      <c r="N1131" s="311" t="str">
        <f t="shared" ref="N1131:N1134" si="1188">IF(C1131="T20",G1131*F1131,"")</f>
        <v/>
      </c>
    </row>
    <row r="1132" spans="1:14" s="294" customFormat="1">
      <c r="A1132" s="297" t="s">
        <v>1517</v>
      </c>
      <c r="B1132" s="301"/>
      <c r="C1132" s="299" t="s">
        <v>1496</v>
      </c>
      <c r="D1132" s="299">
        <v>1</v>
      </c>
      <c r="E1132" s="300">
        <f>15*3</f>
        <v>45</v>
      </c>
      <c r="F1132" s="300">
        <f t="shared" si="1182"/>
        <v>45</v>
      </c>
      <c r="G1132" s="302">
        <f>(0.4*2)+17*0.008*2</f>
        <v>1.07</v>
      </c>
      <c r="H1132" s="310" t="str">
        <f t="shared" si="1183"/>
        <v/>
      </c>
      <c r="I1132" s="311">
        <f t="shared" si="1184"/>
        <v>48.15</v>
      </c>
      <c r="J1132" s="311" t="str">
        <f t="shared" si="1177"/>
        <v/>
      </c>
      <c r="K1132" s="311" t="str">
        <f t="shared" si="1185"/>
        <v/>
      </c>
      <c r="L1132" s="310" t="str">
        <f t="shared" si="1186"/>
        <v/>
      </c>
      <c r="M1132" s="310" t="str">
        <f t="shared" si="1187"/>
        <v/>
      </c>
      <c r="N1132" s="311" t="str">
        <f t="shared" si="1188"/>
        <v/>
      </c>
    </row>
    <row r="1133" spans="1:14">
      <c r="A1133" s="297" t="s">
        <v>1520</v>
      </c>
      <c r="B1133" s="254"/>
      <c r="C1133" s="299" t="s">
        <v>1492</v>
      </c>
      <c r="D1133" s="299">
        <v>1</v>
      </c>
      <c r="E1133" s="300">
        <v>6</v>
      </c>
      <c r="F1133" s="300">
        <f>E1133*D1133</f>
        <v>6</v>
      </c>
      <c r="G1133" s="302">
        <v>2.4</v>
      </c>
      <c r="H1133" s="310" t="str">
        <f t="shared" si="1183"/>
        <v/>
      </c>
      <c r="I1133" s="311" t="str">
        <f t="shared" si="1184"/>
        <v/>
      </c>
      <c r="J1133" s="311" t="str">
        <f t="shared" si="1177"/>
        <v/>
      </c>
      <c r="K1133" s="311" t="str">
        <f t="shared" si="1185"/>
        <v/>
      </c>
      <c r="L1133" s="310">
        <f t="shared" si="1186"/>
        <v>14.4</v>
      </c>
      <c r="M1133" s="310" t="str">
        <f t="shared" si="1187"/>
        <v/>
      </c>
      <c r="N1133" s="311" t="str">
        <f t="shared" si="1188"/>
        <v/>
      </c>
    </row>
    <row r="1134" spans="1:14">
      <c r="A1134" s="253"/>
      <c r="B1134" s="254"/>
      <c r="C1134" s="299" t="s">
        <v>1516</v>
      </c>
      <c r="D1134" s="299">
        <v>1</v>
      </c>
      <c r="E1134" s="300">
        <v>3</v>
      </c>
      <c r="F1134" s="300">
        <f>E1134*D1134</f>
        <v>3</v>
      </c>
      <c r="G1134" s="302">
        <v>4.6500000000000004</v>
      </c>
      <c r="H1134" s="310" t="str">
        <f t="shared" si="1183"/>
        <v/>
      </c>
      <c r="I1134" s="311" t="str">
        <f t="shared" si="1184"/>
        <v/>
      </c>
      <c r="J1134" s="311" t="str">
        <f t="shared" si="1177"/>
        <v/>
      </c>
      <c r="K1134" s="311">
        <f t="shared" si="1185"/>
        <v>13.95</v>
      </c>
      <c r="L1134" s="310" t="str">
        <f t="shared" si="1186"/>
        <v/>
      </c>
      <c r="M1134" s="310" t="str">
        <f t="shared" si="1187"/>
        <v/>
      </c>
      <c r="N1134" s="311" t="str">
        <f t="shared" si="1188"/>
        <v/>
      </c>
    </row>
    <row r="1135" spans="1:14">
      <c r="A1135" s="253"/>
      <c r="B1135" s="254"/>
      <c r="C1135" s="299"/>
      <c r="D1135" s="299"/>
      <c r="E1135" s="300"/>
      <c r="F1135" s="300"/>
      <c r="G1135" s="302"/>
      <c r="H1135" s="310"/>
      <c r="I1135" s="311"/>
      <c r="J1135" s="311"/>
      <c r="K1135" s="311"/>
      <c r="L1135" s="310"/>
      <c r="M1135" s="310"/>
      <c r="N1135" s="311"/>
    </row>
    <row r="1136" spans="1:14" ht="16.5">
      <c r="A1136" s="303" t="s">
        <v>1586</v>
      </c>
      <c r="B1136" s="254"/>
      <c r="C1136" s="299"/>
      <c r="D1136" s="299"/>
      <c r="E1136" s="300"/>
      <c r="F1136" s="300"/>
      <c r="G1136" s="302"/>
      <c r="H1136" s="310"/>
      <c r="I1136" s="311"/>
      <c r="J1136" s="311"/>
      <c r="K1136" s="311"/>
      <c r="L1136" s="310"/>
      <c r="M1136" s="310"/>
      <c r="N1136" s="311"/>
    </row>
    <row r="1137" spans="1:14" s="294" customFormat="1">
      <c r="A1137" s="297" t="s">
        <v>1515</v>
      </c>
      <c r="B1137" s="298"/>
      <c r="C1137" s="299" t="s">
        <v>1519</v>
      </c>
      <c r="D1137" s="299">
        <v>1</v>
      </c>
      <c r="E1137" s="300">
        <v>3</v>
      </c>
      <c r="F1137" s="300">
        <f>E1137*D1137</f>
        <v>3</v>
      </c>
      <c r="G1137" s="299">
        <f>(1.86)+17*0.01*2</f>
        <v>2.2000000000000002</v>
      </c>
      <c r="H1137" s="310" t="str">
        <f t="shared" ref="H1137:H1138" si="1189">IF(C1137="T6",G1137*F1137,"")</f>
        <v/>
      </c>
      <c r="I1137" s="311" t="str">
        <f t="shared" ref="I1137:I1138" si="1190">IF(C1137="T8",F1137*G1137,"")</f>
        <v/>
      </c>
      <c r="J1137" s="311">
        <f t="shared" ref="J1137:J1142" si="1191">IF(C1137="T10",F1137*G1137,"")</f>
        <v>6.6</v>
      </c>
      <c r="K1137" s="311" t="str">
        <f t="shared" ref="K1137:K1138" si="1192">IF(C1137="T12",F1137*G1137,"")</f>
        <v/>
      </c>
      <c r="L1137" s="310" t="str">
        <f t="shared" ref="L1137:L1138" si="1193">IF(C1137="T14",F1137*G1137,"")</f>
        <v/>
      </c>
      <c r="M1137" s="310" t="str">
        <f t="shared" ref="M1137:M1138" si="1194">IF(C1137="T16",G1137*F1137,"")</f>
        <v/>
      </c>
      <c r="N1137" s="311" t="str">
        <f t="shared" ref="N1137:N1138" si="1195">IF(C1137="T20",G1137*F1137,"")</f>
        <v/>
      </c>
    </row>
    <row r="1138" spans="1:14" s="294" customFormat="1">
      <c r="A1138" s="297" t="s">
        <v>1515</v>
      </c>
      <c r="B1138" s="298"/>
      <c r="C1138" s="299" t="s">
        <v>1516</v>
      </c>
      <c r="D1138" s="299">
        <v>1</v>
      </c>
      <c r="E1138" s="300">
        <v>3</v>
      </c>
      <c r="F1138" s="300">
        <f>E1138*D1138</f>
        <v>3</v>
      </c>
      <c r="G1138" s="302">
        <f>(1.86)+17*0.012*2</f>
        <v>2.27</v>
      </c>
      <c r="H1138" s="310" t="str">
        <f t="shared" si="1189"/>
        <v/>
      </c>
      <c r="I1138" s="311" t="str">
        <f t="shared" si="1190"/>
        <v/>
      </c>
      <c r="J1138" s="311" t="str">
        <f t="shared" si="1191"/>
        <v/>
      </c>
      <c r="K1138" s="311">
        <f t="shared" si="1192"/>
        <v>6.81</v>
      </c>
      <c r="L1138" s="310" t="str">
        <f t="shared" si="1193"/>
        <v/>
      </c>
      <c r="M1138" s="310" t="str">
        <f t="shared" si="1194"/>
        <v/>
      </c>
      <c r="N1138" s="311" t="str">
        <f t="shared" si="1195"/>
        <v/>
      </c>
    </row>
    <row r="1139" spans="1:14" s="294" customFormat="1">
      <c r="A1139" s="297" t="s">
        <v>1494</v>
      </c>
      <c r="B1139" s="301"/>
      <c r="C1139" s="299" t="s">
        <v>1496</v>
      </c>
      <c r="D1139" s="299">
        <v>1</v>
      </c>
      <c r="E1139" s="300">
        <f>6+7+6</f>
        <v>19</v>
      </c>
      <c r="F1139" s="300">
        <f t="shared" ref="F1139:F1140" si="1196">E1139*D1139</f>
        <v>19</v>
      </c>
      <c r="G1139" s="302">
        <f>(0.2+0.25)*2+17*0.008*2</f>
        <v>1.17</v>
      </c>
      <c r="H1139" s="310" t="str">
        <f t="shared" ref="H1139:H1142" si="1197">IF(C1139="T6",G1139*F1139,"")</f>
        <v/>
      </c>
      <c r="I1139" s="311">
        <f t="shared" ref="I1139:I1142" si="1198">IF(C1139="T8",F1139*G1139,"")</f>
        <v>22.23</v>
      </c>
      <c r="J1139" s="311" t="str">
        <f t="shared" si="1191"/>
        <v/>
      </c>
      <c r="K1139" s="311" t="str">
        <f t="shared" ref="K1139:K1142" si="1199">IF(C1139="T12",F1139*G1139,"")</f>
        <v/>
      </c>
      <c r="L1139" s="310" t="str">
        <f t="shared" ref="L1139:L1142" si="1200">IF(C1139="T14",F1139*G1139,"")</f>
        <v/>
      </c>
      <c r="M1139" s="310" t="str">
        <f t="shared" ref="M1139:M1142" si="1201">IF(C1139="T16",G1139*F1139,"")</f>
        <v/>
      </c>
      <c r="N1139" s="311" t="str">
        <f t="shared" ref="N1139:N1142" si="1202">IF(C1139="T20",G1139*F1139,"")</f>
        <v/>
      </c>
    </row>
    <row r="1140" spans="1:14" s="294" customFormat="1">
      <c r="A1140" s="297" t="s">
        <v>1517</v>
      </c>
      <c r="B1140" s="301"/>
      <c r="C1140" s="299" t="s">
        <v>1496</v>
      </c>
      <c r="D1140" s="299">
        <v>1</v>
      </c>
      <c r="E1140" s="300">
        <f>6+7+6</f>
        <v>19</v>
      </c>
      <c r="F1140" s="300">
        <f t="shared" si="1196"/>
        <v>19</v>
      </c>
      <c r="G1140" s="302">
        <f>(0.25*2)+17*0.008*2</f>
        <v>0.77</v>
      </c>
      <c r="H1140" s="310" t="str">
        <f t="shared" si="1197"/>
        <v/>
      </c>
      <c r="I1140" s="311">
        <f t="shared" si="1198"/>
        <v>14.63</v>
      </c>
      <c r="J1140" s="311" t="str">
        <f t="shared" si="1191"/>
        <v/>
      </c>
      <c r="K1140" s="311" t="str">
        <f t="shared" si="1199"/>
        <v/>
      </c>
      <c r="L1140" s="310" t="str">
        <f t="shared" si="1200"/>
        <v/>
      </c>
      <c r="M1140" s="310" t="str">
        <f t="shared" si="1201"/>
        <v/>
      </c>
      <c r="N1140" s="311" t="str">
        <f t="shared" si="1202"/>
        <v/>
      </c>
    </row>
    <row r="1141" spans="1:14">
      <c r="A1141" s="297" t="s">
        <v>1520</v>
      </c>
      <c r="B1141" s="254"/>
      <c r="C1141" s="299" t="s">
        <v>1492</v>
      </c>
      <c r="D1141" s="299">
        <v>1</v>
      </c>
      <c r="E1141" s="300">
        <v>3</v>
      </c>
      <c r="F1141" s="300">
        <f>E1141*D1141</f>
        <v>3</v>
      </c>
      <c r="G1141" s="302">
        <v>2.4</v>
      </c>
      <c r="H1141" s="310" t="str">
        <f t="shared" si="1197"/>
        <v/>
      </c>
      <c r="I1141" s="311" t="str">
        <f t="shared" si="1198"/>
        <v/>
      </c>
      <c r="J1141" s="311" t="str">
        <f t="shared" si="1191"/>
        <v/>
      </c>
      <c r="K1141" s="311" t="str">
        <f t="shared" si="1199"/>
        <v/>
      </c>
      <c r="L1141" s="310">
        <f t="shared" si="1200"/>
        <v>7.2</v>
      </c>
      <c r="M1141" s="310" t="str">
        <f t="shared" si="1201"/>
        <v/>
      </c>
      <c r="N1141" s="311" t="str">
        <f t="shared" si="1202"/>
        <v/>
      </c>
    </row>
    <row r="1142" spans="1:14">
      <c r="A1142" s="253"/>
      <c r="B1142" s="254"/>
      <c r="C1142" s="299" t="s">
        <v>1492</v>
      </c>
      <c r="D1142" s="299">
        <v>1</v>
      </c>
      <c r="E1142" s="300">
        <v>3</v>
      </c>
      <c r="F1142" s="300">
        <f>E1142*D1142</f>
        <v>3</v>
      </c>
      <c r="G1142" s="302">
        <v>2.4</v>
      </c>
      <c r="H1142" s="310" t="str">
        <f t="shared" si="1197"/>
        <v/>
      </c>
      <c r="I1142" s="311" t="str">
        <f t="shared" si="1198"/>
        <v/>
      </c>
      <c r="J1142" s="311" t="str">
        <f t="shared" si="1191"/>
        <v/>
      </c>
      <c r="K1142" s="311" t="str">
        <f t="shared" si="1199"/>
        <v/>
      </c>
      <c r="L1142" s="310">
        <f t="shared" si="1200"/>
        <v>7.2</v>
      </c>
      <c r="M1142" s="310" t="str">
        <f t="shared" si="1201"/>
        <v/>
      </c>
      <c r="N1142" s="311" t="str">
        <f t="shared" si="1202"/>
        <v/>
      </c>
    </row>
    <row r="1143" spans="1:14">
      <c r="A1143" s="253"/>
      <c r="B1143" s="254"/>
      <c r="C1143" s="299"/>
      <c r="D1143" s="299"/>
      <c r="E1143" s="300"/>
      <c r="F1143" s="300"/>
      <c r="G1143" s="302"/>
      <c r="H1143" s="310"/>
      <c r="I1143" s="311"/>
      <c r="J1143" s="311"/>
      <c r="K1143" s="311"/>
      <c r="L1143" s="310"/>
      <c r="M1143" s="310"/>
      <c r="N1143" s="311"/>
    </row>
    <row r="1144" spans="1:14" ht="16.5">
      <c r="A1144" s="303" t="s">
        <v>1585</v>
      </c>
      <c r="B1144" s="254"/>
      <c r="C1144" s="299"/>
      <c r="D1144" s="299"/>
      <c r="E1144" s="300"/>
      <c r="F1144" s="300"/>
      <c r="G1144" s="302"/>
      <c r="H1144" s="310"/>
      <c r="I1144" s="311"/>
      <c r="J1144" s="311"/>
      <c r="K1144" s="311"/>
      <c r="L1144" s="310"/>
      <c r="M1144" s="310"/>
      <c r="N1144" s="311"/>
    </row>
    <row r="1145" spans="1:14" s="294" customFormat="1">
      <c r="A1145" s="297" t="s">
        <v>1515</v>
      </c>
      <c r="B1145" s="298"/>
      <c r="C1145" s="299" t="s">
        <v>1519</v>
      </c>
      <c r="D1145" s="299">
        <v>1</v>
      </c>
      <c r="E1145" s="300">
        <v>3</v>
      </c>
      <c r="F1145" s="300">
        <f>E1145*D1145</f>
        <v>3</v>
      </c>
      <c r="G1145" s="299">
        <f>(1.86)+17*0.01*2</f>
        <v>2.2000000000000002</v>
      </c>
      <c r="H1145" s="310" t="str">
        <f t="shared" ref="H1145:H1150" si="1203">IF(C1145="T6",G1145*F1145,"")</f>
        <v/>
      </c>
      <c r="I1145" s="311" t="str">
        <f t="shared" ref="I1145:I1150" si="1204">IF(C1145="T8",F1145*G1145,"")</f>
        <v/>
      </c>
      <c r="J1145" s="311">
        <f t="shared" ref="J1145:J1150" si="1205">IF(C1145="T10",F1145*G1145,"")</f>
        <v>6.6</v>
      </c>
      <c r="K1145" s="311" t="str">
        <f t="shared" ref="K1145:K1150" si="1206">IF(C1145="T12",F1145*G1145,"")</f>
        <v/>
      </c>
      <c r="L1145" s="310" t="str">
        <f t="shared" ref="L1145:L1150" si="1207">IF(C1145="T14",F1145*G1145,"")</f>
        <v/>
      </c>
      <c r="M1145" s="310" t="str">
        <f t="shared" ref="M1145:M1150" si="1208">IF(C1145="T16",G1145*F1145,"")</f>
        <v/>
      </c>
      <c r="N1145" s="311" t="str">
        <f t="shared" ref="N1145:N1150" si="1209">IF(C1145="T20",G1145*F1145,"")</f>
        <v/>
      </c>
    </row>
    <row r="1146" spans="1:14" s="294" customFormat="1">
      <c r="A1146" s="297" t="s">
        <v>1515</v>
      </c>
      <c r="B1146" s="298"/>
      <c r="C1146" s="299" t="s">
        <v>1516</v>
      </c>
      <c r="D1146" s="299">
        <v>1</v>
      </c>
      <c r="E1146" s="300">
        <v>3</v>
      </c>
      <c r="F1146" s="300">
        <f>E1146*D1146</f>
        <v>3</v>
      </c>
      <c r="G1146" s="302">
        <f>(1.86)+17*0.012*2</f>
        <v>2.27</v>
      </c>
      <c r="H1146" s="310" t="str">
        <f t="shared" si="1203"/>
        <v/>
      </c>
      <c r="I1146" s="311" t="str">
        <f t="shared" si="1204"/>
        <v/>
      </c>
      <c r="J1146" s="311" t="str">
        <f t="shared" si="1205"/>
        <v/>
      </c>
      <c r="K1146" s="311">
        <f t="shared" si="1206"/>
        <v>6.81</v>
      </c>
      <c r="L1146" s="310" t="str">
        <f t="shared" si="1207"/>
        <v/>
      </c>
      <c r="M1146" s="310" t="str">
        <f t="shared" si="1208"/>
        <v/>
      </c>
      <c r="N1146" s="311" t="str">
        <f t="shared" si="1209"/>
        <v/>
      </c>
    </row>
    <row r="1147" spans="1:14" s="294" customFormat="1">
      <c r="A1147" s="297" t="s">
        <v>1494</v>
      </c>
      <c r="B1147" s="301"/>
      <c r="C1147" s="299" t="s">
        <v>1496</v>
      </c>
      <c r="D1147" s="299">
        <v>1</v>
      </c>
      <c r="E1147" s="300">
        <f>6+7+6</f>
        <v>19</v>
      </c>
      <c r="F1147" s="300">
        <f t="shared" ref="F1147:F1148" si="1210">E1147*D1147</f>
        <v>19</v>
      </c>
      <c r="G1147" s="302">
        <f>(0.2+0.25)*2+17*0.008*2</f>
        <v>1.17</v>
      </c>
      <c r="H1147" s="310" t="str">
        <f t="shared" si="1203"/>
        <v/>
      </c>
      <c r="I1147" s="311">
        <f t="shared" si="1204"/>
        <v>22.23</v>
      </c>
      <c r="J1147" s="311" t="str">
        <f t="shared" si="1205"/>
        <v/>
      </c>
      <c r="K1147" s="311" t="str">
        <f t="shared" si="1206"/>
        <v/>
      </c>
      <c r="L1147" s="310" t="str">
        <f t="shared" si="1207"/>
        <v/>
      </c>
      <c r="M1147" s="310" t="str">
        <f t="shared" si="1208"/>
        <v/>
      </c>
      <c r="N1147" s="311" t="str">
        <f t="shared" si="1209"/>
        <v/>
      </c>
    </row>
    <row r="1148" spans="1:14" s="294" customFormat="1">
      <c r="A1148" s="297" t="s">
        <v>1517</v>
      </c>
      <c r="B1148" s="301"/>
      <c r="C1148" s="299" t="s">
        <v>1496</v>
      </c>
      <c r="D1148" s="299">
        <v>1</v>
      </c>
      <c r="E1148" s="300">
        <f>6+7+6</f>
        <v>19</v>
      </c>
      <c r="F1148" s="300">
        <f t="shared" si="1210"/>
        <v>19</v>
      </c>
      <c r="G1148" s="302">
        <f>(0.25*2)+17*0.008*2</f>
        <v>0.77</v>
      </c>
      <c r="H1148" s="310" t="str">
        <f t="shared" si="1203"/>
        <v/>
      </c>
      <c r="I1148" s="311">
        <f t="shared" si="1204"/>
        <v>14.63</v>
      </c>
      <c r="J1148" s="311" t="str">
        <f t="shared" si="1205"/>
        <v/>
      </c>
      <c r="K1148" s="311" t="str">
        <f t="shared" si="1206"/>
        <v/>
      </c>
      <c r="L1148" s="310" t="str">
        <f t="shared" si="1207"/>
        <v/>
      </c>
      <c r="M1148" s="310" t="str">
        <f t="shared" si="1208"/>
        <v/>
      </c>
      <c r="N1148" s="311" t="str">
        <f t="shared" si="1209"/>
        <v/>
      </c>
    </row>
    <row r="1149" spans="1:14">
      <c r="A1149" s="297" t="s">
        <v>1520</v>
      </c>
      <c r="B1149" s="254"/>
      <c r="C1149" s="299" t="s">
        <v>1492</v>
      </c>
      <c r="D1149" s="299">
        <v>1</v>
      </c>
      <c r="E1149" s="300">
        <v>3</v>
      </c>
      <c r="F1149" s="300">
        <f>E1149*D1149</f>
        <v>3</v>
      </c>
      <c r="G1149" s="302">
        <v>2.2000000000000002</v>
      </c>
      <c r="H1149" s="310" t="str">
        <f t="shared" si="1203"/>
        <v/>
      </c>
      <c r="I1149" s="311" t="str">
        <f t="shared" si="1204"/>
        <v/>
      </c>
      <c r="J1149" s="311" t="str">
        <f t="shared" si="1205"/>
        <v/>
      </c>
      <c r="K1149" s="311" t="str">
        <f t="shared" si="1206"/>
        <v/>
      </c>
      <c r="L1149" s="310">
        <f t="shared" si="1207"/>
        <v>6.6</v>
      </c>
      <c r="M1149" s="310" t="str">
        <f t="shared" si="1208"/>
        <v/>
      </c>
      <c r="N1149" s="311" t="str">
        <f t="shared" si="1209"/>
        <v/>
      </c>
    </row>
    <row r="1150" spans="1:14">
      <c r="A1150" s="253"/>
      <c r="B1150" s="254"/>
      <c r="C1150" s="299" t="s">
        <v>1492</v>
      </c>
      <c r="D1150" s="299">
        <v>1</v>
      </c>
      <c r="E1150" s="300">
        <v>3</v>
      </c>
      <c r="F1150" s="300">
        <f>E1150*D1150</f>
        <v>3</v>
      </c>
      <c r="G1150" s="302">
        <v>2.9</v>
      </c>
      <c r="H1150" s="310" t="str">
        <f t="shared" si="1203"/>
        <v/>
      </c>
      <c r="I1150" s="311" t="str">
        <f t="shared" si="1204"/>
        <v/>
      </c>
      <c r="J1150" s="311" t="str">
        <f t="shared" si="1205"/>
        <v/>
      </c>
      <c r="K1150" s="311" t="str">
        <f t="shared" si="1206"/>
        <v/>
      </c>
      <c r="L1150" s="310">
        <f t="shared" si="1207"/>
        <v>8.6999999999999993</v>
      </c>
      <c r="M1150" s="310" t="str">
        <f t="shared" si="1208"/>
        <v/>
      </c>
      <c r="N1150" s="311" t="str">
        <f t="shared" si="1209"/>
        <v/>
      </c>
    </row>
    <row r="1151" spans="1:14">
      <c r="A1151" s="253"/>
      <c r="B1151" s="254"/>
      <c r="C1151" s="299"/>
      <c r="D1151" s="299"/>
      <c r="E1151" s="300"/>
      <c r="F1151" s="300"/>
      <c r="G1151" s="302"/>
      <c r="H1151" s="310"/>
      <c r="I1151" s="311"/>
      <c r="J1151" s="311"/>
      <c r="K1151" s="311"/>
      <c r="L1151" s="310"/>
      <c r="M1151" s="310"/>
      <c r="N1151" s="311"/>
    </row>
    <row r="1152" spans="1:14" ht="16.5">
      <c r="A1152" s="303" t="s">
        <v>1584</v>
      </c>
      <c r="B1152" s="254"/>
      <c r="C1152" s="299"/>
      <c r="D1152" s="299"/>
      <c r="E1152" s="300"/>
      <c r="F1152" s="300"/>
      <c r="G1152" s="302"/>
      <c r="H1152" s="310"/>
      <c r="I1152" s="311"/>
      <c r="J1152" s="311"/>
      <c r="K1152" s="311"/>
      <c r="L1152" s="310"/>
      <c r="M1152" s="310"/>
      <c r="N1152" s="311"/>
    </row>
    <row r="1153" spans="1:14" s="294" customFormat="1">
      <c r="A1153" s="297" t="s">
        <v>1515</v>
      </c>
      <c r="B1153" s="298"/>
      <c r="C1153" s="299" t="s">
        <v>1519</v>
      </c>
      <c r="D1153" s="299">
        <v>1</v>
      </c>
      <c r="E1153" s="300">
        <v>3</v>
      </c>
      <c r="F1153" s="300">
        <f>E1153*D1153</f>
        <v>3</v>
      </c>
      <c r="G1153" s="299">
        <f>(3.95)+17*0.01*2</f>
        <v>4.29</v>
      </c>
      <c r="H1153" s="310" t="str">
        <f t="shared" ref="H1153:H1158" si="1211">IF(C1153="T6",G1153*F1153,"")</f>
        <v/>
      </c>
      <c r="I1153" s="311" t="str">
        <f t="shared" ref="I1153:I1158" si="1212">IF(C1153="T8",F1153*G1153,"")</f>
        <v/>
      </c>
      <c r="J1153" s="311">
        <f t="shared" ref="J1153:J1158" si="1213">IF(C1153="T10",F1153*G1153,"")</f>
        <v>12.87</v>
      </c>
      <c r="K1153" s="311" t="str">
        <f t="shared" ref="K1153:K1158" si="1214">IF(C1153="T12",F1153*G1153,"")</f>
        <v/>
      </c>
      <c r="L1153" s="310" t="str">
        <f t="shared" ref="L1153:L1158" si="1215">IF(C1153="T14",F1153*G1153,"")</f>
        <v/>
      </c>
      <c r="M1153" s="310" t="str">
        <f t="shared" ref="M1153:M1158" si="1216">IF(C1153="T16",G1153*F1153,"")</f>
        <v/>
      </c>
      <c r="N1153" s="311" t="str">
        <f t="shared" ref="N1153:N1158" si="1217">IF(C1153="T20",G1153*F1153,"")</f>
        <v/>
      </c>
    </row>
    <row r="1154" spans="1:14" s="294" customFormat="1">
      <c r="A1154" s="297" t="s">
        <v>1515</v>
      </c>
      <c r="B1154" s="298"/>
      <c r="C1154" s="299" t="s">
        <v>1516</v>
      </c>
      <c r="D1154" s="299">
        <v>1</v>
      </c>
      <c r="E1154" s="300">
        <v>3</v>
      </c>
      <c r="F1154" s="300">
        <f>E1154*D1154</f>
        <v>3</v>
      </c>
      <c r="G1154" s="302">
        <f>(3.95)+17*0.012*2</f>
        <v>4.3600000000000003</v>
      </c>
      <c r="H1154" s="310" t="str">
        <f t="shared" si="1211"/>
        <v/>
      </c>
      <c r="I1154" s="311" t="str">
        <f t="shared" si="1212"/>
        <v/>
      </c>
      <c r="J1154" s="311" t="str">
        <f t="shared" si="1213"/>
        <v/>
      </c>
      <c r="K1154" s="311">
        <f t="shared" si="1214"/>
        <v>13.08</v>
      </c>
      <c r="L1154" s="310" t="str">
        <f t="shared" si="1215"/>
        <v/>
      </c>
      <c r="M1154" s="310" t="str">
        <f t="shared" si="1216"/>
        <v/>
      </c>
      <c r="N1154" s="311" t="str">
        <f t="shared" si="1217"/>
        <v/>
      </c>
    </row>
    <row r="1155" spans="1:14" s="294" customFormat="1">
      <c r="A1155" s="297" t="s">
        <v>1494</v>
      </c>
      <c r="B1155" s="301"/>
      <c r="C1155" s="299" t="s">
        <v>1496</v>
      </c>
      <c r="D1155" s="299">
        <v>1</v>
      </c>
      <c r="E1155" s="300">
        <f>12*3</f>
        <v>36</v>
      </c>
      <c r="F1155" s="300">
        <f t="shared" ref="F1155:F1156" si="1218">E1155*D1155</f>
        <v>36</v>
      </c>
      <c r="G1155" s="302">
        <f>(0.2+0.35)*2+17*0.008*2</f>
        <v>1.37</v>
      </c>
      <c r="H1155" s="310" t="str">
        <f t="shared" si="1211"/>
        <v/>
      </c>
      <c r="I1155" s="311">
        <f t="shared" si="1212"/>
        <v>49.32</v>
      </c>
      <c r="J1155" s="311" t="str">
        <f t="shared" si="1213"/>
        <v/>
      </c>
      <c r="K1155" s="311" t="str">
        <f t="shared" si="1214"/>
        <v/>
      </c>
      <c r="L1155" s="310" t="str">
        <f t="shared" si="1215"/>
        <v/>
      </c>
      <c r="M1155" s="310" t="str">
        <f t="shared" si="1216"/>
        <v/>
      </c>
      <c r="N1155" s="311" t="str">
        <f t="shared" si="1217"/>
        <v/>
      </c>
    </row>
    <row r="1156" spans="1:14" s="294" customFormat="1">
      <c r="A1156" s="297" t="s">
        <v>1517</v>
      </c>
      <c r="B1156" s="301"/>
      <c r="C1156" s="299" t="s">
        <v>1496</v>
      </c>
      <c r="D1156" s="299">
        <v>1</v>
      </c>
      <c r="E1156" s="300">
        <f>12*3</f>
        <v>36</v>
      </c>
      <c r="F1156" s="300">
        <f t="shared" si="1218"/>
        <v>36</v>
      </c>
      <c r="G1156" s="302">
        <f>(0.35*2)+17*0.008*2</f>
        <v>0.97</v>
      </c>
      <c r="H1156" s="310" t="str">
        <f t="shared" si="1211"/>
        <v/>
      </c>
      <c r="I1156" s="311">
        <f t="shared" si="1212"/>
        <v>34.92</v>
      </c>
      <c r="J1156" s="311" t="str">
        <f t="shared" si="1213"/>
        <v/>
      </c>
      <c r="K1156" s="311" t="str">
        <f t="shared" si="1214"/>
        <v/>
      </c>
      <c r="L1156" s="310" t="str">
        <f t="shared" si="1215"/>
        <v/>
      </c>
      <c r="M1156" s="310" t="str">
        <f t="shared" si="1216"/>
        <v/>
      </c>
      <c r="N1156" s="311" t="str">
        <f t="shared" si="1217"/>
        <v/>
      </c>
    </row>
    <row r="1157" spans="1:14">
      <c r="A1157" s="297" t="s">
        <v>1520</v>
      </c>
      <c r="B1157" s="254"/>
      <c r="C1157" s="299" t="s">
        <v>1492</v>
      </c>
      <c r="D1157" s="299">
        <v>1</v>
      </c>
      <c r="E1157" s="300">
        <v>3</v>
      </c>
      <c r="F1157" s="300">
        <f>E1157*D1157</f>
        <v>3</v>
      </c>
      <c r="G1157" s="302">
        <v>2.8</v>
      </c>
      <c r="H1157" s="310" t="str">
        <f t="shared" si="1211"/>
        <v/>
      </c>
      <c r="I1157" s="311" t="str">
        <f t="shared" si="1212"/>
        <v/>
      </c>
      <c r="J1157" s="311" t="str">
        <f t="shared" si="1213"/>
        <v/>
      </c>
      <c r="K1157" s="311" t="str">
        <f t="shared" si="1214"/>
        <v/>
      </c>
      <c r="L1157" s="310">
        <f t="shared" si="1215"/>
        <v>8.4</v>
      </c>
      <c r="M1157" s="310" t="str">
        <f t="shared" si="1216"/>
        <v/>
      </c>
      <c r="N1157" s="311" t="str">
        <f t="shared" si="1217"/>
        <v/>
      </c>
    </row>
    <row r="1158" spans="1:14">
      <c r="A1158" s="253"/>
      <c r="B1158" s="254"/>
      <c r="C1158" s="299" t="s">
        <v>1492</v>
      </c>
      <c r="D1158" s="299">
        <v>1</v>
      </c>
      <c r="E1158" s="300">
        <v>3</v>
      </c>
      <c r="F1158" s="300">
        <f>E1158*D1158</f>
        <v>3</v>
      </c>
      <c r="G1158" s="302">
        <v>2</v>
      </c>
      <c r="H1158" s="310" t="str">
        <f t="shared" si="1211"/>
        <v/>
      </c>
      <c r="I1158" s="311" t="str">
        <f t="shared" si="1212"/>
        <v/>
      </c>
      <c r="J1158" s="311" t="str">
        <f t="shared" si="1213"/>
        <v/>
      </c>
      <c r="K1158" s="311" t="str">
        <f t="shared" si="1214"/>
        <v/>
      </c>
      <c r="L1158" s="310">
        <f t="shared" si="1215"/>
        <v>6</v>
      </c>
      <c r="M1158" s="310" t="str">
        <f t="shared" si="1216"/>
        <v/>
      </c>
      <c r="N1158" s="311" t="str">
        <f t="shared" si="1217"/>
        <v/>
      </c>
    </row>
    <row r="1159" spans="1:14">
      <c r="A1159" s="253"/>
      <c r="B1159" s="254"/>
      <c r="C1159" s="299" t="s">
        <v>1516</v>
      </c>
      <c r="D1159" s="299">
        <v>1</v>
      </c>
      <c r="E1159" s="300">
        <v>3</v>
      </c>
      <c r="F1159" s="300">
        <f>E1159*D1159</f>
        <v>3</v>
      </c>
      <c r="G1159" s="302">
        <v>3.65</v>
      </c>
      <c r="H1159" s="310" t="str">
        <f t="shared" ref="H1159" si="1219">IF(C1159="T6",G1159*F1159,"")</f>
        <v/>
      </c>
      <c r="I1159" s="311" t="str">
        <f t="shared" ref="I1159" si="1220">IF(C1159="T8",F1159*G1159,"")</f>
        <v/>
      </c>
      <c r="J1159" s="311" t="str">
        <f t="shared" ref="J1159" si="1221">IF(C1159="T10",F1159*G1159,"")</f>
        <v/>
      </c>
      <c r="K1159" s="311">
        <f t="shared" ref="K1159" si="1222">IF(C1159="T12",F1159*G1159,"")</f>
        <v>10.95</v>
      </c>
      <c r="L1159" s="310" t="str">
        <f t="shared" ref="L1159" si="1223">IF(C1159="T14",F1159*G1159,"")</f>
        <v/>
      </c>
      <c r="M1159" s="310" t="str">
        <f t="shared" ref="M1159" si="1224">IF(C1159="T16",G1159*F1159,"")</f>
        <v/>
      </c>
      <c r="N1159" s="311" t="str">
        <f t="shared" ref="N1159" si="1225">IF(C1159="T20",G1159*F1159,"")</f>
        <v/>
      </c>
    </row>
    <row r="1160" spans="1:14">
      <c r="A1160" s="253"/>
      <c r="B1160" s="254"/>
      <c r="C1160" s="299"/>
      <c r="D1160" s="299"/>
      <c r="E1160" s="300"/>
      <c r="F1160" s="300"/>
      <c r="G1160" s="302"/>
      <c r="H1160" s="310"/>
      <c r="I1160" s="311"/>
      <c r="J1160" s="311"/>
      <c r="K1160" s="311"/>
      <c r="L1160" s="310"/>
      <c r="M1160" s="310"/>
      <c r="N1160" s="311"/>
    </row>
    <row r="1161" spans="1:14" ht="16.5">
      <c r="A1161" s="303" t="s">
        <v>1583</v>
      </c>
      <c r="B1161" s="254"/>
      <c r="C1161" s="299"/>
      <c r="D1161" s="299"/>
      <c r="E1161" s="300"/>
      <c r="F1161" s="300"/>
      <c r="G1161" s="302"/>
      <c r="H1161" s="310"/>
      <c r="I1161" s="311"/>
      <c r="J1161" s="311"/>
      <c r="K1161" s="311"/>
      <c r="L1161" s="310"/>
      <c r="M1161" s="310"/>
      <c r="N1161" s="311"/>
    </row>
    <row r="1162" spans="1:14" s="294" customFormat="1">
      <c r="A1162" s="297" t="s">
        <v>1515</v>
      </c>
      <c r="B1162" s="298"/>
      <c r="C1162" s="299" t="s">
        <v>1519</v>
      </c>
      <c r="D1162" s="299">
        <v>1</v>
      </c>
      <c r="E1162" s="300">
        <v>3</v>
      </c>
      <c r="F1162" s="300">
        <f>E1162*D1162</f>
        <v>3</v>
      </c>
      <c r="G1162" s="299">
        <f>(3.86)+17*0.01*2</f>
        <v>4.2</v>
      </c>
      <c r="H1162" s="310" t="str">
        <f t="shared" ref="H1162:H1167" si="1226">IF(C1162="T6",G1162*F1162,"")</f>
        <v/>
      </c>
      <c r="I1162" s="311" t="str">
        <f t="shared" ref="I1162:I1167" si="1227">IF(C1162="T8",F1162*G1162,"")</f>
        <v/>
      </c>
      <c r="J1162" s="311">
        <f t="shared" ref="J1162:J1167" si="1228">IF(C1162="T10",F1162*G1162,"")</f>
        <v>12.6</v>
      </c>
      <c r="K1162" s="311" t="str">
        <f t="shared" ref="K1162:K1167" si="1229">IF(C1162="T12",F1162*G1162,"")</f>
        <v/>
      </c>
      <c r="L1162" s="310" t="str">
        <f t="shared" ref="L1162:L1167" si="1230">IF(C1162="T14",F1162*G1162,"")</f>
        <v/>
      </c>
      <c r="M1162" s="310" t="str">
        <f t="shared" ref="M1162:M1167" si="1231">IF(C1162="T16",G1162*F1162,"")</f>
        <v/>
      </c>
      <c r="N1162" s="311" t="str">
        <f t="shared" ref="N1162:N1167" si="1232">IF(C1162="T20",G1162*F1162,"")</f>
        <v/>
      </c>
    </row>
    <row r="1163" spans="1:14" s="294" customFormat="1">
      <c r="A1163" s="297" t="s">
        <v>1515</v>
      </c>
      <c r="B1163" s="298"/>
      <c r="C1163" s="299" t="s">
        <v>1516</v>
      </c>
      <c r="D1163" s="299">
        <v>1</v>
      </c>
      <c r="E1163" s="300">
        <v>3</v>
      </c>
      <c r="F1163" s="300">
        <f>E1163*D1163</f>
        <v>3</v>
      </c>
      <c r="G1163" s="302">
        <f>(3.86)+17*0.014*2</f>
        <v>4.34</v>
      </c>
      <c r="H1163" s="310" t="str">
        <f t="shared" si="1226"/>
        <v/>
      </c>
      <c r="I1163" s="311" t="str">
        <f t="shared" si="1227"/>
        <v/>
      </c>
      <c r="J1163" s="311" t="str">
        <f t="shared" si="1228"/>
        <v/>
      </c>
      <c r="K1163" s="311">
        <f t="shared" si="1229"/>
        <v>13.02</v>
      </c>
      <c r="L1163" s="310" t="str">
        <f t="shared" si="1230"/>
        <v/>
      </c>
      <c r="M1163" s="310" t="str">
        <f t="shared" si="1231"/>
        <v/>
      </c>
      <c r="N1163" s="311" t="str">
        <f t="shared" si="1232"/>
        <v/>
      </c>
    </row>
    <row r="1164" spans="1:14" s="294" customFormat="1">
      <c r="A1164" s="297" t="s">
        <v>1494</v>
      </c>
      <c r="B1164" s="301"/>
      <c r="C1164" s="299" t="s">
        <v>1496</v>
      </c>
      <c r="D1164" s="299">
        <v>1</v>
      </c>
      <c r="E1164" s="300">
        <f>10+10+15</f>
        <v>35</v>
      </c>
      <c r="F1164" s="300">
        <f t="shared" ref="F1164:F1165" si="1233">E1164*D1164</f>
        <v>35</v>
      </c>
      <c r="G1164" s="302">
        <f>(0.2+0.35)*2+17*0.008*2</f>
        <v>1.37</v>
      </c>
      <c r="H1164" s="310" t="str">
        <f t="shared" si="1226"/>
        <v/>
      </c>
      <c r="I1164" s="311">
        <f t="shared" si="1227"/>
        <v>47.95</v>
      </c>
      <c r="J1164" s="311" t="str">
        <f t="shared" si="1228"/>
        <v/>
      </c>
      <c r="K1164" s="311" t="str">
        <f t="shared" si="1229"/>
        <v/>
      </c>
      <c r="L1164" s="310" t="str">
        <f t="shared" si="1230"/>
        <v/>
      </c>
      <c r="M1164" s="310" t="str">
        <f t="shared" si="1231"/>
        <v/>
      </c>
      <c r="N1164" s="311" t="str">
        <f t="shared" si="1232"/>
        <v/>
      </c>
    </row>
    <row r="1165" spans="1:14" s="294" customFormat="1">
      <c r="A1165" s="297" t="s">
        <v>1517</v>
      </c>
      <c r="B1165" s="301"/>
      <c r="C1165" s="299" t="s">
        <v>1496</v>
      </c>
      <c r="D1165" s="299">
        <v>1</v>
      </c>
      <c r="E1165" s="300">
        <v>35</v>
      </c>
      <c r="F1165" s="300">
        <f t="shared" si="1233"/>
        <v>35</v>
      </c>
      <c r="G1165" s="302">
        <f>(0.35*2)+17*0.008*2</f>
        <v>0.97</v>
      </c>
      <c r="H1165" s="310" t="str">
        <f t="shared" si="1226"/>
        <v/>
      </c>
      <c r="I1165" s="311">
        <f t="shared" si="1227"/>
        <v>33.950000000000003</v>
      </c>
      <c r="J1165" s="311" t="str">
        <f t="shared" si="1228"/>
        <v/>
      </c>
      <c r="K1165" s="311" t="str">
        <f t="shared" si="1229"/>
        <v/>
      </c>
      <c r="L1165" s="310" t="str">
        <f t="shared" si="1230"/>
        <v/>
      </c>
      <c r="M1165" s="310" t="str">
        <f t="shared" si="1231"/>
        <v/>
      </c>
      <c r="N1165" s="311" t="str">
        <f t="shared" si="1232"/>
        <v/>
      </c>
    </row>
    <row r="1166" spans="1:14">
      <c r="A1166" s="297" t="s">
        <v>1520</v>
      </c>
      <c r="B1166" s="254"/>
      <c r="C1166" s="299" t="s">
        <v>1492</v>
      </c>
      <c r="D1166" s="299">
        <v>1</v>
      </c>
      <c r="E1166" s="300">
        <v>6</v>
      </c>
      <c r="F1166" s="300">
        <f>E1166*D1166</f>
        <v>6</v>
      </c>
      <c r="G1166" s="302">
        <v>2.9</v>
      </c>
      <c r="H1166" s="310" t="str">
        <f t="shared" si="1226"/>
        <v/>
      </c>
      <c r="I1166" s="311" t="str">
        <f t="shared" si="1227"/>
        <v/>
      </c>
      <c r="J1166" s="311" t="str">
        <f t="shared" si="1228"/>
        <v/>
      </c>
      <c r="K1166" s="311" t="str">
        <f t="shared" si="1229"/>
        <v/>
      </c>
      <c r="L1166" s="310">
        <f t="shared" si="1230"/>
        <v>17.399999999999999</v>
      </c>
      <c r="M1166" s="310" t="str">
        <f t="shared" si="1231"/>
        <v/>
      </c>
      <c r="N1166" s="311" t="str">
        <f t="shared" si="1232"/>
        <v/>
      </c>
    </row>
    <row r="1167" spans="1:14">
      <c r="A1167" s="253"/>
      <c r="B1167" s="254"/>
      <c r="C1167" s="299" t="s">
        <v>1516</v>
      </c>
      <c r="D1167" s="299">
        <v>1</v>
      </c>
      <c r="E1167" s="300">
        <v>3</v>
      </c>
      <c r="F1167" s="300">
        <f>E1167*D1167</f>
        <v>3</v>
      </c>
      <c r="G1167" s="302">
        <v>2.9</v>
      </c>
      <c r="H1167" s="310" t="str">
        <f t="shared" si="1226"/>
        <v/>
      </c>
      <c r="I1167" s="311" t="str">
        <f t="shared" si="1227"/>
        <v/>
      </c>
      <c r="J1167" s="311" t="str">
        <f t="shared" si="1228"/>
        <v/>
      </c>
      <c r="K1167" s="311">
        <f t="shared" si="1229"/>
        <v>8.6999999999999993</v>
      </c>
      <c r="L1167" s="310" t="str">
        <f t="shared" si="1230"/>
        <v/>
      </c>
      <c r="M1167" s="310" t="str">
        <f t="shared" si="1231"/>
        <v/>
      </c>
      <c r="N1167" s="311" t="str">
        <f t="shared" si="1232"/>
        <v/>
      </c>
    </row>
    <row r="1168" spans="1:14">
      <c r="A1168" s="253"/>
      <c r="B1168" s="254"/>
      <c r="C1168" s="299"/>
      <c r="D1168" s="299"/>
      <c r="E1168" s="300"/>
      <c r="F1168" s="300"/>
      <c r="G1168" s="302"/>
      <c r="H1168" s="310"/>
      <c r="I1168" s="311"/>
      <c r="J1168" s="311"/>
      <c r="K1168" s="311"/>
      <c r="L1168" s="310"/>
      <c r="M1168" s="310"/>
      <c r="N1168" s="311"/>
    </row>
    <row r="1169" spans="1:14" ht="16.5">
      <c r="A1169" s="303" t="s">
        <v>1582</v>
      </c>
      <c r="B1169" s="254"/>
      <c r="C1169" s="299"/>
      <c r="D1169" s="299"/>
      <c r="E1169" s="300"/>
      <c r="F1169" s="300"/>
      <c r="G1169" s="302"/>
      <c r="H1169" s="310"/>
      <c r="I1169" s="311"/>
      <c r="J1169" s="311"/>
      <c r="K1169" s="311"/>
      <c r="L1169" s="310"/>
      <c r="M1169" s="310"/>
      <c r="N1169" s="311"/>
    </row>
    <row r="1170" spans="1:14" s="294" customFormat="1">
      <c r="A1170" s="297" t="s">
        <v>1515</v>
      </c>
      <c r="B1170" s="298"/>
      <c r="C1170" s="299" t="s">
        <v>1519</v>
      </c>
      <c r="D1170" s="299">
        <v>1</v>
      </c>
      <c r="E1170" s="300">
        <v>3</v>
      </c>
      <c r="F1170" s="300">
        <f>E1170*D1170</f>
        <v>3</v>
      </c>
      <c r="G1170" s="299">
        <f>(4.25)+17*0.01*2</f>
        <v>4.59</v>
      </c>
      <c r="H1170" s="310" t="str">
        <f t="shared" ref="H1170:H1176" si="1234">IF(C1170="T6",G1170*F1170,"")</f>
        <v/>
      </c>
      <c r="I1170" s="311" t="str">
        <f t="shared" ref="I1170:I1176" si="1235">IF(C1170="T8",F1170*G1170,"")</f>
        <v/>
      </c>
      <c r="J1170" s="311">
        <f t="shared" ref="J1170:J1176" si="1236">IF(C1170="T10",F1170*G1170,"")</f>
        <v>13.77</v>
      </c>
      <c r="K1170" s="311" t="str">
        <f t="shared" ref="K1170:K1176" si="1237">IF(C1170="T12",F1170*G1170,"")</f>
        <v/>
      </c>
      <c r="L1170" s="310" t="str">
        <f t="shared" ref="L1170:L1176" si="1238">IF(C1170="T14",F1170*G1170,"")</f>
        <v/>
      </c>
      <c r="M1170" s="310" t="str">
        <f t="shared" ref="M1170:M1176" si="1239">IF(C1170="T16",G1170*F1170,"")</f>
        <v/>
      </c>
      <c r="N1170" s="311" t="str">
        <f t="shared" ref="N1170:N1176" si="1240">IF(C1170="T20",G1170*F1170,"")</f>
        <v/>
      </c>
    </row>
    <row r="1171" spans="1:14" s="294" customFormat="1">
      <c r="A1171" s="297" t="s">
        <v>1515</v>
      </c>
      <c r="B1171" s="298"/>
      <c r="C1171" s="299" t="s">
        <v>1516</v>
      </c>
      <c r="D1171" s="299">
        <v>1</v>
      </c>
      <c r="E1171" s="300">
        <v>3</v>
      </c>
      <c r="F1171" s="300">
        <f>E1171*D1171</f>
        <v>3</v>
      </c>
      <c r="G1171" s="299">
        <f>(4.25)+17*0.012*2</f>
        <v>4.6580000000000004</v>
      </c>
      <c r="H1171" s="310" t="str">
        <f t="shared" si="1234"/>
        <v/>
      </c>
      <c r="I1171" s="311" t="str">
        <f t="shared" si="1235"/>
        <v/>
      </c>
      <c r="J1171" s="311" t="str">
        <f t="shared" si="1236"/>
        <v/>
      </c>
      <c r="K1171" s="311">
        <f t="shared" si="1237"/>
        <v>13.97</v>
      </c>
      <c r="L1171" s="310" t="str">
        <f t="shared" si="1238"/>
        <v/>
      </c>
      <c r="M1171" s="310" t="str">
        <f t="shared" si="1239"/>
        <v/>
      </c>
      <c r="N1171" s="311" t="str">
        <f t="shared" si="1240"/>
        <v/>
      </c>
    </row>
    <row r="1172" spans="1:14" s="294" customFormat="1">
      <c r="A1172" s="297"/>
      <c r="B1172" s="298"/>
      <c r="C1172" s="299" t="s">
        <v>1519</v>
      </c>
      <c r="D1172" s="299">
        <v>1</v>
      </c>
      <c r="E1172" s="300">
        <v>2</v>
      </c>
      <c r="F1172" s="300">
        <f>E1172*D1172</f>
        <v>2</v>
      </c>
      <c r="G1172" s="299">
        <v>4.25</v>
      </c>
      <c r="H1172" s="310" t="str">
        <f t="shared" si="1234"/>
        <v/>
      </c>
      <c r="I1172" s="311" t="str">
        <f t="shared" si="1235"/>
        <v/>
      </c>
      <c r="J1172" s="311">
        <f t="shared" si="1236"/>
        <v>8.5</v>
      </c>
      <c r="K1172" s="311" t="str">
        <f t="shared" si="1237"/>
        <v/>
      </c>
      <c r="L1172" s="310" t="str">
        <f t="shared" si="1238"/>
        <v/>
      </c>
      <c r="M1172" s="310" t="str">
        <f t="shared" si="1239"/>
        <v/>
      </c>
      <c r="N1172" s="311" t="str">
        <f t="shared" si="1240"/>
        <v/>
      </c>
    </row>
    <row r="1173" spans="1:14" s="294" customFormat="1">
      <c r="A1173" s="297" t="s">
        <v>1494</v>
      </c>
      <c r="B1173" s="301"/>
      <c r="C1173" s="299" t="s">
        <v>1496</v>
      </c>
      <c r="D1173" s="299">
        <v>1</v>
      </c>
      <c r="E1173" s="300">
        <f>13+20+13</f>
        <v>46</v>
      </c>
      <c r="F1173" s="300">
        <f t="shared" ref="F1173:F1174" si="1241">E1173*D1173</f>
        <v>46</v>
      </c>
      <c r="G1173" s="302">
        <f>(0.2+0.45)*2+17*0.008*2</f>
        <v>1.57</v>
      </c>
      <c r="H1173" s="310" t="str">
        <f t="shared" si="1234"/>
        <v/>
      </c>
      <c r="I1173" s="311">
        <f t="shared" si="1235"/>
        <v>72.22</v>
      </c>
      <c r="J1173" s="311" t="str">
        <f t="shared" si="1236"/>
        <v/>
      </c>
      <c r="K1173" s="311" t="str">
        <f t="shared" si="1237"/>
        <v/>
      </c>
      <c r="L1173" s="310" t="str">
        <f t="shared" si="1238"/>
        <v/>
      </c>
      <c r="M1173" s="310" t="str">
        <f t="shared" si="1239"/>
        <v/>
      </c>
      <c r="N1173" s="311" t="str">
        <f t="shared" si="1240"/>
        <v/>
      </c>
    </row>
    <row r="1174" spans="1:14" s="294" customFormat="1">
      <c r="A1174" s="297" t="s">
        <v>1517</v>
      </c>
      <c r="B1174" s="301"/>
      <c r="C1174" s="299" t="s">
        <v>1496</v>
      </c>
      <c r="D1174" s="299">
        <v>1</v>
      </c>
      <c r="E1174" s="300">
        <f>13+20+13</f>
        <v>46</v>
      </c>
      <c r="F1174" s="300">
        <f t="shared" si="1241"/>
        <v>46</v>
      </c>
      <c r="G1174" s="302">
        <f>(0.45*2)+17*0.008*2</f>
        <v>1.17</v>
      </c>
      <c r="H1174" s="310" t="str">
        <f t="shared" si="1234"/>
        <v/>
      </c>
      <c r="I1174" s="311">
        <f t="shared" si="1235"/>
        <v>53.82</v>
      </c>
      <c r="J1174" s="311" t="str">
        <f t="shared" si="1236"/>
        <v/>
      </c>
      <c r="K1174" s="311" t="str">
        <f t="shared" si="1237"/>
        <v/>
      </c>
      <c r="L1174" s="310" t="str">
        <f t="shared" si="1238"/>
        <v/>
      </c>
      <c r="M1174" s="310" t="str">
        <f t="shared" si="1239"/>
        <v/>
      </c>
      <c r="N1174" s="311" t="str">
        <f t="shared" si="1240"/>
        <v/>
      </c>
    </row>
    <row r="1175" spans="1:14">
      <c r="A1175" s="297" t="s">
        <v>1520</v>
      </c>
      <c r="B1175" s="254"/>
      <c r="C1175" s="299" t="s">
        <v>1492</v>
      </c>
      <c r="D1175" s="299">
        <v>1</v>
      </c>
      <c r="E1175" s="300">
        <v>3</v>
      </c>
      <c r="F1175" s="300">
        <f>E1175*D1175</f>
        <v>3</v>
      </c>
      <c r="G1175" s="302">
        <v>3</v>
      </c>
      <c r="H1175" s="310" t="str">
        <f t="shared" si="1234"/>
        <v/>
      </c>
      <c r="I1175" s="311" t="str">
        <f t="shared" si="1235"/>
        <v/>
      </c>
      <c r="J1175" s="311" t="str">
        <f t="shared" si="1236"/>
        <v/>
      </c>
      <c r="K1175" s="311" t="str">
        <f t="shared" si="1237"/>
        <v/>
      </c>
      <c r="L1175" s="310">
        <f t="shared" si="1238"/>
        <v>9</v>
      </c>
      <c r="M1175" s="310" t="str">
        <f t="shared" si="1239"/>
        <v/>
      </c>
      <c r="N1175" s="311" t="str">
        <f t="shared" si="1240"/>
        <v/>
      </c>
    </row>
    <row r="1176" spans="1:14">
      <c r="A1176" s="253"/>
      <c r="B1176" s="254"/>
      <c r="C1176" s="299" t="s">
        <v>1519</v>
      </c>
      <c r="D1176" s="299">
        <v>1</v>
      </c>
      <c r="E1176" s="300">
        <v>3</v>
      </c>
      <c r="F1176" s="300">
        <f>E1176*D1176</f>
        <v>3</v>
      </c>
      <c r="G1176" s="302">
        <v>3.5</v>
      </c>
      <c r="H1176" s="310" t="str">
        <f t="shared" si="1234"/>
        <v/>
      </c>
      <c r="I1176" s="311" t="str">
        <f t="shared" si="1235"/>
        <v/>
      </c>
      <c r="J1176" s="311">
        <f t="shared" si="1236"/>
        <v>10.5</v>
      </c>
      <c r="K1176" s="311" t="str">
        <f t="shared" si="1237"/>
        <v/>
      </c>
      <c r="L1176" s="310" t="str">
        <f t="shared" si="1238"/>
        <v/>
      </c>
      <c r="M1176" s="310" t="str">
        <f t="shared" si="1239"/>
        <v/>
      </c>
      <c r="N1176" s="311" t="str">
        <f t="shared" si="1240"/>
        <v/>
      </c>
    </row>
    <row r="1177" spans="1:14">
      <c r="A1177" s="253"/>
      <c r="B1177" s="254"/>
      <c r="C1177" s="299" t="s">
        <v>1519</v>
      </c>
      <c r="D1177" s="299">
        <v>1</v>
      </c>
      <c r="E1177" s="300">
        <v>3</v>
      </c>
      <c r="F1177" s="300">
        <f>E1177*D1177</f>
        <v>3</v>
      </c>
      <c r="G1177" s="302">
        <v>4.6500000000000004</v>
      </c>
      <c r="H1177" s="310" t="str">
        <f t="shared" ref="H1177" si="1242">IF(C1177="T6",G1177*F1177,"")</f>
        <v/>
      </c>
      <c r="I1177" s="311" t="str">
        <f t="shared" ref="I1177" si="1243">IF(C1177="T8",F1177*G1177,"")</f>
        <v/>
      </c>
      <c r="J1177" s="311">
        <f t="shared" ref="J1177" si="1244">IF(C1177="T10",F1177*G1177,"")</f>
        <v>13.95</v>
      </c>
      <c r="K1177" s="311" t="str">
        <f t="shared" ref="K1177" si="1245">IF(C1177="T12",F1177*G1177,"")</f>
        <v/>
      </c>
      <c r="L1177" s="310" t="str">
        <f t="shared" ref="L1177" si="1246">IF(C1177="T14",F1177*G1177,"")</f>
        <v/>
      </c>
      <c r="M1177" s="310" t="str">
        <f t="shared" ref="M1177" si="1247">IF(C1177="T16",G1177*F1177,"")</f>
        <v/>
      </c>
      <c r="N1177" s="311" t="str">
        <f t="shared" ref="N1177" si="1248">IF(C1177="T20",G1177*F1177,"")</f>
        <v/>
      </c>
    </row>
    <row r="1178" spans="1:14">
      <c r="A1178" s="253"/>
      <c r="B1178" s="254"/>
      <c r="C1178" s="299"/>
      <c r="D1178" s="299"/>
      <c r="E1178" s="300"/>
      <c r="F1178" s="300"/>
      <c r="G1178" s="302"/>
      <c r="H1178" s="310"/>
      <c r="I1178" s="311"/>
      <c r="J1178" s="311"/>
      <c r="K1178" s="311"/>
      <c r="L1178" s="310"/>
      <c r="M1178" s="310"/>
      <c r="N1178" s="311"/>
    </row>
    <row r="1179" spans="1:14" ht="16.5">
      <c r="A1179" s="303" t="s">
        <v>1581</v>
      </c>
      <c r="B1179" s="254"/>
      <c r="C1179" s="299"/>
      <c r="D1179" s="299"/>
      <c r="E1179" s="300"/>
      <c r="F1179" s="300"/>
      <c r="G1179" s="302"/>
      <c r="H1179" s="310"/>
      <c r="I1179" s="311"/>
      <c r="J1179" s="311"/>
      <c r="K1179" s="311"/>
      <c r="L1179" s="310"/>
      <c r="M1179" s="310"/>
      <c r="N1179" s="311"/>
    </row>
    <row r="1180" spans="1:14" s="294" customFormat="1">
      <c r="A1180" s="297" t="s">
        <v>1515</v>
      </c>
      <c r="B1180" s="298"/>
      <c r="C1180" s="299" t="s">
        <v>1519</v>
      </c>
      <c r="D1180" s="299">
        <v>1</v>
      </c>
      <c r="E1180" s="300">
        <v>3</v>
      </c>
      <c r="F1180" s="300">
        <f>E1180*D1180</f>
        <v>3</v>
      </c>
      <c r="G1180" s="299">
        <f>(2.2)+17*0.01*2</f>
        <v>2.54</v>
      </c>
      <c r="H1180" s="310" t="str">
        <f t="shared" ref="H1180:H1185" si="1249">IF(C1180="T6",G1180*F1180,"")</f>
        <v/>
      </c>
      <c r="I1180" s="311" t="str">
        <f t="shared" ref="I1180:I1185" si="1250">IF(C1180="T8",F1180*G1180,"")</f>
        <v/>
      </c>
      <c r="J1180" s="311">
        <f t="shared" ref="J1180:J1185" si="1251">IF(C1180="T10",F1180*G1180,"")</f>
        <v>7.62</v>
      </c>
      <c r="K1180" s="311" t="str">
        <f t="shared" ref="K1180:K1185" si="1252">IF(C1180="T12",F1180*G1180,"")</f>
        <v/>
      </c>
      <c r="L1180" s="310" t="str">
        <f t="shared" ref="L1180:L1185" si="1253">IF(C1180="T14",F1180*G1180,"")</f>
        <v/>
      </c>
      <c r="M1180" s="310" t="str">
        <f t="shared" ref="M1180:M1185" si="1254">IF(C1180="T16",G1180*F1180,"")</f>
        <v/>
      </c>
      <c r="N1180" s="311" t="str">
        <f t="shared" ref="N1180:N1185" si="1255">IF(C1180="T20",G1180*F1180,"")</f>
        <v/>
      </c>
    </row>
    <row r="1181" spans="1:14" s="294" customFormat="1">
      <c r="A1181" s="297" t="s">
        <v>1515</v>
      </c>
      <c r="B1181" s="298"/>
      <c r="C1181" s="299" t="s">
        <v>1492</v>
      </c>
      <c r="D1181" s="299">
        <v>1</v>
      </c>
      <c r="E1181" s="300">
        <v>3</v>
      </c>
      <c r="F1181" s="300">
        <f>E1181*D1181</f>
        <v>3</v>
      </c>
      <c r="G1181" s="302">
        <f>(2.2)+17*0.014*2</f>
        <v>2.68</v>
      </c>
      <c r="H1181" s="310" t="str">
        <f t="shared" si="1249"/>
        <v/>
      </c>
      <c r="I1181" s="311" t="str">
        <f t="shared" si="1250"/>
        <v/>
      </c>
      <c r="J1181" s="311" t="str">
        <f t="shared" si="1251"/>
        <v/>
      </c>
      <c r="K1181" s="311" t="str">
        <f t="shared" si="1252"/>
        <v/>
      </c>
      <c r="L1181" s="310">
        <f t="shared" si="1253"/>
        <v>8.0399999999999991</v>
      </c>
      <c r="M1181" s="310" t="str">
        <f t="shared" si="1254"/>
        <v/>
      </c>
      <c r="N1181" s="311" t="str">
        <f t="shared" si="1255"/>
        <v/>
      </c>
    </row>
    <row r="1182" spans="1:14" s="294" customFormat="1">
      <c r="A1182" s="297" t="s">
        <v>1494</v>
      </c>
      <c r="B1182" s="301"/>
      <c r="C1182" s="299" t="s">
        <v>1496</v>
      </c>
      <c r="D1182" s="299">
        <v>1</v>
      </c>
      <c r="E1182" s="300">
        <f>7+7+8</f>
        <v>22</v>
      </c>
      <c r="F1182" s="300">
        <f t="shared" ref="F1182:F1183" si="1256">E1182*D1182</f>
        <v>22</v>
      </c>
      <c r="G1182" s="302">
        <f>(0.2+0.35)*2+17*0.008*2</f>
        <v>1.37</v>
      </c>
      <c r="H1182" s="310" t="str">
        <f t="shared" si="1249"/>
        <v/>
      </c>
      <c r="I1182" s="311">
        <f t="shared" si="1250"/>
        <v>30.14</v>
      </c>
      <c r="J1182" s="311" t="str">
        <f t="shared" si="1251"/>
        <v/>
      </c>
      <c r="K1182" s="311" t="str">
        <f t="shared" si="1252"/>
        <v/>
      </c>
      <c r="L1182" s="310" t="str">
        <f t="shared" si="1253"/>
        <v/>
      </c>
      <c r="M1182" s="310" t="str">
        <f t="shared" si="1254"/>
        <v/>
      </c>
      <c r="N1182" s="311" t="str">
        <f t="shared" si="1255"/>
        <v/>
      </c>
    </row>
    <row r="1183" spans="1:14" s="294" customFormat="1">
      <c r="A1183" s="297" t="s">
        <v>1517</v>
      </c>
      <c r="B1183" s="301"/>
      <c r="C1183" s="299" t="s">
        <v>1496</v>
      </c>
      <c r="D1183" s="299">
        <v>1</v>
      </c>
      <c r="E1183" s="300">
        <f>7+7+8</f>
        <v>22</v>
      </c>
      <c r="F1183" s="300">
        <f t="shared" si="1256"/>
        <v>22</v>
      </c>
      <c r="G1183" s="302">
        <f>(0.35*2)+17*0.008*2</f>
        <v>0.97</v>
      </c>
      <c r="H1183" s="310" t="str">
        <f t="shared" si="1249"/>
        <v/>
      </c>
      <c r="I1183" s="311">
        <f t="shared" si="1250"/>
        <v>21.34</v>
      </c>
      <c r="J1183" s="311" t="str">
        <f t="shared" si="1251"/>
        <v/>
      </c>
      <c r="K1183" s="311" t="str">
        <f t="shared" si="1252"/>
        <v/>
      </c>
      <c r="L1183" s="310" t="str">
        <f t="shared" si="1253"/>
        <v/>
      </c>
      <c r="M1183" s="310" t="str">
        <f t="shared" si="1254"/>
        <v/>
      </c>
      <c r="N1183" s="311" t="str">
        <f t="shared" si="1255"/>
        <v/>
      </c>
    </row>
    <row r="1184" spans="1:14">
      <c r="A1184" s="297" t="s">
        <v>1520</v>
      </c>
      <c r="B1184" s="254"/>
      <c r="C1184" s="299" t="s">
        <v>1492</v>
      </c>
      <c r="D1184" s="299">
        <v>1</v>
      </c>
      <c r="E1184" s="300">
        <v>3</v>
      </c>
      <c r="F1184" s="300">
        <f>E1184*D1184</f>
        <v>3</v>
      </c>
      <c r="G1184" s="302">
        <v>2.2000000000000002</v>
      </c>
      <c r="H1184" s="310" t="str">
        <f t="shared" si="1249"/>
        <v/>
      </c>
      <c r="I1184" s="311" t="str">
        <f t="shared" si="1250"/>
        <v/>
      </c>
      <c r="J1184" s="311" t="str">
        <f t="shared" si="1251"/>
        <v/>
      </c>
      <c r="K1184" s="311" t="str">
        <f t="shared" si="1252"/>
        <v/>
      </c>
      <c r="L1184" s="310">
        <f t="shared" si="1253"/>
        <v>6.6</v>
      </c>
      <c r="M1184" s="310" t="str">
        <f t="shared" si="1254"/>
        <v/>
      </c>
      <c r="N1184" s="311" t="str">
        <f t="shared" si="1255"/>
        <v/>
      </c>
    </row>
    <row r="1185" spans="1:14">
      <c r="A1185" s="253"/>
      <c r="B1185" s="254"/>
      <c r="C1185" s="299" t="s">
        <v>1492</v>
      </c>
      <c r="D1185" s="299">
        <v>1</v>
      </c>
      <c r="E1185" s="300">
        <v>3</v>
      </c>
      <c r="F1185" s="300">
        <f>E1185*D1185</f>
        <v>3</v>
      </c>
      <c r="G1185" s="302">
        <v>1</v>
      </c>
      <c r="H1185" s="310" t="str">
        <f t="shared" si="1249"/>
        <v/>
      </c>
      <c r="I1185" s="311" t="str">
        <f t="shared" si="1250"/>
        <v/>
      </c>
      <c r="J1185" s="311" t="str">
        <f t="shared" si="1251"/>
        <v/>
      </c>
      <c r="K1185" s="311" t="str">
        <f t="shared" si="1252"/>
        <v/>
      </c>
      <c r="L1185" s="310">
        <f t="shared" si="1253"/>
        <v>3</v>
      </c>
      <c r="M1185" s="310" t="str">
        <f t="shared" si="1254"/>
        <v/>
      </c>
      <c r="N1185" s="311" t="str">
        <f t="shared" si="1255"/>
        <v/>
      </c>
    </row>
    <row r="1186" spans="1:14">
      <c r="A1186" s="253"/>
      <c r="B1186" s="254"/>
      <c r="C1186" s="299"/>
      <c r="D1186" s="299"/>
      <c r="E1186" s="300"/>
      <c r="F1186" s="300"/>
      <c r="G1186" s="302"/>
      <c r="H1186" s="310"/>
      <c r="I1186" s="311"/>
      <c r="J1186" s="311"/>
      <c r="K1186" s="311"/>
      <c r="L1186" s="310"/>
      <c r="M1186" s="310"/>
      <c r="N1186" s="311"/>
    </row>
    <row r="1187" spans="1:14" ht="16.5">
      <c r="A1187" s="303" t="s">
        <v>1580</v>
      </c>
      <c r="B1187" s="254"/>
      <c r="C1187" s="299"/>
      <c r="D1187" s="299"/>
      <c r="E1187" s="300"/>
      <c r="F1187" s="300"/>
      <c r="G1187" s="302"/>
      <c r="H1187" s="310"/>
      <c r="I1187" s="311"/>
      <c r="J1187" s="311"/>
      <c r="K1187" s="311"/>
      <c r="L1187" s="310"/>
      <c r="M1187" s="310"/>
      <c r="N1187" s="311"/>
    </row>
    <row r="1188" spans="1:14" s="294" customFormat="1">
      <c r="A1188" s="297" t="s">
        <v>1515</v>
      </c>
      <c r="B1188" s="298"/>
      <c r="C1188" s="299" t="s">
        <v>1519</v>
      </c>
      <c r="D1188" s="299">
        <v>1</v>
      </c>
      <c r="E1188" s="300">
        <v>3</v>
      </c>
      <c r="F1188" s="300">
        <f>E1188*D1188</f>
        <v>3</v>
      </c>
      <c r="G1188" s="299">
        <f>(4.36)+17*0.01*2</f>
        <v>4.7</v>
      </c>
      <c r="H1188" s="310" t="str">
        <f t="shared" ref="H1188:H1193" si="1257">IF(C1188="T6",G1188*F1188,"")</f>
        <v/>
      </c>
      <c r="I1188" s="311" t="str">
        <f t="shared" ref="I1188:I1193" si="1258">IF(C1188="T8",F1188*G1188,"")</f>
        <v/>
      </c>
      <c r="J1188" s="311">
        <f t="shared" ref="J1188:J1193" si="1259">IF(C1188="T10",F1188*G1188,"")</f>
        <v>14.1</v>
      </c>
      <c r="K1188" s="311" t="str">
        <f t="shared" ref="K1188:K1193" si="1260">IF(C1188="T12",F1188*G1188,"")</f>
        <v/>
      </c>
      <c r="L1188" s="310" t="str">
        <f t="shared" ref="L1188:L1193" si="1261">IF(C1188="T14",F1188*G1188,"")</f>
        <v/>
      </c>
      <c r="M1188" s="310" t="str">
        <f t="shared" ref="M1188:M1193" si="1262">IF(C1188="T16",G1188*F1188,"")</f>
        <v/>
      </c>
      <c r="N1188" s="311" t="str">
        <f t="shared" ref="N1188:N1193" si="1263">IF(C1188="T20",G1188*F1188,"")</f>
        <v/>
      </c>
    </row>
    <row r="1189" spans="1:14" s="294" customFormat="1">
      <c r="A1189" s="297" t="s">
        <v>1515</v>
      </c>
      <c r="B1189" s="298"/>
      <c r="C1189" s="299" t="s">
        <v>1516</v>
      </c>
      <c r="D1189" s="299">
        <v>1</v>
      </c>
      <c r="E1189" s="300">
        <v>3</v>
      </c>
      <c r="F1189" s="300">
        <f>E1189*D1189</f>
        <v>3</v>
      </c>
      <c r="G1189" s="302">
        <f>(4.36)+17*0.012*2</f>
        <v>4.7699999999999996</v>
      </c>
      <c r="H1189" s="310" t="str">
        <f t="shared" si="1257"/>
        <v/>
      </c>
      <c r="I1189" s="311" t="str">
        <f t="shared" si="1258"/>
        <v/>
      </c>
      <c r="J1189" s="311" t="str">
        <f t="shared" si="1259"/>
        <v/>
      </c>
      <c r="K1189" s="311">
        <f t="shared" si="1260"/>
        <v>14.31</v>
      </c>
      <c r="L1189" s="310" t="str">
        <f t="shared" si="1261"/>
        <v/>
      </c>
      <c r="M1189" s="310" t="str">
        <f t="shared" si="1262"/>
        <v/>
      </c>
      <c r="N1189" s="311" t="str">
        <f t="shared" si="1263"/>
        <v/>
      </c>
    </row>
    <row r="1190" spans="1:14" s="294" customFormat="1">
      <c r="A1190" s="297" t="s">
        <v>1494</v>
      </c>
      <c r="B1190" s="301"/>
      <c r="C1190" s="299" t="s">
        <v>1496</v>
      </c>
      <c r="D1190" s="299">
        <v>1</v>
      </c>
      <c r="E1190" s="300">
        <f>12+12+11</f>
        <v>35</v>
      </c>
      <c r="F1190" s="300">
        <f t="shared" ref="F1190:F1191" si="1264">E1190*D1190</f>
        <v>35</v>
      </c>
      <c r="G1190" s="302">
        <f>(0.2+0.4)*2+17*0.008*2</f>
        <v>1.47</v>
      </c>
      <c r="H1190" s="310" t="str">
        <f t="shared" si="1257"/>
        <v/>
      </c>
      <c r="I1190" s="311">
        <f t="shared" si="1258"/>
        <v>51.45</v>
      </c>
      <c r="J1190" s="311" t="str">
        <f t="shared" si="1259"/>
        <v/>
      </c>
      <c r="K1190" s="311" t="str">
        <f t="shared" si="1260"/>
        <v/>
      </c>
      <c r="L1190" s="310" t="str">
        <f t="shared" si="1261"/>
        <v/>
      </c>
      <c r="M1190" s="310" t="str">
        <f t="shared" si="1262"/>
        <v/>
      </c>
      <c r="N1190" s="311" t="str">
        <f t="shared" si="1263"/>
        <v/>
      </c>
    </row>
    <row r="1191" spans="1:14" s="294" customFormat="1">
      <c r="A1191" s="297" t="s">
        <v>1517</v>
      </c>
      <c r="B1191" s="301"/>
      <c r="C1191" s="299" t="s">
        <v>1496</v>
      </c>
      <c r="D1191" s="299">
        <v>1</v>
      </c>
      <c r="E1191" s="300">
        <f>12+12+11</f>
        <v>35</v>
      </c>
      <c r="F1191" s="300">
        <f t="shared" si="1264"/>
        <v>35</v>
      </c>
      <c r="G1191" s="302">
        <f>(0.4*2)+17*0.008*2</f>
        <v>1.07</v>
      </c>
      <c r="H1191" s="310" t="str">
        <f t="shared" si="1257"/>
        <v/>
      </c>
      <c r="I1191" s="311">
        <f t="shared" si="1258"/>
        <v>37.450000000000003</v>
      </c>
      <c r="J1191" s="311" t="str">
        <f t="shared" si="1259"/>
        <v/>
      </c>
      <c r="K1191" s="311" t="str">
        <f t="shared" si="1260"/>
        <v/>
      </c>
      <c r="L1191" s="310" t="str">
        <f t="shared" si="1261"/>
        <v/>
      </c>
      <c r="M1191" s="310" t="str">
        <f t="shared" si="1262"/>
        <v/>
      </c>
      <c r="N1191" s="311" t="str">
        <f t="shared" si="1263"/>
        <v/>
      </c>
    </row>
    <row r="1192" spans="1:14">
      <c r="A1192" s="297" t="s">
        <v>1520</v>
      </c>
      <c r="B1192" s="254"/>
      <c r="C1192" s="299" t="s">
        <v>1492</v>
      </c>
      <c r="D1192" s="299">
        <v>1</v>
      </c>
      <c r="E1192" s="300">
        <v>3</v>
      </c>
      <c r="F1192" s="300">
        <f>E1192*D1192</f>
        <v>3</v>
      </c>
      <c r="G1192" s="302">
        <v>3.2</v>
      </c>
      <c r="H1192" s="310" t="str">
        <f t="shared" si="1257"/>
        <v/>
      </c>
      <c r="I1192" s="311" t="str">
        <f t="shared" si="1258"/>
        <v/>
      </c>
      <c r="J1192" s="311" t="str">
        <f t="shared" si="1259"/>
        <v/>
      </c>
      <c r="K1192" s="311" t="str">
        <f t="shared" si="1260"/>
        <v/>
      </c>
      <c r="L1192" s="310">
        <f t="shared" si="1261"/>
        <v>9.6</v>
      </c>
      <c r="M1192" s="310" t="str">
        <f t="shared" si="1262"/>
        <v/>
      </c>
      <c r="N1192" s="311" t="str">
        <f t="shared" si="1263"/>
        <v/>
      </c>
    </row>
    <row r="1193" spans="1:14">
      <c r="A1193" s="253"/>
      <c r="B1193" s="254"/>
      <c r="C1193" s="299" t="s">
        <v>1492</v>
      </c>
      <c r="D1193" s="299">
        <v>1</v>
      </c>
      <c r="E1193" s="300">
        <v>3</v>
      </c>
      <c r="F1193" s="300">
        <f>E1193*D1193</f>
        <v>3</v>
      </c>
      <c r="G1193" s="302">
        <v>2.2000000000000002</v>
      </c>
      <c r="H1193" s="310" t="str">
        <f t="shared" si="1257"/>
        <v/>
      </c>
      <c r="I1193" s="311" t="str">
        <f t="shared" si="1258"/>
        <v/>
      </c>
      <c r="J1193" s="311" t="str">
        <f t="shared" si="1259"/>
        <v/>
      </c>
      <c r="K1193" s="311" t="str">
        <f t="shared" si="1260"/>
        <v/>
      </c>
      <c r="L1193" s="310">
        <f t="shared" si="1261"/>
        <v>6.6</v>
      </c>
      <c r="M1193" s="310" t="str">
        <f t="shared" si="1262"/>
        <v/>
      </c>
      <c r="N1193" s="311" t="str">
        <f t="shared" si="1263"/>
        <v/>
      </c>
    </row>
    <row r="1194" spans="1:14">
      <c r="A1194" s="253"/>
      <c r="B1194" s="254"/>
      <c r="C1194" s="299" t="s">
        <v>1516</v>
      </c>
      <c r="D1194" s="299">
        <v>1</v>
      </c>
      <c r="E1194" s="300">
        <v>3</v>
      </c>
      <c r="F1194" s="300">
        <f>E1194*D1194</f>
        <v>3</v>
      </c>
      <c r="G1194" s="302">
        <v>4.8</v>
      </c>
      <c r="H1194" s="310" t="str">
        <f t="shared" ref="H1194" si="1265">IF(C1194="T6",G1194*F1194,"")</f>
        <v/>
      </c>
      <c r="I1194" s="311" t="str">
        <f t="shared" ref="I1194" si="1266">IF(C1194="T8",F1194*G1194,"")</f>
        <v/>
      </c>
      <c r="J1194" s="311" t="str">
        <f t="shared" ref="J1194" si="1267">IF(C1194="T10",F1194*G1194,"")</f>
        <v/>
      </c>
      <c r="K1194" s="311">
        <f t="shared" ref="K1194" si="1268">IF(C1194="T12",F1194*G1194,"")</f>
        <v>14.4</v>
      </c>
      <c r="L1194" s="310" t="str">
        <f t="shared" ref="L1194" si="1269">IF(C1194="T14",F1194*G1194,"")</f>
        <v/>
      </c>
      <c r="M1194" s="310" t="str">
        <f t="shared" ref="M1194" si="1270">IF(C1194="T16",G1194*F1194,"")</f>
        <v/>
      </c>
      <c r="N1194" s="311" t="str">
        <f t="shared" ref="N1194" si="1271">IF(C1194="T20",G1194*F1194,"")</f>
        <v/>
      </c>
    </row>
    <row r="1195" spans="1:14">
      <c r="A1195" s="253"/>
      <c r="B1195" s="254"/>
      <c r="C1195" s="299"/>
      <c r="D1195" s="299"/>
      <c r="E1195" s="300"/>
      <c r="F1195" s="300"/>
      <c r="G1195" s="302"/>
      <c r="H1195" s="310"/>
      <c r="I1195" s="311"/>
      <c r="J1195" s="311"/>
      <c r="K1195" s="311"/>
      <c r="L1195" s="310"/>
      <c r="M1195" s="310"/>
      <c r="N1195" s="311"/>
    </row>
    <row r="1196" spans="1:14" ht="16.5">
      <c r="A1196" s="303" t="s">
        <v>1579</v>
      </c>
      <c r="B1196" s="254"/>
      <c r="C1196" s="299"/>
      <c r="D1196" s="299"/>
      <c r="E1196" s="300"/>
      <c r="F1196" s="300"/>
      <c r="G1196" s="302"/>
      <c r="H1196" s="310"/>
      <c r="I1196" s="311"/>
      <c r="J1196" s="311"/>
      <c r="K1196" s="311"/>
      <c r="L1196" s="310"/>
      <c r="M1196" s="310"/>
      <c r="N1196" s="311"/>
    </row>
    <row r="1197" spans="1:14" s="294" customFormat="1">
      <c r="A1197" s="297" t="s">
        <v>1515</v>
      </c>
      <c r="B1197" s="298"/>
      <c r="C1197" s="299" t="s">
        <v>1519</v>
      </c>
      <c r="D1197" s="299">
        <v>1</v>
      </c>
      <c r="E1197" s="300">
        <v>3</v>
      </c>
      <c r="F1197" s="300">
        <f>E1197*D1197</f>
        <v>3</v>
      </c>
      <c r="G1197" s="299">
        <f>(3.05)+17*0.01*2</f>
        <v>3.39</v>
      </c>
      <c r="H1197" s="310" t="str">
        <f t="shared" ref="H1197:H1202" si="1272">IF(C1197="T6",G1197*F1197,"")</f>
        <v/>
      </c>
      <c r="I1197" s="311" t="str">
        <f t="shared" ref="I1197:I1202" si="1273">IF(C1197="T8",F1197*G1197,"")</f>
        <v/>
      </c>
      <c r="J1197" s="311">
        <f t="shared" ref="J1197:J1202" si="1274">IF(C1197="T10",F1197*G1197,"")</f>
        <v>10.17</v>
      </c>
      <c r="K1197" s="311" t="str">
        <f t="shared" ref="K1197:K1202" si="1275">IF(C1197="T12",F1197*G1197,"")</f>
        <v/>
      </c>
      <c r="L1197" s="310" t="str">
        <f t="shared" ref="L1197:L1202" si="1276">IF(C1197="T14",F1197*G1197,"")</f>
        <v/>
      </c>
      <c r="M1197" s="310" t="str">
        <f t="shared" ref="M1197:M1202" si="1277">IF(C1197="T16",G1197*F1197,"")</f>
        <v/>
      </c>
      <c r="N1197" s="311" t="str">
        <f t="shared" ref="N1197:N1202" si="1278">IF(C1197="T20",G1197*F1197,"")</f>
        <v/>
      </c>
    </row>
    <row r="1198" spans="1:14" s="294" customFormat="1">
      <c r="A1198" s="297" t="s">
        <v>1515</v>
      </c>
      <c r="B1198" s="298"/>
      <c r="C1198" s="299" t="s">
        <v>1492</v>
      </c>
      <c r="D1198" s="299">
        <v>1</v>
      </c>
      <c r="E1198" s="300">
        <v>3</v>
      </c>
      <c r="F1198" s="300">
        <f>E1198*D1198</f>
        <v>3</v>
      </c>
      <c r="G1198" s="302">
        <f>(3.05)+17*0.014*2</f>
        <v>3.53</v>
      </c>
      <c r="H1198" s="310" t="str">
        <f t="shared" si="1272"/>
        <v/>
      </c>
      <c r="I1198" s="311" t="str">
        <f t="shared" si="1273"/>
        <v/>
      </c>
      <c r="J1198" s="311" t="str">
        <f t="shared" si="1274"/>
        <v/>
      </c>
      <c r="K1198" s="311" t="str">
        <f t="shared" si="1275"/>
        <v/>
      </c>
      <c r="L1198" s="310">
        <f t="shared" si="1276"/>
        <v>10.59</v>
      </c>
      <c r="M1198" s="310" t="str">
        <f t="shared" si="1277"/>
        <v/>
      </c>
      <c r="N1198" s="311" t="str">
        <f t="shared" si="1278"/>
        <v/>
      </c>
    </row>
    <row r="1199" spans="1:14" s="294" customFormat="1">
      <c r="A1199" s="297" t="s">
        <v>1494</v>
      </c>
      <c r="B1199" s="301"/>
      <c r="C1199" s="299" t="s">
        <v>1496</v>
      </c>
      <c r="D1199" s="299">
        <v>1</v>
      </c>
      <c r="E1199" s="300">
        <f>10+10+12</f>
        <v>32</v>
      </c>
      <c r="F1199" s="300">
        <f t="shared" ref="F1199:F1200" si="1279">E1199*D1199</f>
        <v>32</v>
      </c>
      <c r="G1199" s="302">
        <f>(0.2+0.4)*2+17*0.008*2</f>
        <v>1.47</v>
      </c>
      <c r="H1199" s="310" t="str">
        <f t="shared" si="1272"/>
        <v/>
      </c>
      <c r="I1199" s="311">
        <f t="shared" si="1273"/>
        <v>47.04</v>
      </c>
      <c r="J1199" s="311" t="str">
        <f t="shared" si="1274"/>
        <v/>
      </c>
      <c r="K1199" s="311" t="str">
        <f t="shared" si="1275"/>
        <v/>
      </c>
      <c r="L1199" s="310" t="str">
        <f t="shared" si="1276"/>
        <v/>
      </c>
      <c r="M1199" s="310" t="str">
        <f t="shared" si="1277"/>
        <v/>
      </c>
      <c r="N1199" s="311" t="str">
        <f t="shared" si="1278"/>
        <v/>
      </c>
    </row>
    <row r="1200" spans="1:14" s="294" customFormat="1">
      <c r="A1200" s="297" t="s">
        <v>1517</v>
      </c>
      <c r="B1200" s="301"/>
      <c r="C1200" s="299" t="s">
        <v>1496</v>
      </c>
      <c r="D1200" s="299">
        <v>1</v>
      </c>
      <c r="E1200" s="300">
        <f>10+10+12</f>
        <v>32</v>
      </c>
      <c r="F1200" s="300">
        <f t="shared" si="1279"/>
        <v>32</v>
      </c>
      <c r="G1200" s="302">
        <f>(0.4*2)+17*0.008*2</f>
        <v>1.07</v>
      </c>
      <c r="H1200" s="310" t="str">
        <f t="shared" si="1272"/>
        <v/>
      </c>
      <c r="I1200" s="311">
        <f t="shared" si="1273"/>
        <v>34.24</v>
      </c>
      <c r="J1200" s="311" t="str">
        <f t="shared" si="1274"/>
        <v/>
      </c>
      <c r="K1200" s="311" t="str">
        <f t="shared" si="1275"/>
        <v/>
      </c>
      <c r="L1200" s="310" t="str">
        <f t="shared" si="1276"/>
        <v/>
      </c>
      <c r="M1200" s="310" t="str">
        <f t="shared" si="1277"/>
        <v/>
      </c>
      <c r="N1200" s="311" t="str">
        <f t="shared" si="1278"/>
        <v/>
      </c>
    </row>
    <row r="1201" spans="1:14">
      <c r="A1201" s="297" t="s">
        <v>1520</v>
      </c>
      <c r="B1201" s="254"/>
      <c r="C1201" s="299" t="s">
        <v>1492</v>
      </c>
      <c r="D1201" s="299">
        <v>1</v>
      </c>
      <c r="E1201" s="300">
        <v>3</v>
      </c>
      <c r="F1201" s="300">
        <f>E1201*D1201</f>
        <v>3</v>
      </c>
      <c r="G1201" s="302">
        <v>3.2</v>
      </c>
      <c r="H1201" s="310" t="str">
        <f t="shared" si="1272"/>
        <v/>
      </c>
      <c r="I1201" s="311" t="str">
        <f t="shared" si="1273"/>
        <v/>
      </c>
      <c r="J1201" s="311" t="str">
        <f t="shared" si="1274"/>
        <v/>
      </c>
      <c r="K1201" s="311" t="str">
        <f t="shared" si="1275"/>
        <v/>
      </c>
      <c r="L1201" s="310">
        <f t="shared" si="1276"/>
        <v>9.6</v>
      </c>
      <c r="M1201" s="310" t="str">
        <f t="shared" si="1277"/>
        <v/>
      </c>
      <c r="N1201" s="311" t="str">
        <f t="shared" si="1278"/>
        <v/>
      </c>
    </row>
    <row r="1202" spans="1:14">
      <c r="A1202" s="253"/>
      <c r="B1202" s="254"/>
      <c r="C1202" s="299" t="s">
        <v>1516</v>
      </c>
      <c r="D1202" s="299">
        <v>1</v>
      </c>
      <c r="E1202" s="300">
        <v>3</v>
      </c>
      <c r="F1202" s="300">
        <f>E1202*D1202</f>
        <v>3</v>
      </c>
      <c r="G1202" s="302">
        <v>2.5</v>
      </c>
      <c r="H1202" s="310" t="str">
        <f t="shared" si="1272"/>
        <v/>
      </c>
      <c r="I1202" s="311" t="str">
        <f t="shared" si="1273"/>
        <v/>
      </c>
      <c r="J1202" s="311" t="str">
        <f t="shared" si="1274"/>
        <v/>
      </c>
      <c r="K1202" s="311">
        <f t="shared" si="1275"/>
        <v>7.5</v>
      </c>
      <c r="L1202" s="310" t="str">
        <f t="shared" si="1276"/>
        <v/>
      </c>
      <c r="M1202" s="310" t="str">
        <f t="shared" si="1277"/>
        <v/>
      </c>
      <c r="N1202" s="311" t="str">
        <f t="shared" si="1278"/>
        <v/>
      </c>
    </row>
    <row r="1203" spans="1:14">
      <c r="A1203" s="253"/>
      <c r="B1203" s="254"/>
      <c r="C1203" s="299"/>
      <c r="D1203" s="299"/>
      <c r="E1203" s="300"/>
      <c r="F1203" s="300"/>
      <c r="G1203" s="302"/>
      <c r="H1203" s="310"/>
      <c r="I1203" s="311"/>
      <c r="J1203" s="311"/>
      <c r="K1203" s="311"/>
      <c r="L1203" s="310"/>
      <c r="M1203" s="310"/>
      <c r="N1203" s="311"/>
    </row>
    <row r="1204" spans="1:14" ht="16.5">
      <c r="A1204" s="303" t="s">
        <v>1578</v>
      </c>
      <c r="B1204" s="254"/>
      <c r="C1204" s="299"/>
      <c r="D1204" s="299"/>
      <c r="E1204" s="300"/>
      <c r="F1204" s="300"/>
      <c r="G1204" s="302"/>
      <c r="H1204" s="310"/>
      <c r="I1204" s="311"/>
      <c r="J1204" s="311"/>
      <c r="K1204" s="311"/>
      <c r="L1204" s="310"/>
      <c r="M1204" s="310"/>
      <c r="N1204" s="311"/>
    </row>
    <row r="1205" spans="1:14" s="294" customFormat="1">
      <c r="A1205" s="297" t="s">
        <v>1515</v>
      </c>
      <c r="B1205" s="298"/>
      <c r="C1205" s="299" t="s">
        <v>1519</v>
      </c>
      <c r="D1205" s="299">
        <v>1</v>
      </c>
      <c r="E1205" s="300">
        <v>3</v>
      </c>
      <c r="F1205" s="300">
        <f>E1205*D1205</f>
        <v>3</v>
      </c>
      <c r="G1205" s="299">
        <f>(3.4)+17*0.01*2</f>
        <v>3.74</v>
      </c>
      <c r="H1205" s="310" t="str">
        <f t="shared" ref="H1205:H1210" si="1280">IF(C1205="T6",G1205*F1205,"")</f>
        <v/>
      </c>
      <c r="I1205" s="311" t="str">
        <f t="shared" ref="I1205:I1210" si="1281">IF(C1205="T8",F1205*G1205,"")</f>
        <v/>
      </c>
      <c r="J1205" s="311">
        <f t="shared" ref="J1205:J1210" si="1282">IF(C1205="T10",F1205*G1205,"")</f>
        <v>11.22</v>
      </c>
      <c r="K1205" s="311" t="str">
        <f t="shared" ref="K1205:K1210" si="1283">IF(C1205="T12",F1205*G1205,"")</f>
        <v/>
      </c>
      <c r="L1205" s="310" t="str">
        <f t="shared" ref="L1205:L1210" si="1284">IF(C1205="T14",F1205*G1205,"")</f>
        <v/>
      </c>
      <c r="M1205" s="310" t="str">
        <f t="shared" ref="M1205:M1210" si="1285">IF(C1205="T16",G1205*F1205,"")</f>
        <v/>
      </c>
      <c r="N1205" s="311" t="str">
        <f t="shared" ref="N1205:N1210" si="1286">IF(C1205="T20",G1205*F1205,"")</f>
        <v/>
      </c>
    </row>
    <row r="1206" spans="1:14" s="294" customFormat="1">
      <c r="A1206" s="297" t="s">
        <v>1515</v>
      </c>
      <c r="B1206" s="298"/>
      <c r="C1206" s="299" t="s">
        <v>1492</v>
      </c>
      <c r="D1206" s="299">
        <v>1</v>
      </c>
      <c r="E1206" s="300">
        <v>3</v>
      </c>
      <c r="F1206" s="300">
        <f>E1206*D1206</f>
        <v>3</v>
      </c>
      <c r="G1206" s="302">
        <f>(3.4)+17*0.014*2</f>
        <v>3.88</v>
      </c>
      <c r="H1206" s="310" t="str">
        <f t="shared" si="1280"/>
        <v/>
      </c>
      <c r="I1206" s="311" t="str">
        <f t="shared" si="1281"/>
        <v/>
      </c>
      <c r="J1206" s="311" t="str">
        <f t="shared" si="1282"/>
        <v/>
      </c>
      <c r="K1206" s="311" t="str">
        <f t="shared" si="1283"/>
        <v/>
      </c>
      <c r="L1206" s="310">
        <f t="shared" si="1284"/>
        <v>11.64</v>
      </c>
      <c r="M1206" s="310" t="str">
        <f t="shared" si="1285"/>
        <v/>
      </c>
      <c r="N1206" s="311" t="str">
        <f t="shared" si="1286"/>
        <v/>
      </c>
    </row>
    <row r="1207" spans="1:14" s="294" customFormat="1">
      <c r="A1207" s="297" t="s">
        <v>1494</v>
      </c>
      <c r="B1207" s="301"/>
      <c r="C1207" s="299" t="s">
        <v>1496</v>
      </c>
      <c r="D1207" s="299">
        <v>1</v>
      </c>
      <c r="E1207" s="300">
        <f>11+10+11</f>
        <v>32</v>
      </c>
      <c r="F1207" s="300">
        <f t="shared" ref="F1207:F1208" si="1287">E1207*D1207</f>
        <v>32</v>
      </c>
      <c r="G1207" s="302">
        <f>(0.2+0.25)*2+17*0.008*2</f>
        <v>1.17</v>
      </c>
      <c r="H1207" s="310" t="str">
        <f t="shared" si="1280"/>
        <v/>
      </c>
      <c r="I1207" s="311">
        <f t="shared" si="1281"/>
        <v>37.44</v>
      </c>
      <c r="J1207" s="311" t="str">
        <f t="shared" si="1282"/>
        <v/>
      </c>
      <c r="K1207" s="311" t="str">
        <f t="shared" si="1283"/>
        <v/>
      </c>
      <c r="L1207" s="310" t="str">
        <f t="shared" si="1284"/>
        <v/>
      </c>
      <c r="M1207" s="310" t="str">
        <f t="shared" si="1285"/>
        <v/>
      </c>
      <c r="N1207" s="311" t="str">
        <f t="shared" si="1286"/>
        <v/>
      </c>
    </row>
    <row r="1208" spans="1:14" s="294" customFormat="1">
      <c r="A1208" s="297" t="s">
        <v>1517</v>
      </c>
      <c r="B1208" s="301"/>
      <c r="C1208" s="299" t="s">
        <v>1496</v>
      </c>
      <c r="D1208" s="299">
        <v>1</v>
      </c>
      <c r="E1208" s="300">
        <f>11+10+11</f>
        <v>32</v>
      </c>
      <c r="F1208" s="300">
        <f t="shared" si="1287"/>
        <v>32</v>
      </c>
      <c r="G1208" s="302">
        <f>(0.25*2)+17*0.008*2</f>
        <v>0.77</v>
      </c>
      <c r="H1208" s="310" t="str">
        <f t="shared" si="1280"/>
        <v/>
      </c>
      <c r="I1208" s="311">
        <f t="shared" si="1281"/>
        <v>24.64</v>
      </c>
      <c r="J1208" s="311" t="str">
        <f t="shared" si="1282"/>
        <v/>
      </c>
      <c r="K1208" s="311" t="str">
        <f t="shared" si="1283"/>
        <v/>
      </c>
      <c r="L1208" s="310" t="str">
        <f t="shared" si="1284"/>
        <v/>
      </c>
      <c r="M1208" s="310" t="str">
        <f t="shared" si="1285"/>
        <v/>
      </c>
      <c r="N1208" s="311" t="str">
        <f t="shared" si="1286"/>
        <v/>
      </c>
    </row>
    <row r="1209" spans="1:14">
      <c r="A1209" s="297" t="s">
        <v>1520</v>
      </c>
      <c r="B1209" s="254"/>
      <c r="C1209" s="299" t="s">
        <v>1492</v>
      </c>
      <c r="D1209" s="299">
        <v>1</v>
      </c>
      <c r="E1209" s="300">
        <v>3</v>
      </c>
      <c r="F1209" s="300">
        <f>E1209*D1209</f>
        <v>3</v>
      </c>
      <c r="G1209" s="302">
        <v>2.2000000000000002</v>
      </c>
      <c r="H1209" s="310" t="str">
        <f t="shared" si="1280"/>
        <v/>
      </c>
      <c r="I1209" s="311" t="str">
        <f t="shared" si="1281"/>
        <v/>
      </c>
      <c r="J1209" s="311" t="str">
        <f t="shared" si="1282"/>
        <v/>
      </c>
      <c r="K1209" s="311" t="str">
        <f t="shared" si="1283"/>
        <v/>
      </c>
      <c r="L1209" s="310">
        <f t="shared" si="1284"/>
        <v>6.6</v>
      </c>
      <c r="M1209" s="310" t="str">
        <f t="shared" si="1285"/>
        <v/>
      </c>
      <c r="N1209" s="311" t="str">
        <f t="shared" si="1286"/>
        <v/>
      </c>
    </row>
    <row r="1210" spans="1:14">
      <c r="A1210" s="297" t="s">
        <v>1520</v>
      </c>
      <c r="B1210" s="254"/>
      <c r="C1210" s="299" t="s">
        <v>1492</v>
      </c>
      <c r="D1210" s="299">
        <v>1</v>
      </c>
      <c r="E1210" s="300">
        <v>3</v>
      </c>
      <c r="F1210" s="300">
        <f>E1210*D1210</f>
        <v>3</v>
      </c>
      <c r="G1210" s="302">
        <v>2.9</v>
      </c>
      <c r="H1210" s="310" t="str">
        <f t="shared" si="1280"/>
        <v/>
      </c>
      <c r="I1210" s="311" t="str">
        <f t="shared" si="1281"/>
        <v/>
      </c>
      <c r="J1210" s="311" t="str">
        <f t="shared" si="1282"/>
        <v/>
      </c>
      <c r="K1210" s="311" t="str">
        <f t="shared" si="1283"/>
        <v/>
      </c>
      <c r="L1210" s="310">
        <f t="shared" si="1284"/>
        <v>8.6999999999999993</v>
      </c>
      <c r="M1210" s="310" t="str">
        <f t="shared" si="1285"/>
        <v/>
      </c>
      <c r="N1210" s="311" t="str">
        <f t="shared" si="1286"/>
        <v/>
      </c>
    </row>
    <row r="1211" spans="1:14">
      <c r="A1211" s="253"/>
      <c r="B1211" s="254"/>
      <c r="C1211" s="299"/>
      <c r="D1211" s="299"/>
      <c r="E1211" s="300"/>
      <c r="F1211" s="300"/>
      <c r="G1211" s="302"/>
      <c r="H1211" s="310"/>
      <c r="I1211" s="311"/>
      <c r="J1211" s="311"/>
      <c r="K1211" s="311"/>
      <c r="L1211" s="310"/>
      <c r="M1211" s="310"/>
      <c r="N1211" s="311"/>
    </row>
    <row r="1212" spans="1:14" ht="16.5">
      <c r="A1212" s="303" t="s">
        <v>1577</v>
      </c>
      <c r="B1212" s="254"/>
      <c r="C1212" s="299"/>
      <c r="D1212" s="299"/>
      <c r="E1212" s="300"/>
      <c r="F1212" s="300"/>
      <c r="G1212" s="302"/>
      <c r="H1212" s="310"/>
      <c r="I1212" s="311"/>
      <c r="J1212" s="311"/>
      <c r="K1212" s="311"/>
      <c r="L1212" s="310"/>
      <c r="M1212" s="310"/>
      <c r="N1212" s="311"/>
    </row>
    <row r="1213" spans="1:14" s="294" customFormat="1">
      <c r="A1213" s="297" t="s">
        <v>1515</v>
      </c>
      <c r="B1213" s="298"/>
      <c r="C1213" s="299" t="s">
        <v>1519</v>
      </c>
      <c r="D1213" s="299">
        <v>1</v>
      </c>
      <c r="E1213" s="300">
        <v>3</v>
      </c>
      <c r="F1213" s="300">
        <f>E1213*D1213</f>
        <v>3</v>
      </c>
      <c r="G1213" s="299">
        <f>(3.86)+17*0.01*2</f>
        <v>4.2</v>
      </c>
      <c r="H1213" s="310" t="str">
        <f t="shared" ref="H1213:H1218" si="1288">IF(C1213="T6",G1213*F1213,"")</f>
        <v/>
      </c>
      <c r="I1213" s="311" t="str">
        <f t="shared" ref="I1213:I1218" si="1289">IF(C1213="T8",F1213*G1213,"")</f>
        <v/>
      </c>
      <c r="J1213" s="311">
        <f t="shared" ref="J1213:J1218" si="1290">IF(C1213="T10",F1213*G1213,"")</f>
        <v>12.6</v>
      </c>
      <c r="K1213" s="311" t="str">
        <f t="shared" ref="K1213:K1218" si="1291">IF(C1213="T12",F1213*G1213,"")</f>
        <v/>
      </c>
      <c r="L1213" s="310" t="str">
        <f t="shared" ref="L1213:L1218" si="1292">IF(C1213="T14",F1213*G1213,"")</f>
        <v/>
      </c>
      <c r="M1213" s="310" t="str">
        <f t="shared" ref="M1213:M1218" si="1293">IF(C1213="T16",G1213*F1213,"")</f>
        <v/>
      </c>
      <c r="N1213" s="311" t="str">
        <f t="shared" ref="N1213:N1218" si="1294">IF(C1213="T20",G1213*F1213,"")</f>
        <v/>
      </c>
    </row>
    <row r="1214" spans="1:14" s="294" customFormat="1">
      <c r="A1214" s="297" t="s">
        <v>1515</v>
      </c>
      <c r="B1214" s="298"/>
      <c r="C1214" s="299" t="s">
        <v>1516</v>
      </c>
      <c r="D1214" s="299">
        <v>1</v>
      </c>
      <c r="E1214" s="300">
        <v>3</v>
      </c>
      <c r="F1214" s="300">
        <f>E1214*D1214</f>
        <v>3</v>
      </c>
      <c r="G1214" s="302">
        <f>(3.86)+17*0.014*2</f>
        <v>4.34</v>
      </c>
      <c r="H1214" s="310" t="str">
        <f t="shared" si="1288"/>
        <v/>
      </c>
      <c r="I1214" s="311" t="str">
        <f t="shared" si="1289"/>
        <v/>
      </c>
      <c r="J1214" s="311" t="str">
        <f t="shared" si="1290"/>
        <v/>
      </c>
      <c r="K1214" s="311">
        <f t="shared" si="1291"/>
        <v>13.02</v>
      </c>
      <c r="L1214" s="310" t="str">
        <f t="shared" si="1292"/>
        <v/>
      </c>
      <c r="M1214" s="310" t="str">
        <f t="shared" si="1293"/>
        <v/>
      </c>
      <c r="N1214" s="311" t="str">
        <f t="shared" si="1294"/>
        <v/>
      </c>
    </row>
    <row r="1215" spans="1:14" s="294" customFormat="1">
      <c r="A1215" s="297" t="s">
        <v>1494</v>
      </c>
      <c r="B1215" s="301"/>
      <c r="C1215" s="299" t="s">
        <v>1496</v>
      </c>
      <c r="D1215" s="299">
        <v>1</v>
      </c>
      <c r="E1215" s="300">
        <f>10+10+15</f>
        <v>35</v>
      </c>
      <c r="F1215" s="300">
        <f t="shared" ref="F1215:F1216" si="1295">E1215*D1215</f>
        <v>35</v>
      </c>
      <c r="G1215" s="302">
        <f>(0.2+0.35)*2+17*0.008*2</f>
        <v>1.37</v>
      </c>
      <c r="H1215" s="310" t="str">
        <f t="shared" si="1288"/>
        <v/>
      </c>
      <c r="I1215" s="311">
        <f t="shared" si="1289"/>
        <v>47.95</v>
      </c>
      <c r="J1215" s="311" t="str">
        <f t="shared" si="1290"/>
        <v/>
      </c>
      <c r="K1215" s="311" t="str">
        <f t="shared" si="1291"/>
        <v/>
      </c>
      <c r="L1215" s="310" t="str">
        <f t="shared" si="1292"/>
        <v/>
      </c>
      <c r="M1215" s="310" t="str">
        <f t="shared" si="1293"/>
        <v/>
      </c>
      <c r="N1215" s="311" t="str">
        <f t="shared" si="1294"/>
        <v/>
      </c>
    </row>
    <row r="1216" spans="1:14" s="294" customFormat="1">
      <c r="A1216" s="297" t="s">
        <v>1517</v>
      </c>
      <c r="B1216" s="301"/>
      <c r="C1216" s="299" t="s">
        <v>1496</v>
      </c>
      <c r="D1216" s="299">
        <v>1</v>
      </c>
      <c r="E1216" s="300">
        <v>35</v>
      </c>
      <c r="F1216" s="300">
        <f t="shared" si="1295"/>
        <v>35</v>
      </c>
      <c r="G1216" s="302">
        <f>(0.35*2)+17*0.008*2</f>
        <v>0.97</v>
      </c>
      <c r="H1216" s="310" t="str">
        <f t="shared" si="1288"/>
        <v/>
      </c>
      <c r="I1216" s="311">
        <f t="shared" si="1289"/>
        <v>33.950000000000003</v>
      </c>
      <c r="J1216" s="311" t="str">
        <f t="shared" si="1290"/>
        <v/>
      </c>
      <c r="K1216" s="311" t="str">
        <f t="shared" si="1291"/>
        <v/>
      </c>
      <c r="L1216" s="310" t="str">
        <f t="shared" si="1292"/>
        <v/>
      </c>
      <c r="M1216" s="310" t="str">
        <f t="shared" si="1293"/>
        <v/>
      </c>
      <c r="N1216" s="311" t="str">
        <f t="shared" si="1294"/>
        <v/>
      </c>
    </row>
    <row r="1217" spans="1:14">
      <c r="A1217" s="297" t="s">
        <v>1520</v>
      </c>
      <c r="B1217" s="254"/>
      <c r="C1217" s="299" t="s">
        <v>1492</v>
      </c>
      <c r="D1217" s="299">
        <v>1</v>
      </c>
      <c r="E1217" s="300">
        <v>6</v>
      </c>
      <c r="F1217" s="300">
        <f>E1217*D1217</f>
        <v>6</v>
      </c>
      <c r="G1217" s="302">
        <v>2.9</v>
      </c>
      <c r="H1217" s="310" t="str">
        <f t="shared" si="1288"/>
        <v/>
      </c>
      <c r="I1217" s="311" t="str">
        <f t="shared" si="1289"/>
        <v/>
      </c>
      <c r="J1217" s="311" t="str">
        <f t="shared" si="1290"/>
        <v/>
      </c>
      <c r="K1217" s="311" t="str">
        <f t="shared" si="1291"/>
        <v/>
      </c>
      <c r="L1217" s="310">
        <f t="shared" si="1292"/>
        <v>17.399999999999999</v>
      </c>
      <c r="M1217" s="310" t="str">
        <f t="shared" si="1293"/>
        <v/>
      </c>
      <c r="N1217" s="311" t="str">
        <f t="shared" si="1294"/>
        <v/>
      </c>
    </row>
    <row r="1218" spans="1:14">
      <c r="A1218" s="253"/>
      <c r="B1218" s="254"/>
      <c r="C1218" s="299" t="s">
        <v>1516</v>
      </c>
      <c r="D1218" s="299">
        <v>1</v>
      </c>
      <c r="E1218" s="300">
        <v>3</v>
      </c>
      <c r="F1218" s="300">
        <f>E1218*D1218</f>
        <v>3</v>
      </c>
      <c r="G1218" s="302">
        <v>2.9</v>
      </c>
      <c r="H1218" s="310" t="str">
        <f t="shared" si="1288"/>
        <v/>
      </c>
      <c r="I1218" s="311" t="str">
        <f t="shared" si="1289"/>
        <v/>
      </c>
      <c r="J1218" s="311" t="str">
        <f t="shared" si="1290"/>
        <v/>
      </c>
      <c r="K1218" s="311">
        <f t="shared" si="1291"/>
        <v>8.6999999999999993</v>
      </c>
      <c r="L1218" s="310" t="str">
        <f t="shared" si="1292"/>
        <v/>
      </c>
      <c r="M1218" s="310" t="str">
        <f t="shared" si="1293"/>
        <v/>
      </c>
      <c r="N1218" s="311" t="str">
        <f t="shared" si="1294"/>
        <v/>
      </c>
    </row>
    <row r="1219" spans="1:14">
      <c r="A1219" s="253"/>
      <c r="B1219" s="254"/>
      <c r="C1219" s="299"/>
      <c r="D1219" s="299"/>
      <c r="E1219" s="300"/>
      <c r="F1219" s="300"/>
      <c r="G1219" s="302"/>
      <c r="H1219" s="310"/>
      <c r="I1219" s="311"/>
      <c r="J1219" s="311"/>
      <c r="K1219" s="311"/>
      <c r="L1219" s="310"/>
      <c r="M1219" s="310"/>
      <c r="N1219" s="311"/>
    </row>
    <row r="1220" spans="1:14" ht="16.5">
      <c r="A1220" s="303" t="s">
        <v>1576</v>
      </c>
      <c r="B1220" s="254"/>
      <c r="C1220" s="299"/>
      <c r="D1220" s="299"/>
      <c r="E1220" s="300"/>
      <c r="F1220" s="300"/>
      <c r="G1220" s="302"/>
      <c r="H1220" s="310"/>
      <c r="I1220" s="311"/>
      <c r="J1220" s="311"/>
      <c r="K1220" s="311"/>
      <c r="L1220" s="310"/>
      <c r="M1220" s="310"/>
      <c r="N1220" s="311"/>
    </row>
    <row r="1221" spans="1:14" s="294" customFormat="1">
      <c r="A1221" s="297" t="s">
        <v>1515</v>
      </c>
      <c r="B1221" s="298"/>
      <c r="C1221" s="299" t="s">
        <v>1519</v>
      </c>
      <c r="D1221" s="299">
        <v>1</v>
      </c>
      <c r="E1221" s="300">
        <v>3</v>
      </c>
      <c r="F1221" s="300">
        <f>E1221*D1221</f>
        <v>3</v>
      </c>
      <c r="G1221" s="299">
        <f>(3.36)+17*0.01*2</f>
        <v>3.7</v>
      </c>
      <c r="H1221" s="310" t="str">
        <f t="shared" ref="H1221:H1227" si="1296">IF(C1221="T6",G1221*F1221,"")</f>
        <v/>
      </c>
      <c r="I1221" s="311" t="str">
        <f t="shared" ref="I1221:I1227" si="1297">IF(C1221="T8",F1221*G1221,"")</f>
        <v/>
      </c>
      <c r="J1221" s="311">
        <f t="shared" ref="J1221:J1227" si="1298">IF(C1221="T10",F1221*G1221,"")</f>
        <v>11.1</v>
      </c>
      <c r="K1221" s="311" t="str">
        <f t="shared" ref="K1221:K1227" si="1299">IF(C1221="T12",F1221*G1221,"")</f>
        <v/>
      </c>
      <c r="L1221" s="310" t="str">
        <f t="shared" ref="L1221:L1227" si="1300">IF(C1221="T14",F1221*G1221,"")</f>
        <v/>
      </c>
      <c r="M1221" s="310" t="str">
        <f t="shared" ref="M1221:M1227" si="1301">IF(C1221="T16",G1221*F1221,"")</f>
        <v/>
      </c>
      <c r="N1221" s="311" t="str">
        <f t="shared" ref="N1221:N1227" si="1302">IF(C1221="T20",G1221*F1221,"")</f>
        <v/>
      </c>
    </row>
    <row r="1222" spans="1:14" s="294" customFormat="1">
      <c r="A1222" s="297" t="s">
        <v>1515</v>
      </c>
      <c r="B1222" s="298"/>
      <c r="C1222" s="299" t="s">
        <v>1516</v>
      </c>
      <c r="D1222" s="299">
        <v>1</v>
      </c>
      <c r="E1222" s="300">
        <v>3</v>
      </c>
      <c r="F1222" s="300">
        <f>E1222*D1222</f>
        <v>3</v>
      </c>
      <c r="G1222" s="302">
        <f>(3.36)+17*0.014*2</f>
        <v>3.84</v>
      </c>
      <c r="H1222" s="310" t="str">
        <f t="shared" si="1296"/>
        <v/>
      </c>
      <c r="I1222" s="311" t="str">
        <f t="shared" si="1297"/>
        <v/>
      </c>
      <c r="J1222" s="311" t="str">
        <f t="shared" si="1298"/>
        <v/>
      </c>
      <c r="K1222" s="311">
        <f t="shared" si="1299"/>
        <v>11.52</v>
      </c>
      <c r="L1222" s="310" t="str">
        <f t="shared" si="1300"/>
        <v/>
      </c>
      <c r="M1222" s="310" t="str">
        <f t="shared" si="1301"/>
        <v/>
      </c>
      <c r="N1222" s="311" t="str">
        <f t="shared" si="1302"/>
        <v/>
      </c>
    </row>
    <row r="1223" spans="1:14" s="294" customFormat="1">
      <c r="A1223" s="297" t="s">
        <v>1494</v>
      </c>
      <c r="B1223" s="301"/>
      <c r="C1223" s="299" t="s">
        <v>1496</v>
      </c>
      <c r="D1223" s="299">
        <v>1</v>
      </c>
      <c r="E1223" s="300">
        <f>10+10+14</f>
        <v>34</v>
      </c>
      <c r="F1223" s="300">
        <f t="shared" ref="F1223:F1224" si="1303">E1223*D1223</f>
        <v>34</v>
      </c>
      <c r="G1223" s="302">
        <f>(0.2+0.35)*2+17*0.008*2</f>
        <v>1.37</v>
      </c>
      <c r="H1223" s="310" t="str">
        <f t="shared" si="1296"/>
        <v/>
      </c>
      <c r="I1223" s="311">
        <f t="shared" si="1297"/>
        <v>46.58</v>
      </c>
      <c r="J1223" s="311" t="str">
        <f t="shared" si="1298"/>
        <v/>
      </c>
      <c r="K1223" s="311" t="str">
        <f t="shared" si="1299"/>
        <v/>
      </c>
      <c r="L1223" s="310" t="str">
        <f t="shared" si="1300"/>
        <v/>
      </c>
      <c r="M1223" s="310" t="str">
        <f t="shared" si="1301"/>
        <v/>
      </c>
      <c r="N1223" s="311" t="str">
        <f t="shared" si="1302"/>
        <v/>
      </c>
    </row>
    <row r="1224" spans="1:14" s="294" customFormat="1">
      <c r="A1224" s="297" t="s">
        <v>1517</v>
      </c>
      <c r="B1224" s="301"/>
      <c r="C1224" s="299" t="s">
        <v>1496</v>
      </c>
      <c r="D1224" s="299">
        <v>1</v>
      </c>
      <c r="E1224" s="300">
        <v>34</v>
      </c>
      <c r="F1224" s="300">
        <f t="shared" si="1303"/>
        <v>34</v>
      </c>
      <c r="G1224" s="302">
        <f>(0.35*2)+17*0.008*2</f>
        <v>0.97</v>
      </c>
      <c r="H1224" s="310" t="str">
        <f t="shared" si="1296"/>
        <v/>
      </c>
      <c r="I1224" s="311">
        <f t="shared" si="1297"/>
        <v>32.979999999999997</v>
      </c>
      <c r="J1224" s="311" t="str">
        <f t="shared" si="1298"/>
        <v/>
      </c>
      <c r="K1224" s="311" t="str">
        <f t="shared" si="1299"/>
        <v/>
      </c>
      <c r="L1224" s="310" t="str">
        <f t="shared" si="1300"/>
        <v/>
      </c>
      <c r="M1224" s="310" t="str">
        <f t="shared" si="1301"/>
        <v/>
      </c>
      <c r="N1224" s="311" t="str">
        <f t="shared" si="1302"/>
        <v/>
      </c>
    </row>
    <row r="1225" spans="1:14">
      <c r="A1225" s="297" t="s">
        <v>1520</v>
      </c>
      <c r="B1225" s="254"/>
      <c r="C1225" s="299" t="s">
        <v>1492</v>
      </c>
      <c r="D1225" s="299">
        <v>1</v>
      </c>
      <c r="E1225" s="300">
        <v>3</v>
      </c>
      <c r="F1225" s="300">
        <f>E1225*D1225</f>
        <v>3</v>
      </c>
      <c r="G1225" s="302">
        <v>2.9</v>
      </c>
      <c r="H1225" s="310" t="str">
        <f t="shared" si="1296"/>
        <v/>
      </c>
      <c r="I1225" s="311" t="str">
        <f t="shared" si="1297"/>
        <v/>
      </c>
      <c r="J1225" s="311" t="str">
        <f t="shared" si="1298"/>
        <v/>
      </c>
      <c r="K1225" s="311" t="str">
        <f t="shared" si="1299"/>
        <v/>
      </c>
      <c r="L1225" s="310">
        <f t="shared" si="1300"/>
        <v>8.6999999999999993</v>
      </c>
      <c r="M1225" s="310" t="str">
        <f t="shared" si="1301"/>
        <v/>
      </c>
      <c r="N1225" s="311" t="str">
        <f t="shared" si="1302"/>
        <v/>
      </c>
    </row>
    <row r="1226" spans="1:14">
      <c r="A1226" s="253"/>
      <c r="B1226" s="254"/>
      <c r="C1226" s="299" t="s">
        <v>1492</v>
      </c>
      <c r="D1226" s="299">
        <v>1</v>
      </c>
      <c r="E1226" s="300">
        <v>3</v>
      </c>
      <c r="F1226" s="300">
        <f>E1226*D1226</f>
        <v>3</v>
      </c>
      <c r="G1226" s="302">
        <v>3.2</v>
      </c>
      <c r="H1226" s="310" t="str">
        <f t="shared" si="1296"/>
        <v/>
      </c>
      <c r="I1226" s="311" t="str">
        <f t="shared" si="1297"/>
        <v/>
      </c>
      <c r="J1226" s="311" t="str">
        <f t="shared" si="1298"/>
        <v/>
      </c>
      <c r="K1226" s="311" t="str">
        <f t="shared" si="1299"/>
        <v/>
      </c>
      <c r="L1226" s="310">
        <f t="shared" si="1300"/>
        <v>9.6</v>
      </c>
      <c r="M1226" s="310" t="str">
        <f t="shared" si="1301"/>
        <v/>
      </c>
      <c r="N1226" s="311" t="str">
        <f t="shared" si="1302"/>
        <v/>
      </c>
    </row>
    <row r="1227" spans="1:14">
      <c r="A1227" s="253"/>
      <c r="B1227" s="254"/>
      <c r="C1227" s="299" t="s">
        <v>1516</v>
      </c>
      <c r="D1227" s="299">
        <v>1</v>
      </c>
      <c r="E1227" s="300">
        <v>3</v>
      </c>
      <c r="F1227" s="300">
        <f>E1227*D1227</f>
        <v>3</v>
      </c>
      <c r="G1227" s="302">
        <v>2.8</v>
      </c>
      <c r="H1227" s="310" t="str">
        <f t="shared" si="1296"/>
        <v/>
      </c>
      <c r="I1227" s="311" t="str">
        <f t="shared" si="1297"/>
        <v/>
      </c>
      <c r="J1227" s="311" t="str">
        <f t="shared" si="1298"/>
        <v/>
      </c>
      <c r="K1227" s="311">
        <f t="shared" si="1299"/>
        <v>8.4</v>
      </c>
      <c r="L1227" s="310" t="str">
        <f t="shared" si="1300"/>
        <v/>
      </c>
      <c r="M1227" s="310" t="str">
        <f t="shared" si="1301"/>
        <v/>
      </c>
      <c r="N1227" s="311" t="str">
        <f t="shared" si="1302"/>
        <v/>
      </c>
    </row>
    <row r="1228" spans="1:14">
      <c r="A1228" s="253"/>
      <c r="B1228" s="254"/>
      <c r="C1228" s="299"/>
      <c r="D1228" s="299"/>
      <c r="E1228" s="300"/>
      <c r="F1228" s="300"/>
      <c r="G1228" s="302"/>
      <c r="H1228" s="310"/>
      <c r="I1228" s="311"/>
      <c r="J1228" s="311"/>
      <c r="K1228" s="311"/>
      <c r="L1228" s="310"/>
      <c r="M1228" s="310"/>
      <c r="N1228" s="311"/>
    </row>
    <row r="1229" spans="1:14" ht="16.5">
      <c r="A1229" s="303" t="s">
        <v>1575</v>
      </c>
      <c r="B1229" s="254"/>
      <c r="C1229" s="299"/>
      <c r="D1229" s="299"/>
      <c r="E1229" s="300"/>
      <c r="F1229" s="300"/>
      <c r="G1229" s="302"/>
      <c r="H1229" s="310"/>
      <c r="I1229" s="311"/>
      <c r="J1229" s="311"/>
      <c r="K1229" s="311"/>
      <c r="L1229" s="310"/>
      <c r="M1229" s="310"/>
      <c r="N1229" s="311"/>
    </row>
    <row r="1230" spans="1:14" s="294" customFormat="1">
      <c r="A1230" s="297" t="s">
        <v>1515</v>
      </c>
      <c r="B1230" s="298"/>
      <c r="C1230" s="299" t="s">
        <v>1519</v>
      </c>
      <c r="D1230" s="299">
        <v>1</v>
      </c>
      <c r="E1230" s="300">
        <v>3</v>
      </c>
      <c r="F1230" s="300">
        <f>E1230*D1230</f>
        <v>3</v>
      </c>
      <c r="G1230" s="299">
        <f>(4.5)+17*0.01*2</f>
        <v>4.84</v>
      </c>
      <c r="H1230" s="310" t="str">
        <f t="shared" ref="H1230:H1236" si="1304">IF(C1230="T6",G1230*F1230,"")</f>
        <v/>
      </c>
      <c r="I1230" s="311" t="str">
        <f t="shared" ref="I1230:I1236" si="1305">IF(C1230="T8",F1230*G1230,"")</f>
        <v/>
      </c>
      <c r="J1230" s="311">
        <f t="shared" ref="J1230:J1236" si="1306">IF(C1230="T10",F1230*G1230,"")</f>
        <v>14.52</v>
      </c>
      <c r="K1230" s="311" t="str">
        <f t="shared" ref="K1230:K1236" si="1307">IF(C1230="T12",F1230*G1230,"")</f>
        <v/>
      </c>
      <c r="L1230" s="310" t="str">
        <f t="shared" ref="L1230:L1236" si="1308">IF(C1230="T14",F1230*G1230,"")</f>
        <v/>
      </c>
      <c r="M1230" s="310" t="str">
        <f t="shared" ref="M1230:M1236" si="1309">IF(C1230="T16",G1230*F1230,"")</f>
        <v/>
      </c>
      <c r="N1230" s="311" t="str">
        <f t="shared" ref="N1230:N1236" si="1310">IF(C1230="T20",G1230*F1230,"")</f>
        <v/>
      </c>
    </row>
    <row r="1231" spans="1:14" s="294" customFormat="1">
      <c r="A1231" s="297" t="s">
        <v>1515</v>
      </c>
      <c r="B1231" s="298"/>
      <c r="C1231" s="299" t="s">
        <v>1492</v>
      </c>
      <c r="D1231" s="299">
        <v>1</v>
      </c>
      <c r="E1231" s="300">
        <v>3</v>
      </c>
      <c r="F1231" s="300">
        <f>E1231*D1231</f>
        <v>3</v>
      </c>
      <c r="G1231" s="302">
        <f>(4.5)+17*0.014*2</f>
        <v>4.9800000000000004</v>
      </c>
      <c r="H1231" s="310" t="str">
        <f t="shared" si="1304"/>
        <v/>
      </c>
      <c r="I1231" s="311" t="str">
        <f t="shared" si="1305"/>
        <v/>
      </c>
      <c r="J1231" s="311" t="str">
        <f t="shared" si="1306"/>
        <v/>
      </c>
      <c r="K1231" s="311" t="str">
        <f t="shared" si="1307"/>
        <v/>
      </c>
      <c r="L1231" s="310">
        <f t="shared" si="1308"/>
        <v>14.94</v>
      </c>
      <c r="M1231" s="310" t="str">
        <f t="shared" si="1309"/>
        <v/>
      </c>
      <c r="N1231" s="311" t="str">
        <f t="shared" si="1310"/>
        <v/>
      </c>
    </row>
    <row r="1232" spans="1:14" s="294" customFormat="1">
      <c r="A1232" s="297" t="s">
        <v>1494</v>
      </c>
      <c r="B1232" s="301"/>
      <c r="C1232" s="299" t="s">
        <v>1496</v>
      </c>
      <c r="D1232" s="299">
        <v>1</v>
      </c>
      <c r="E1232" s="300">
        <f>14+13+14</f>
        <v>41</v>
      </c>
      <c r="F1232" s="300">
        <f t="shared" ref="F1232:F1233" si="1311">E1232*D1232</f>
        <v>41</v>
      </c>
      <c r="G1232" s="302">
        <f>(0.2+0.4)*2+17*0.008*2</f>
        <v>1.47</v>
      </c>
      <c r="H1232" s="310" t="str">
        <f t="shared" si="1304"/>
        <v/>
      </c>
      <c r="I1232" s="311">
        <f t="shared" si="1305"/>
        <v>60.27</v>
      </c>
      <c r="J1232" s="311" t="str">
        <f t="shared" si="1306"/>
        <v/>
      </c>
      <c r="K1232" s="311" t="str">
        <f t="shared" si="1307"/>
        <v/>
      </c>
      <c r="L1232" s="310" t="str">
        <f t="shared" si="1308"/>
        <v/>
      </c>
      <c r="M1232" s="310" t="str">
        <f t="shared" si="1309"/>
        <v/>
      </c>
      <c r="N1232" s="311" t="str">
        <f t="shared" si="1310"/>
        <v/>
      </c>
    </row>
    <row r="1233" spans="1:14" s="294" customFormat="1">
      <c r="A1233" s="297" t="s">
        <v>1517</v>
      </c>
      <c r="B1233" s="301"/>
      <c r="C1233" s="299" t="s">
        <v>1496</v>
      </c>
      <c r="D1233" s="299">
        <v>1</v>
      </c>
      <c r="E1233" s="300">
        <v>41</v>
      </c>
      <c r="F1233" s="300">
        <f t="shared" si="1311"/>
        <v>41</v>
      </c>
      <c r="G1233" s="302">
        <f>(0.4*2)+17*0.008*2</f>
        <v>1.07</v>
      </c>
      <c r="H1233" s="310" t="str">
        <f t="shared" si="1304"/>
        <v/>
      </c>
      <c r="I1233" s="311">
        <f t="shared" si="1305"/>
        <v>43.87</v>
      </c>
      <c r="J1233" s="311" t="str">
        <f t="shared" si="1306"/>
        <v/>
      </c>
      <c r="K1233" s="311" t="str">
        <f t="shared" si="1307"/>
        <v/>
      </c>
      <c r="L1233" s="310" t="str">
        <f t="shared" si="1308"/>
        <v/>
      </c>
      <c r="M1233" s="310" t="str">
        <f t="shared" si="1309"/>
        <v/>
      </c>
      <c r="N1233" s="311" t="str">
        <f t="shared" si="1310"/>
        <v/>
      </c>
    </row>
    <row r="1234" spans="1:14">
      <c r="A1234" s="297" t="s">
        <v>1518</v>
      </c>
      <c r="B1234" s="254"/>
      <c r="C1234" s="299" t="s">
        <v>1492</v>
      </c>
      <c r="D1234" s="299">
        <v>1</v>
      </c>
      <c r="E1234" s="300">
        <v>3</v>
      </c>
      <c r="F1234" s="300">
        <f>E1234*D1234</f>
        <v>3</v>
      </c>
      <c r="G1234" s="302">
        <v>2</v>
      </c>
      <c r="H1234" s="310" t="str">
        <f t="shared" si="1304"/>
        <v/>
      </c>
      <c r="I1234" s="311" t="str">
        <f t="shared" si="1305"/>
        <v/>
      </c>
      <c r="J1234" s="311" t="str">
        <f t="shared" si="1306"/>
        <v/>
      </c>
      <c r="K1234" s="311" t="str">
        <f t="shared" si="1307"/>
        <v/>
      </c>
      <c r="L1234" s="310">
        <f t="shared" si="1308"/>
        <v>6</v>
      </c>
      <c r="M1234" s="310" t="str">
        <f t="shared" si="1309"/>
        <v/>
      </c>
      <c r="N1234" s="311" t="str">
        <f t="shared" si="1310"/>
        <v/>
      </c>
    </row>
    <row r="1235" spans="1:14">
      <c r="A1235" s="297" t="s">
        <v>1520</v>
      </c>
      <c r="B1235" s="254"/>
      <c r="C1235" s="299" t="s">
        <v>1492</v>
      </c>
      <c r="D1235" s="299">
        <v>1</v>
      </c>
      <c r="E1235" s="300">
        <v>3</v>
      </c>
      <c r="F1235" s="300">
        <f>E1235*D1235</f>
        <v>3</v>
      </c>
      <c r="G1235" s="302">
        <v>3.2</v>
      </c>
      <c r="H1235" s="310" t="str">
        <f t="shared" si="1304"/>
        <v/>
      </c>
      <c r="I1235" s="311" t="str">
        <f t="shared" si="1305"/>
        <v/>
      </c>
      <c r="J1235" s="311" t="str">
        <f t="shared" si="1306"/>
        <v/>
      </c>
      <c r="K1235" s="311" t="str">
        <f t="shared" si="1307"/>
        <v/>
      </c>
      <c r="L1235" s="310">
        <f t="shared" si="1308"/>
        <v>9.6</v>
      </c>
      <c r="M1235" s="310" t="str">
        <f t="shared" si="1309"/>
        <v/>
      </c>
      <c r="N1235" s="311" t="str">
        <f t="shared" si="1310"/>
        <v/>
      </c>
    </row>
    <row r="1236" spans="1:14">
      <c r="A1236" s="253"/>
      <c r="B1236" s="254"/>
      <c r="C1236" s="299" t="s">
        <v>1516</v>
      </c>
      <c r="D1236" s="299">
        <v>1</v>
      </c>
      <c r="E1236" s="300">
        <v>3</v>
      </c>
      <c r="F1236" s="300">
        <f>E1236*D1236</f>
        <v>3</v>
      </c>
      <c r="G1236" s="302">
        <v>4.5</v>
      </c>
      <c r="H1236" s="310" t="str">
        <f t="shared" si="1304"/>
        <v/>
      </c>
      <c r="I1236" s="311" t="str">
        <f t="shared" si="1305"/>
        <v/>
      </c>
      <c r="J1236" s="311" t="str">
        <f t="shared" si="1306"/>
        <v/>
      </c>
      <c r="K1236" s="311">
        <f t="shared" si="1307"/>
        <v>13.5</v>
      </c>
      <c r="L1236" s="310" t="str">
        <f t="shared" si="1308"/>
        <v/>
      </c>
      <c r="M1236" s="310" t="str">
        <f t="shared" si="1309"/>
        <v/>
      </c>
      <c r="N1236" s="311" t="str">
        <f t="shared" si="1310"/>
        <v/>
      </c>
    </row>
    <row r="1237" spans="1:14">
      <c r="A1237" s="253"/>
      <c r="B1237" s="254"/>
      <c r="C1237" s="299"/>
      <c r="D1237" s="299"/>
      <c r="E1237" s="300"/>
      <c r="F1237" s="300"/>
      <c r="G1237" s="302"/>
      <c r="H1237" s="310"/>
      <c r="I1237" s="311"/>
      <c r="J1237" s="311"/>
      <c r="K1237" s="311"/>
      <c r="L1237" s="310"/>
      <c r="M1237" s="310"/>
      <c r="N1237" s="311"/>
    </row>
    <row r="1238" spans="1:14" ht="16.5">
      <c r="A1238" s="265" t="s">
        <v>1574</v>
      </c>
      <c r="B1238" s="254"/>
      <c r="C1238" s="299"/>
      <c r="D1238" s="299"/>
      <c r="E1238" s="300"/>
      <c r="F1238" s="300"/>
      <c r="G1238" s="302"/>
      <c r="H1238" s="310"/>
      <c r="I1238" s="311"/>
      <c r="J1238" s="311"/>
      <c r="K1238" s="311"/>
      <c r="L1238" s="310"/>
      <c r="M1238" s="310"/>
      <c r="N1238" s="311"/>
    </row>
    <row r="1239" spans="1:14" s="294" customFormat="1">
      <c r="A1239" s="297" t="s">
        <v>1515</v>
      </c>
      <c r="B1239" s="298"/>
      <c r="C1239" s="299" t="s">
        <v>1519</v>
      </c>
      <c r="D1239" s="299">
        <v>1</v>
      </c>
      <c r="E1239" s="300">
        <v>3</v>
      </c>
      <c r="F1239" s="300">
        <f>E1239*D1239</f>
        <v>3</v>
      </c>
      <c r="G1239" s="299">
        <f>(2.8)+17*0.01*2</f>
        <v>3.14</v>
      </c>
      <c r="H1239" s="310" t="str">
        <f t="shared" ref="H1239:H1244" si="1312">IF(C1239="T6",G1239*F1239,"")</f>
        <v/>
      </c>
      <c r="I1239" s="311" t="str">
        <f t="shared" ref="I1239:I1244" si="1313">IF(C1239="T8",F1239*G1239,"")</f>
        <v/>
      </c>
      <c r="J1239" s="311">
        <f t="shared" ref="J1239:J1244" si="1314">IF(C1239="T10",F1239*G1239,"")</f>
        <v>9.42</v>
      </c>
      <c r="K1239" s="311" t="str">
        <f t="shared" ref="K1239:K1244" si="1315">IF(C1239="T12",F1239*G1239,"")</f>
        <v/>
      </c>
      <c r="L1239" s="310" t="str">
        <f t="shared" ref="L1239:L1244" si="1316">IF(C1239="T14",F1239*G1239,"")</f>
        <v/>
      </c>
      <c r="M1239" s="310" t="str">
        <f t="shared" ref="M1239:M1244" si="1317">IF(C1239="T16",G1239*F1239,"")</f>
        <v/>
      </c>
      <c r="N1239" s="311" t="str">
        <f t="shared" ref="N1239:N1244" si="1318">IF(C1239="T20",G1239*F1239,"")</f>
        <v/>
      </c>
    </row>
    <row r="1240" spans="1:14" s="294" customFormat="1">
      <c r="A1240" s="297" t="s">
        <v>1515</v>
      </c>
      <c r="B1240" s="298"/>
      <c r="C1240" s="299" t="s">
        <v>1516</v>
      </c>
      <c r="D1240" s="299">
        <v>1</v>
      </c>
      <c r="E1240" s="300">
        <v>3</v>
      </c>
      <c r="F1240" s="300">
        <f>E1240*D1240</f>
        <v>3</v>
      </c>
      <c r="G1240" s="302">
        <f>(2.8)+17*0.012*2</f>
        <v>3.21</v>
      </c>
      <c r="H1240" s="310" t="str">
        <f t="shared" si="1312"/>
        <v/>
      </c>
      <c r="I1240" s="311" t="str">
        <f t="shared" si="1313"/>
        <v/>
      </c>
      <c r="J1240" s="311" t="str">
        <f t="shared" si="1314"/>
        <v/>
      </c>
      <c r="K1240" s="311">
        <f t="shared" si="1315"/>
        <v>9.6300000000000008</v>
      </c>
      <c r="L1240" s="310" t="str">
        <f t="shared" si="1316"/>
        <v/>
      </c>
      <c r="M1240" s="310" t="str">
        <f t="shared" si="1317"/>
        <v/>
      </c>
      <c r="N1240" s="311" t="str">
        <f t="shared" si="1318"/>
        <v/>
      </c>
    </row>
    <row r="1241" spans="1:14" s="294" customFormat="1">
      <c r="A1241" s="297" t="s">
        <v>1494</v>
      </c>
      <c r="B1241" s="301"/>
      <c r="C1241" s="299" t="s">
        <v>1496</v>
      </c>
      <c r="D1241" s="299">
        <v>1</v>
      </c>
      <c r="E1241" s="300">
        <f>9+11+9</f>
        <v>29</v>
      </c>
      <c r="F1241" s="300">
        <f t="shared" ref="F1241:F1242" si="1319">E1241*D1241</f>
        <v>29</v>
      </c>
      <c r="G1241" s="302">
        <f>(0.2+0.35)*2+17*0.008*2</f>
        <v>1.37</v>
      </c>
      <c r="H1241" s="310" t="str">
        <f t="shared" si="1312"/>
        <v/>
      </c>
      <c r="I1241" s="311">
        <f t="shared" si="1313"/>
        <v>39.729999999999997</v>
      </c>
      <c r="J1241" s="311" t="str">
        <f t="shared" si="1314"/>
        <v/>
      </c>
      <c r="K1241" s="311" t="str">
        <f t="shared" si="1315"/>
        <v/>
      </c>
      <c r="L1241" s="310" t="str">
        <f t="shared" si="1316"/>
        <v/>
      </c>
      <c r="M1241" s="310" t="str">
        <f t="shared" si="1317"/>
        <v/>
      </c>
      <c r="N1241" s="311" t="str">
        <f t="shared" si="1318"/>
        <v/>
      </c>
    </row>
    <row r="1242" spans="1:14" s="294" customFormat="1">
      <c r="A1242" s="297" t="s">
        <v>1517</v>
      </c>
      <c r="B1242" s="301"/>
      <c r="C1242" s="299" t="s">
        <v>1496</v>
      </c>
      <c r="D1242" s="299">
        <v>1</v>
      </c>
      <c r="E1242" s="300">
        <f>9+11+9</f>
        <v>29</v>
      </c>
      <c r="F1242" s="300">
        <f t="shared" si="1319"/>
        <v>29</v>
      </c>
      <c r="G1242" s="302">
        <f>(0.35*2)+17*0.008*2</f>
        <v>0.97</v>
      </c>
      <c r="H1242" s="310" t="str">
        <f t="shared" si="1312"/>
        <v/>
      </c>
      <c r="I1242" s="311">
        <f t="shared" si="1313"/>
        <v>28.13</v>
      </c>
      <c r="J1242" s="311" t="str">
        <f t="shared" si="1314"/>
        <v/>
      </c>
      <c r="K1242" s="311" t="str">
        <f t="shared" si="1315"/>
        <v/>
      </c>
      <c r="L1242" s="310" t="str">
        <f t="shared" si="1316"/>
        <v/>
      </c>
      <c r="M1242" s="310" t="str">
        <f t="shared" si="1317"/>
        <v/>
      </c>
      <c r="N1242" s="311" t="str">
        <f t="shared" si="1318"/>
        <v/>
      </c>
    </row>
    <row r="1243" spans="1:14">
      <c r="A1243" s="297" t="s">
        <v>1518</v>
      </c>
      <c r="B1243" s="254"/>
      <c r="C1243" s="299" t="s">
        <v>1516</v>
      </c>
      <c r="D1243" s="299">
        <v>1</v>
      </c>
      <c r="E1243" s="300">
        <v>3</v>
      </c>
      <c r="F1243" s="300">
        <f>E1243*D1243</f>
        <v>3</v>
      </c>
      <c r="G1243" s="302">
        <v>1.1000000000000001</v>
      </c>
      <c r="H1243" s="310" t="str">
        <f t="shared" si="1312"/>
        <v/>
      </c>
      <c r="I1243" s="311" t="str">
        <f t="shared" si="1313"/>
        <v/>
      </c>
      <c r="J1243" s="311" t="str">
        <f t="shared" si="1314"/>
        <v/>
      </c>
      <c r="K1243" s="311">
        <f t="shared" si="1315"/>
        <v>3.3</v>
      </c>
      <c r="L1243" s="310" t="str">
        <f t="shared" si="1316"/>
        <v/>
      </c>
      <c r="M1243" s="310" t="str">
        <f t="shared" si="1317"/>
        <v/>
      </c>
      <c r="N1243" s="311" t="str">
        <f t="shared" si="1318"/>
        <v/>
      </c>
    </row>
    <row r="1244" spans="1:14">
      <c r="A1244" s="297" t="s">
        <v>1520</v>
      </c>
      <c r="B1244" s="254"/>
      <c r="C1244" s="299" t="s">
        <v>1498</v>
      </c>
      <c r="D1244" s="299">
        <v>1</v>
      </c>
      <c r="E1244" s="300">
        <v>6</v>
      </c>
      <c r="F1244" s="300">
        <f>E1244*D1244</f>
        <v>6</v>
      </c>
      <c r="G1244" s="302">
        <v>2.4</v>
      </c>
      <c r="H1244" s="310" t="str">
        <f t="shared" si="1312"/>
        <v/>
      </c>
      <c r="I1244" s="311" t="str">
        <f t="shared" si="1313"/>
        <v/>
      </c>
      <c r="J1244" s="311" t="str">
        <f t="shared" si="1314"/>
        <v/>
      </c>
      <c r="K1244" s="311" t="str">
        <f t="shared" si="1315"/>
        <v/>
      </c>
      <c r="L1244" s="310" t="str">
        <f t="shared" si="1316"/>
        <v/>
      </c>
      <c r="M1244" s="310">
        <f t="shared" si="1317"/>
        <v>14.4</v>
      </c>
      <c r="N1244" s="311" t="str">
        <f t="shared" si="1318"/>
        <v/>
      </c>
    </row>
    <row r="1245" spans="1:14">
      <c r="A1245" s="253"/>
      <c r="B1245" s="254"/>
      <c r="C1245" s="299"/>
      <c r="D1245" s="299"/>
      <c r="E1245" s="300"/>
      <c r="F1245" s="300"/>
      <c r="G1245" s="302"/>
      <c r="H1245" s="310"/>
      <c r="I1245" s="311"/>
      <c r="J1245" s="311"/>
      <c r="K1245" s="311"/>
      <c r="L1245" s="310"/>
      <c r="M1245" s="310"/>
      <c r="N1245" s="311"/>
    </row>
    <row r="1246" spans="1:14" ht="16.5">
      <c r="A1246" s="303" t="s">
        <v>1573</v>
      </c>
      <c r="B1246" s="254"/>
      <c r="C1246" s="299"/>
      <c r="D1246" s="299"/>
      <c r="E1246" s="300"/>
      <c r="F1246" s="300"/>
      <c r="G1246" s="302"/>
      <c r="H1246" s="310"/>
      <c r="I1246" s="311"/>
      <c r="J1246" s="311"/>
      <c r="K1246" s="311"/>
      <c r="L1246" s="310"/>
      <c r="M1246" s="310"/>
      <c r="N1246" s="311"/>
    </row>
    <row r="1247" spans="1:14" s="294" customFormat="1">
      <c r="A1247" s="297" t="s">
        <v>1515</v>
      </c>
      <c r="B1247" s="298"/>
      <c r="C1247" s="299" t="s">
        <v>1519</v>
      </c>
      <c r="D1247" s="299">
        <v>1</v>
      </c>
      <c r="E1247" s="300">
        <v>3</v>
      </c>
      <c r="F1247" s="300">
        <f>E1247*D1247</f>
        <v>3</v>
      </c>
      <c r="G1247" s="299">
        <f>(3.65)+17*0.01*2</f>
        <v>3.99</v>
      </c>
      <c r="H1247" s="310" t="str">
        <f t="shared" ref="H1247:H1251" si="1320">IF(C1247="T6",G1247*F1247,"")</f>
        <v/>
      </c>
      <c r="I1247" s="311" t="str">
        <f t="shared" ref="I1247:I1251" si="1321">IF(C1247="T8",F1247*G1247,"")</f>
        <v/>
      </c>
      <c r="J1247" s="311">
        <f t="shared" ref="J1247:J1251" si="1322">IF(C1247="T10",F1247*G1247,"")</f>
        <v>11.97</v>
      </c>
      <c r="K1247" s="311" t="str">
        <f t="shared" ref="K1247:K1251" si="1323">IF(C1247="T12",F1247*G1247,"")</f>
        <v/>
      </c>
      <c r="L1247" s="310" t="str">
        <f t="shared" ref="L1247:L1251" si="1324">IF(C1247="T14",F1247*G1247,"")</f>
        <v/>
      </c>
      <c r="M1247" s="310" t="str">
        <f t="shared" ref="M1247:M1251" si="1325">IF(C1247="T16",G1247*F1247,"")</f>
        <v/>
      </c>
      <c r="N1247" s="311" t="str">
        <f t="shared" ref="N1247:N1251" si="1326">IF(C1247="T20",G1247*F1247,"")</f>
        <v/>
      </c>
    </row>
    <row r="1248" spans="1:14" s="294" customFormat="1">
      <c r="A1248" s="297" t="s">
        <v>1515</v>
      </c>
      <c r="B1248" s="298"/>
      <c r="C1248" s="299" t="s">
        <v>1492</v>
      </c>
      <c r="D1248" s="299">
        <v>1</v>
      </c>
      <c r="E1248" s="300">
        <v>3</v>
      </c>
      <c r="F1248" s="300">
        <f>E1248*D1248</f>
        <v>3</v>
      </c>
      <c r="G1248" s="302">
        <f>(3.65)+17*0.014*2</f>
        <v>4.13</v>
      </c>
      <c r="H1248" s="310" t="str">
        <f t="shared" si="1320"/>
        <v/>
      </c>
      <c r="I1248" s="311" t="str">
        <f t="shared" si="1321"/>
        <v/>
      </c>
      <c r="J1248" s="311" t="str">
        <f t="shared" si="1322"/>
        <v/>
      </c>
      <c r="K1248" s="311" t="str">
        <f t="shared" si="1323"/>
        <v/>
      </c>
      <c r="L1248" s="310">
        <f t="shared" si="1324"/>
        <v>12.39</v>
      </c>
      <c r="M1248" s="310" t="str">
        <f t="shared" si="1325"/>
        <v/>
      </c>
      <c r="N1248" s="311" t="str">
        <f t="shared" si="1326"/>
        <v/>
      </c>
    </row>
    <row r="1249" spans="1:14" s="294" customFormat="1">
      <c r="A1249" s="297" t="s">
        <v>1494</v>
      </c>
      <c r="B1249" s="301"/>
      <c r="C1249" s="299" t="s">
        <v>1496</v>
      </c>
      <c r="D1249" s="299">
        <v>1</v>
      </c>
      <c r="E1249" s="300">
        <f>12+11+12</f>
        <v>35</v>
      </c>
      <c r="F1249" s="300">
        <f t="shared" ref="F1249:F1250" si="1327">E1249*D1249</f>
        <v>35</v>
      </c>
      <c r="G1249" s="302">
        <f>(0.2+0.35)*2+17*0.008*2</f>
        <v>1.37</v>
      </c>
      <c r="H1249" s="310" t="str">
        <f t="shared" si="1320"/>
        <v/>
      </c>
      <c r="I1249" s="311">
        <f t="shared" si="1321"/>
        <v>47.95</v>
      </c>
      <c r="J1249" s="311" t="str">
        <f t="shared" si="1322"/>
        <v/>
      </c>
      <c r="K1249" s="311" t="str">
        <f t="shared" si="1323"/>
        <v/>
      </c>
      <c r="L1249" s="310" t="str">
        <f t="shared" si="1324"/>
        <v/>
      </c>
      <c r="M1249" s="310" t="str">
        <f t="shared" si="1325"/>
        <v/>
      </c>
      <c r="N1249" s="311" t="str">
        <f t="shared" si="1326"/>
        <v/>
      </c>
    </row>
    <row r="1250" spans="1:14" s="294" customFormat="1" ht="16.5" customHeight="1">
      <c r="A1250" s="297" t="s">
        <v>1517</v>
      </c>
      <c r="B1250" s="301"/>
      <c r="C1250" s="299" t="s">
        <v>1496</v>
      </c>
      <c r="D1250" s="299">
        <v>1</v>
      </c>
      <c r="E1250" s="300">
        <v>35</v>
      </c>
      <c r="F1250" s="300">
        <f t="shared" si="1327"/>
        <v>35</v>
      </c>
      <c r="G1250" s="302">
        <f>(0.35*2)+17*0.008*2</f>
        <v>0.97</v>
      </c>
      <c r="H1250" s="310" t="str">
        <f t="shared" si="1320"/>
        <v/>
      </c>
      <c r="I1250" s="311">
        <f t="shared" si="1321"/>
        <v>33.950000000000003</v>
      </c>
      <c r="J1250" s="311" t="str">
        <f t="shared" si="1322"/>
        <v/>
      </c>
      <c r="K1250" s="311" t="str">
        <f t="shared" si="1323"/>
        <v/>
      </c>
      <c r="L1250" s="310" t="str">
        <f t="shared" si="1324"/>
        <v/>
      </c>
      <c r="M1250" s="310" t="str">
        <f t="shared" si="1325"/>
        <v/>
      </c>
      <c r="N1250" s="311" t="str">
        <f t="shared" si="1326"/>
        <v/>
      </c>
    </row>
    <row r="1251" spans="1:14">
      <c r="A1251" s="297" t="s">
        <v>1520</v>
      </c>
      <c r="B1251" s="254"/>
      <c r="C1251" s="299" t="s">
        <v>1516</v>
      </c>
      <c r="D1251" s="299">
        <v>1</v>
      </c>
      <c r="E1251" s="300">
        <v>6</v>
      </c>
      <c r="F1251" s="300">
        <f>E1251*D1251</f>
        <v>6</v>
      </c>
      <c r="G1251" s="302">
        <v>2.9</v>
      </c>
      <c r="H1251" s="310" t="str">
        <f t="shared" si="1320"/>
        <v/>
      </c>
      <c r="I1251" s="311" t="str">
        <f t="shared" si="1321"/>
        <v/>
      </c>
      <c r="J1251" s="311" t="str">
        <f t="shared" si="1322"/>
        <v/>
      </c>
      <c r="K1251" s="311">
        <f t="shared" si="1323"/>
        <v>17.399999999999999</v>
      </c>
      <c r="L1251" s="310" t="str">
        <f t="shared" si="1324"/>
        <v/>
      </c>
      <c r="M1251" s="310" t="str">
        <f t="shared" si="1325"/>
        <v/>
      </c>
      <c r="N1251" s="311" t="str">
        <f t="shared" si="1326"/>
        <v/>
      </c>
    </row>
    <row r="1252" spans="1:14">
      <c r="A1252" s="253"/>
      <c r="B1252" s="254"/>
      <c r="C1252" s="299"/>
      <c r="D1252" s="299"/>
      <c r="E1252" s="300"/>
      <c r="F1252" s="300"/>
      <c r="G1252" s="302"/>
      <c r="H1252" s="310"/>
      <c r="I1252" s="311"/>
      <c r="J1252" s="311"/>
      <c r="K1252" s="311"/>
      <c r="L1252" s="310"/>
      <c r="M1252" s="310"/>
      <c r="N1252" s="311"/>
    </row>
    <row r="1253" spans="1:14" ht="16.5">
      <c r="A1253" s="303" t="s">
        <v>1572</v>
      </c>
      <c r="B1253" s="254"/>
      <c r="C1253" s="299"/>
      <c r="D1253" s="299"/>
      <c r="E1253" s="300"/>
      <c r="F1253" s="300"/>
      <c r="G1253" s="302"/>
      <c r="H1253" s="310"/>
      <c r="I1253" s="311"/>
      <c r="J1253" s="311"/>
      <c r="K1253" s="311"/>
      <c r="L1253" s="310"/>
      <c r="M1253" s="310"/>
      <c r="N1253" s="311"/>
    </row>
    <row r="1254" spans="1:14" s="294" customFormat="1">
      <c r="A1254" s="297" t="s">
        <v>1515</v>
      </c>
      <c r="B1254" s="298"/>
      <c r="C1254" s="299" t="s">
        <v>1492</v>
      </c>
      <c r="D1254" s="299">
        <v>1</v>
      </c>
      <c r="E1254" s="300">
        <v>3</v>
      </c>
      <c r="F1254" s="300">
        <f>E1254*D1254</f>
        <v>3</v>
      </c>
      <c r="G1254" s="299">
        <f>(8.47)+17*0.014*2</f>
        <v>8.9459999999999997</v>
      </c>
      <c r="H1254" s="310" t="str">
        <f t="shared" ref="H1254:H1261" si="1328">IF(C1254="T6",G1254*F1254,"")</f>
        <v/>
      </c>
      <c r="I1254" s="311" t="str">
        <f t="shared" ref="I1254:I1261" si="1329">IF(C1254="T8",F1254*G1254,"")</f>
        <v/>
      </c>
      <c r="J1254" s="311" t="str">
        <f t="shared" ref="J1254:J1261" si="1330">IF(C1254="T10",F1254*G1254,"")</f>
        <v/>
      </c>
      <c r="K1254" s="311" t="str">
        <f t="shared" ref="K1254:K1261" si="1331">IF(C1254="T12",F1254*G1254,"")</f>
        <v/>
      </c>
      <c r="L1254" s="310">
        <f t="shared" ref="L1254:L1261" si="1332">IF(C1254="T14",F1254*G1254,"")</f>
        <v>26.84</v>
      </c>
      <c r="M1254" s="310" t="str">
        <f t="shared" ref="M1254:M1261" si="1333">IF(C1254="T16",G1254*F1254,"")</f>
        <v/>
      </c>
      <c r="N1254" s="311" t="str">
        <f t="shared" ref="N1254:N1261" si="1334">IF(C1254="T20",G1254*F1254,"")</f>
        <v/>
      </c>
    </row>
    <row r="1255" spans="1:14" s="294" customFormat="1">
      <c r="A1255" s="297" t="s">
        <v>1515</v>
      </c>
      <c r="B1255" s="298"/>
      <c r="C1255" s="299" t="s">
        <v>1498</v>
      </c>
      <c r="D1255" s="299">
        <v>1</v>
      </c>
      <c r="E1255" s="300">
        <v>3</v>
      </c>
      <c r="F1255" s="300">
        <f>E1255*D1255</f>
        <v>3</v>
      </c>
      <c r="G1255" s="302">
        <f>(8.47)+17*0.016*2</f>
        <v>9.01</v>
      </c>
      <c r="H1255" s="310" t="str">
        <f t="shared" si="1328"/>
        <v/>
      </c>
      <c r="I1255" s="311" t="str">
        <f t="shared" si="1329"/>
        <v/>
      </c>
      <c r="J1255" s="311" t="str">
        <f t="shared" si="1330"/>
        <v/>
      </c>
      <c r="K1255" s="311" t="str">
        <f t="shared" si="1331"/>
        <v/>
      </c>
      <c r="L1255" s="310" t="str">
        <f t="shared" si="1332"/>
        <v/>
      </c>
      <c r="M1255" s="310">
        <f t="shared" si="1333"/>
        <v>27.03</v>
      </c>
      <c r="N1255" s="311" t="str">
        <f t="shared" si="1334"/>
        <v/>
      </c>
    </row>
    <row r="1256" spans="1:14" s="294" customFormat="1">
      <c r="A1256" s="297"/>
      <c r="B1256" s="298"/>
      <c r="C1256" s="299" t="s">
        <v>1516</v>
      </c>
      <c r="D1256" s="299">
        <v>1</v>
      </c>
      <c r="E1256" s="300">
        <v>3</v>
      </c>
      <c r="F1256" s="300">
        <f>E1256*D1256</f>
        <v>3</v>
      </c>
      <c r="G1256" s="299">
        <v>8.4700000000000006</v>
      </c>
      <c r="H1256" s="310" t="str">
        <f t="shared" si="1328"/>
        <v/>
      </c>
      <c r="I1256" s="311" t="str">
        <f t="shared" si="1329"/>
        <v/>
      </c>
      <c r="J1256" s="311" t="str">
        <f t="shared" si="1330"/>
        <v/>
      </c>
      <c r="K1256" s="311">
        <f t="shared" si="1331"/>
        <v>25.41</v>
      </c>
      <c r="L1256" s="310" t="str">
        <f t="shared" si="1332"/>
        <v/>
      </c>
      <c r="M1256" s="310" t="str">
        <f t="shared" si="1333"/>
        <v/>
      </c>
      <c r="N1256" s="311" t="str">
        <f t="shared" si="1334"/>
        <v/>
      </c>
    </row>
    <row r="1257" spans="1:14" s="294" customFormat="1">
      <c r="A1257" s="297" t="s">
        <v>1494</v>
      </c>
      <c r="B1257" s="301"/>
      <c r="C1257" s="299" t="s">
        <v>1496</v>
      </c>
      <c r="D1257" s="299">
        <v>1</v>
      </c>
      <c r="E1257" s="300">
        <f>19+18+19</f>
        <v>56</v>
      </c>
      <c r="F1257" s="300">
        <f t="shared" ref="F1257:F1258" si="1335">E1257*D1257</f>
        <v>56</v>
      </c>
      <c r="G1257" s="302">
        <f>(0.2+0.45)*2+17*0.008*2</f>
        <v>1.57</v>
      </c>
      <c r="H1257" s="310" t="str">
        <f t="shared" si="1328"/>
        <v/>
      </c>
      <c r="I1257" s="311">
        <f t="shared" si="1329"/>
        <v>87.92</v>
      </c>
      <c r="J1257" s="311" t="str">
        <f t="shared" si="1330"/>
        <v/>
      </c>
      <c r="K1257" s="311" t="str">
        <f t="shared" si="1331"/>
        <v/>
      </c>
      <c r="L1257" s="310" t="str">
        <f t="shared" si="1332"/>
        <v/>
      </c>
      <c r="M1257" s="310" t="str">
        <f t="shared" si="1333"/>
        <v/>
      </c>
      <c r="N1257" s="311" t="str">
        <f t="shared" si="1334"/>
        <v/>
      </c>
    </row>
    <row r="1258" spans="1:14" s="294" customFormat="1">
      <c r="A1258" s="297" t="s">
        <v>1517</v>
      </c>
      <c r="B1258" s="301"/>
      <c r="C1258" s="299" t="s">
        <v>1496</v>
      </c>
      <c r="D1258" s="299">
        <v>1</v>
      </c>
      <c r="E1258" s="300">
        <f>19+18+19</f>
        <v>56</v>
      </c>
      <c r="F1258" s="300">
        <f t="shared" si="1335"/>
        <v>56</v>
      </c>
      <c r="G1258" s="302">
        <f>(0.45*2)+17*0.008*2</f>
        <v>1.17</v>
      </c>
      <c r="H1258" s="310" t="str">
        <f t="shared" si="1328"/>
        <v/>
      </c>
      <c r="I1258" s="311">
        <f t="shared" si="1329"/>
        <v>65.52</v>
      </c>
      <c r="J1258" s="311" t="str">
        <f t="shared" si="1330"/>
        <v/>
      </c>
      <c r="K1258" s="311" t="str">
        <f t="shared" si="1331"/>
        <v/>
      </c>
      <c r="L1258" s="310" t="str">
        <f t="shared" si="1332"/>
        <v/>
      </c>
      <c r="M1258" s="310" t="str">
        <f t="shared" si="1333"/>
        <v/>
      </c>
      <c r="N1258" s="311" t="str">
        <f t="shared" si="1334"/>
        <v/>
      </c>
    </row>
    <row r="1259" spans="1:14">
      <c r="A1259" s="297" t="s">
        <v>1518</v>
      </c>
      <c r="B1259" s="254"/>
      <c r="C1259" s="299" t="s">
        <v>1498</v>
      </c>
      <c r="D1259" s="299">
        <v>1</v>
      </c>
      <c r="E1259" s="300">
        <v>6</v>
      </c>
      <c r="F1259" s="300">
        <f>E1259*D1259</f>
        <v>6</v>
      </c>
      <c r="G1259" s="302">
        <v>3</v>
      </c>
      <c r="H1259" s="310" t="str">
        <f t="shared" si="1328"/>
        <v/>
      </c>
      <c r="I1259" s="311" t="str">
        <f t="shared" si="1329"/>
        <v/>
      </c>
      <c r="J1259" s="311" t="str">
        <f t="shared" si="1330"/>
        <v/>
      </c>
      <c r="K1259" s="311" t="str">
        <f t="shared" si="1331"/>
        <v/>
      </c>
      <c r="L1259" s="310" t="str">
        <f t="shared" si="1332"/>
        <v/>
      </c>
      <c r="M1259" s="310">
        <f t="shared" si="1333"/>
        <v>18</v>
      </c>
      <c r="N1259" s="311" t="str">
        <f t="shared" si="1334"/>
        <v/>
      </c>
    </row>
    <row r="1260" spans="1:14">
      <c r="A1260" s="297" t="s">
        <v>1518</v>
      </c>
      <c r="B1260" s="254"/>
      <c r="C1260" s="299" t="s">
        <v>1498</v>
      </c>
      <c r="D1260" s="299">
        <v>1</v>
      </c>
      <c r="E1260" s="300">
        <v>6</v>
      </c>
      <c r="F1260" s="300">
        <f>E1260*D1260</f>
        <v>6</v>
      </c>
      <c r="G1260" s="302">
        <v>3</v>
      </c>
      <c r="H1260" s="310" t="str">
        <f t="shared" si="1328"/>
        <v/>
      </c>
      <c r="I1260" s="311" t="str">
        <f t="shared" si="1329"/>
        <v/>
      </c>
      <c r="J1260" s="311" t="str">
        <f t="shared" si="1330"/>
        <v/>
      </c>
      <c r="K1260" s="311" t="str">
        <f t="shared" si="1331"/>
        <v/>
      </c>
      <c r="L1260" s="310" t="str">
        <f t="shared" si="1332"/>
        <v/>
      </c>
      <c r="M1260" s="310">
        <f t="shared" si="1333"/>
        <v>18</v>
      </c>
      <c r="N1260" s="311" t="str">
        <f t="shared" si="1334"/>
        <v/>
      </c>
    </row>
    <row r="1261" spans="1:14">
      <c r="A1261" s="297" t="s">
        <v>1520</v>
      </c>
      <c r="B1261" s="254"/>
      <c r="C1261" s="299" t="s">
        <v>1492</v>
      </c>
      <c r="D1261" s="299">
        <v>1</v>
      </c>
      <c r="E1261" s="300">
        <v>3</v>
      </c>
      <c r="F1261" s="300">
        <f>E1261*D1261</f>
        <v>3</v>
      </c>
      <c r="G1261" s="302">
        <v>5.9</v>
      </c>
      <c r="H1261" s="310" t="str">
        <f t="shared" si="1328"/>
        <v/>
      </c>
      <c r="I1261" s="311" t="str">
        <f t="shared" si="1329"/>
        <v/>
      </c>
      <c r="J1261" s="311" t="str">
        <f t="shared" si="1330"/>
        <v/>
      </c>
      <c r="K1261" s="311" t="str">
        <f t="shared" si="1331"/>
        <v/>
      </c>
      <c r="L1261" s="310">
        <f t="shared" si="1332"/>
        <v>17.7</v>
      </c>
      <c r="M1261" s="310" t="str">
        <f t="shared" si="1333"/>
        <v/>
      </c>
      <c r="N1261" s="311" t="str">
        <f t="shared" si="1334"/>
        <v/>
      </c>
    </row>
    <row r="1262" spans="1:14">
      <c r="A1262" s="253"/>
      <c r="B1262" s="254"/>
      <c r="C1262" s="299"/>
      <c r="D1262" s="299"/>
      <c r="E1262" s="300"/>
      <c r="F1262" s="300"/>
      <c r="G1262" s="302"/>
      <c r="H1262" s="310"/>
      <c r="I1262" s="311"/>
      <c r="J1262" s="311"/>
      <c r="K1262" s="311"/>
      <c r="L1262" s="310"/>
      <c r="M1262" s="310"/>
      <c r="N1262" s="311"/>
    </row>
    <row r="1263" spans="1:14" ht="16.5">
      <c r="A1263" s="661" t="s">
        <v>1571</v>
      </c>
      <c r="B1263" s="662"/>
      <c r="C1263" s="299"/>
      <c r="D1263" s="299"/>
      <c r="E1263" s="300"/>
      <c r="F1263" s="300"/>
      <c r="G1263" s="302"/>
      <c r="H1263" s="310"/>
      <c r="I1263" s="311"/>
      <c r="J1263" s="311"/>
      <c r="K1263" s="311"/>
      <c r="L1263" s="310"/>
      <c r="M1263" s="310"/>
      <c r="N1263" s="311"/>
    </row>
    <row r="1264" spans="1:14" s="294" customFormat="1">
      <c r="A1264" s="297" t="s">
        <v>1515</v>
      </c>
      <c r="B1264" s="298"/>
      <c r="C1264" s="299" t="s">
        <v>1492</v>
      </c>
      <c r="D1264" s="299">
        <v>1</v>
      </c>
      <c r="E1264" s="300">
        <v>4</v>
      </c>
      <c r="F1264" s="300">
        <f>E1264*D1264</f>
        <v>4</v>
      </c>
      <c r="G1264" s="299">
        <f>(8.75)+17*0.014*2</f>
        <v>9.2260000000000009</v>
      </c>
      <c r="H1264" s="310" t="str">
        <f t="shared" ref="H1264:H1272" si="1336">IF(C1264="T6",G1264*F1264,"")</f>
        <v/>
      </c>
      <c r="I1264" s="311" t="str">
        <f t="shared" ref="I1264:I1272" si="1337">IF(C1264="T8",F1264*G1264,"")</f>
        <v/>
      </c>
      <c r="J1264" s="311" t="str">
        <f t="shared" ref="J1264:J1272" si="1338">IF(C1264="T10",F1264*G1264,"")</f>
        <v/>
      </c>
      <c r="K1264" s="311" t="str">
        <f t="shared" ref="K1264:K1272" si="1339">IF(C1264="T12",F1264*G1264,"")</f>
        <v/>
      </c>
      <c r="L1264" s="310">
        <f t="shared" ref="L1264:L1272" si="1340">IF(C1264="T14",F1264*G1264,"")</f>
        <v>36.9</v>
      </c>
      <c r="M1264" s="310" t="str">
        <f t="shared" ref="M1264:M1272" si="1341">IF(C1264="T16",G1264*F1264,"")</f>
        <v/>
      </c>
      <c r="N1264" s="311" t="str">
        <f t="shared" ref="N1264:N1272" si="1342">IF(C1264="T20",G1264*F1264,"")</f>
        <v/>
      </c>
    </row>
    <row r="1265" spans="1:14" s="294" customFormat="1">
      <c r="A1265" s="297" t="s">
        <v>1515</v>
      </c>
      <c r="B1265" s="298"/>
      <c r="C1265" s="299" t="s">
        <v>1521</v>
      </c>
      <c r="D1265" s="299">
        <v>1</v>
      </c>
      <c r="E1265" s="300">
        <v>8</v>
      </c>
      <c r="F1265" s="300">
        <f>E1265*D1265</f>
        <v>8</v>
      </c>
      <c r="G1265" s="299">
        <f>(8.75)+17*0.02*2</f>
        <v>9.43</v>
      </c>
      <c r="H1265" s="310" t="str">
        <f t="shared" si="1336"/>
        <v/>
      </c>
      <c r="I1265" s="311" t="str">
        <f t="shared" si="1337"/>
        <v/>
      </c>
      <c r="J1265" s="311" t="str">
        <f t="shared" si="1338"/>
        <v/>
      </c>
      <c r="K1265" s="311" t="str">
        <f t="shared" si="1339"/>
        <v/>
      </c>
      <c r="L1265" s="310" t="str">
        <f t="shared" si="1340"/>
        <v/>
      </c>
      <c r="M1265" s="310" t="str">
        <f t="shared" si="1341"/>
        <v/>
      </c>
      <c r="N1265" s="311">
        <f t="shared" si="1342"/>
        <v>75.44</v>
      </c>
    </row>
    <row r="1266" spans="1:14" s="294" customFormat="1">
      <c r="A1266" s="297"/>
      <c r="B1266" s="298"/>
      <c r="C1266" s="299" t="s">
        <v>1516</v>
      </c>
      <c r="D1266" s="299">
        <v>1</v>
      </c>
      <c r="E1266" s="300">
        <v>4</v>
      </c>
      <c r="F1266" s="300">
        <f>E1266*D1266</f>
        <v>4</v>
      </c>
      <c r="G1266" s="299">
        <v>8.75</v>
      </c>
      <c r="H1266" s="310" t="str">
        <f t="shared" si="1336"/>
        <v/>
      </c>
      <c r="I1266" s="311" t="str">
        <f t="shared" si="1337"/>
        <v/>
      </c>
      <c r="J1266" s="311" t="str">
        <f t="shared" si="1338"/>
        <v/>
      </c>
      <c r="K1266" s="311">
        <f t="shared" si="1339"/>
        <v>35</v>
      </c>
      <c r="L1266" s="310" t="str">
        <f t="shared" si="1340"/>
        <v/>
      </c>
      <c r="M1266" s="310" t="str">
        <f t="shared" si="1341"/>
        <v/>
      </c>
      <c r="N1266" s="311" t="str">
        <f t="shared" si="1342"/>
        <v/>
      </c>
    </row>
    <row r="1267" spans="1:14" s="294" customFormat="1">
      <c r="A1267" s="297" t="s">
        <v>1494</v>
      </c>
      <c r="B1267" s="301"/>
      <c r="C1267" s="299" t="s">
        <v>1496</v>
      </c>
      <c r="D1267" s="299">
        <v>1</v>
      </c>
      <c r="E1267" s="300">
        <f>20+20+20</f>
        <v>60</v>
      </c>
      <c r="F1267" s="300">
        <f t="shared" ref="F1267:F1268" si="1343">E1267*D1267</f>
        <v>60</v>
      </c>
      <c r="G1267" s="302">
        <f>(0.25+0.95)*2+17*0.008*2</f>
        <v>2.67</v>
      </c>
      <c r="H1267" s="310" t="str">
        <f t="shared" si="1336"/>
        <v/>
      </c>
      <c r="I1267" s="311">
        <f t="shared" si="1337"/>
        <v>160.19999999999999</v>
      </c>
      <c r="J1267" s="311" t="str">
        <f t="shared" si="1338"/>
        <v/>
      </c>
      <c r="K1267" s="311" t="str">
        <f t="shared" si="1339"/>
        <v/>
      </c>
      <c r="L1267" s="310" t="str">
        <f t="shared" si="1340"/>
        <v/>
      </c>
      <c r="M1267" s="310" t="str">
        <f t="shared" si="1341"/>
        <v/>
      </c>
      <c r="N1267" s="311" t="str">
        <f t="shared" si="1342"/>
        <v/>
      </c>
    </row>
    <row r="1268" spans="1:14" s="294" customFormat="1">
      <c r="A1268" s="297" t="s">
        <v>1517</v>
      </c>
      <c r="B1268" s="301"/>
      <c r="C1268" s="299" t="s">
        <v>1496</v>
      </c>
      <c r="D1268" s="299">
        <v>1</v>
      </c>
      <c r="E1268" s="300">
        <f>20+20+20</f>
        <v>60</v>
      </c>
      <c r="F1268" s="300">
        <f t="shared" si="1343"/>
        <v>60</v>
      </c>
      <c r="G1268" s="302">
        <f>(0.95*2)+17*0.008*2</f>
        <v>2.17</v>
      </c>
      <c r="H1268" s="310" t="str">
        <f t="shared" si="1336"/>
        <v/>
      </c>
      <c r="I1268" s="311">
        <f t="shared" si="1337"/>
        <v>130.19999999999999</v>
      </c>
      <c r="J1268" s="311" t="str">
        <f t="shared" si="1338"/>
        <v/>
      </c>
      <c r="K1268" s="311" t="str">
        <f t="shared" si="1339"/>
        <v/>
      </c>
      <c r="L1268" s="310" t="str">
        <f t="shared" si="1340"/>
        <v/>
      </c>
      <c r="M1268" s="310" t="str">
        <f t="shared" si="1341"/>
        <v/>
      </c>
      <c r="N1268" s="311" t="str">
        <f t="shared" si="1342"/>
        <v/>
      </c>
    </row>
    <row r="1269" spans="1:14">
      <c r="A1269" s="297" t="s">
        <v>1520</v>
      </c>
      <c r="B1269" s="254"/>
      <c r="C1269" s="299" t="s">
        <v>1498</v>
      </c>
      <c r="D1269" s="299">
        <v>1</v>
      </c>
      <c r="E1269" s="300">
        <v>12</v>
      </c>
      <c r="F1269" s="300">
        <f>E1269*D1269</f>
        <v>12</v>
      </c>
      <c r="G1269" s="302">
        <v>4.5</v>
      </c>
      <c r="H1269" s="310" t="str">
        <f t="shared" si="1336"/>
        <v/>
      </c>
      <c r="I1269" s="311" t="str">
        <f t="shared" si="1337"/>
        <v/>
      </c>
      <c r="J1269" s="311" t="str">
        <f t="shared" si="1338"/>
        <v/>
      </c>
      <c r="K1269" s="311" t="str">
        <f t="shared" si="1339"/>
        <v/>
      </c>
      <c r="L1269" s="310" t="str">
        <f t="shared" si="1340"/>
        <v/>
      </c>
      <c r="M1269" s="310">
        <f t="shared" si="1341"/>
        <v>54</v>
      </c>
      <c r="N1269" s="311" t="str">
        <f t="shared" si="1342"/>
        <v/>
      </c>
    </row>
    <row r="1270" spans="1:14">
      <c r="A1270" s="297" t="s">
        <v>1520</v>
      </c>
      <c r="B1270" s="254"/>
      <c r="C1270" s="299" t="s">
        <v>1498</v>
      </c>
      <c r="D1270" s="299">
        <v>1</v>
      </c>
      <c r="E1270" s="300">
        <v>4</v>
      </c>
      <c r="F1270" s="300">
        <f>E1270*D1270</f>
        <v>4</v>
      </c>
      <c r="G1270" s="302">
        <v>6.8</v>
      </c>
      <c r="H1270" s="310" t="str">
        <f t="shared" si="1336"/>
        <v/>
      </c>
      <c r="I1270" s="311" t="str">
        <f t="shared" si="1337"/>
        <v/>
      </c>
      <c r="J1270" s="311" t="str">
        <f t="shared" si="1338"/>
        <v/>
      </c>
      <c r="K1270" s="311" t="str">
        <f t="shared" si="1339"/>
        <v/>
      </c>
      <c r="L1270" s="310" t="str">
        <f t="shared" si="1340"/>
        <v/>
      </c>
      <c r="M1270" s="310">
        <f t="shared" si="1341"/>
        <v>27.2</v>
      </c>
      <c r="N1270" s="311" t="str">
        <f t="shared" si="1342"/>
        <v/>
      </c>
    </row>
    <row r="1271" spans="1:14">
      <c r="A1271" s="297" t="s">
        <v>1520</v>
      </c>
      <c r="B1271" s="254"/>
      <c r="C1271" s="299" t="s">
        <v>1498</v>
      </c>
      <c r="D1271" s="299">
        <v>1</v>
      </c>
      <c r="E1271" s="300">
        <v>4</v>
      </c>
      <c r="F1271" s="300">
        <f>E1271*D1271</f>
        <v>4</v>
      </c>
      <c r="G1271" s="302">
        <v>2</v>
      </c>
      <c r="H1271" s="310" t="str">
        <f t="shared" si="1336"/>
        <v/>
      </c>
      <c r="I1271" s="311" t="str">
        <f t="shared" si="1337"/>
        <v/>
      </c>
      <c r="J1271" s="311" t="str">
        <f t="shared" si="1338"/>
        <v/>
      </c>
      <c r="K1271" s="311" t="str">
        <f t="shared" si="1339"/>
        <v/>
      </c>
      <c r="L1271" s="310" t="str">
        <f t="shared" si="1340"/>
        <v/>
      </c>
      <c r="M1271" s="310">
        <f t="shared" si="1341"/>
        <v>8</v>
      </c>
      <c r="N1271" s="311" t="str">
        <f t="shared" si="1342"/>
        <v/>
      </c>
    </row>
    <row r="1272" spans="1:14">
      <c r="A1272" s="297" t="s">
        <v>1545</v>
      </c>
      <c r="B1272" s="254"/>
      <c r="C1272" s="299" t="s">
        <v>1498</v>
      </c>
      <c r="D1272" s="299">
        <v>1</v>
      </c>
      <c r="E1272" s="300">
        <v>4</v>
      </c>
      <c r="F1272" s="300">
        <f>E1272*D1272</f>
        <v>4</v>
      </c>
      <c r="G1272" s="302">
        <v>2.5</v>
      </c>
      <c r="H1272" s="310" t="str">
        <f t="shared" si="1336"/>
        <v/>
      </c>
      <c r="I1272" s="311" t="str">
        <f t="shared" si="1337"/>
        <v/>
      </c>
      <c r="J1272" s="311" t="str">
        <f t="shared" si="1338"/>
        <v/>
      </c>
      <c r="K1272" s="311" t="str">
        <f t="shared" si="1339"/>
        <v/>
      </c>
      <c r="L1272" s="310" t="str">
        <f t="shared" si="1340"/>
        <v/>
      </c>
      <c r="M1272" s="310">
        <f t="shared" si="1341"/>
        <v>10</v>
      </c>
      <c r="N1272" s="311" t="str">
        <f t="shared" si="1342"/>
        <v/>
      </c>
    </row>
    <row r="1273" spans="1:14">
      <c r="A1273" s="253"/>
      <c r="B1273" s="254"/>
      <c r="C1273" s="299"/>
      <c r="D1273" s="299"/>
      <c r="E1273" s="300"/>
      <c r="F1273" s="300"/>
      <c r="G1273" s="302"/>
      <c r="H1273" s="310"/>
      <c r="I1273" s="311"/>
      <c r="J1273" s="311"/>
      <c r="K1273" s="311"/>
      <c r="L1273" s="310"/>
      <c r="M1273" s="310"/>
      <c r="N1273" s="311"/>
    </row>
    <row r="1274" spans="1:14" ht="16.5">
      <c r="A1274" s="303" t="s">
        <v>1570</v>
      </c>
      <c r="B1274" s="254"/>
      <c r="C1274" s="299"/>
      <c r="D1274" s="299"/>
      <c r="E1274" s="300"/>
      <c r="F1274" s="300"/>
      <c r="G1274" s="302"/>
      <c r="H1274" s="310"/>
      <c r="I1274" s="311"/>
      <c r="J1274" s="311"/>
      <c r="K1274" s="311"/>
      <c r="L1274" s="310"/>
      <c r="M1274" s="310"/>
      <c r="N1274" s="311"/>
    </row>
    <row r="1275" spans="1:14" s="294" customFormat="1">
      <c r="A1275" s="297" t="s">
        <v>1515</v>
      </c>
      <c r="B1275" s="298"/>
      <c r="C1275" s="299" t="s">
        <v>1519</v>
      </c>
      <c r="D1275" s="299">
        <v>1</v>
      </c>
      <c r="E1275" s="300">
        <v>3</v>
      </c>
      <c r="F1275" s="300">
        <f>E1275*D1275</f>
        <v>3</v>
      </c>
      <c r="G1275" s="299">
        <f>(4.6)+17*0.01*2</f>
        <v>4.9400000000000004</v>
      </c>
      <c r="H1275" s="310" t="str">
        <f t="shared" ref="H1275:H1279" si="1344">IF(C1275="T6",G1275*F1275,"")</f>
        <v/>
      </c>
      <c r="I1275" s="311" t="str">
        <f t="shared" ref="I1275:I1279" si="1345">IF(C1275="T8",F1275*G1275,"")</f>
        <v/>
      </c>
      <c r="J1275" s="311">
        <f t="shared" ref="J1275:J1279" si="1346">IF(C1275="T10",F1275*G1275,"")</f>
        <v>14.82</v>
      </c>
      <c r="K1275" s="311" t="str">
        <f t="shared" ref="K1275:K1279" si="1347">IF(C1275="T12",F1275*G1275,"")</f>
        <v/>
      </c>
      <c r="L1275" s="310" t="str">
        <f t="shared" ref="L1275:L1279" si="1348">IF(C1275="T14",F1275*G1275,"")</f>
        <v/>
      </c>
      <c r="M1275" s="310" t="str">
        <f t="shared" ref="M1275:M1279" si="1349">IF(C1275="T16",G1275*F1275,"")</f>
        <v/>
      </c>
      <c r="N1275" s="311" t="str">
        <f t="shared" ref="N1275:N1279" si="1350">IF(C1275="T20",G1275*F1275,"")</f>
        <v/>
      </c>
    </row>
    <row r="1276" spans="1:14" s="294" customFormat="1">
      <c r="A1276" s="297" t="s">
        <v>1515</v>
      </c>
      <c r="B1276" s="298"/>
      <c r="C1276" s="299" t="s">
        <v>1516</v>
      </c>
      <c r="D1276" s="299">
        <v>1</v>
      </c>
      <c r="E1276" s="300">
        <v>3</v>
      </c>
      <c r="F1276" s="300">
        <f>E1276*D1276</f>
        <v>3</v>
      </c>
      <c r="G1276" s="302">
        <f>(4.6)+17*0.012*2</f>
        <v>5.01</v>
      </c>
      <c r="H1276" s="310" t="str">
        <f t="shared" si="1344"/>
        <v/>
      </c>
      <c r="I1276" s="311" t="str">
        <f t="shared" si="1345"/>
        <v/>
      </c>
      <c r="J1276" s="311" t="str">
        <f t="shared" si="1346"/>
        <v/>
      </c>
      <c r="K1276" s="311">
        <f t="shared" si="1347"/>
        <v>15.03</v>
      </c>
      <c r="L1276" s="310" t="str">
        <f t="shared" si="1348"/>
        <v/>
      </c>
      <c r="M1276" s="310" t="str">
        <f t="shared" si="1349"/>
        <v/>
      </c>
      <c r="N1276" s="311" t="str">
        <f t="shared" si="1350"/>
        <v/>
      </c>
    </row>
    <row r="1277" spans="1:14" s="294" customFormat="1">
      <c r="A1277" s="297" t="s">
        <v>1494</v>
      </c>
      <c r="B1277" s="301"/>
      <c r="C1277" s="299" t="s">
        <v>1496</v>
      </c>
      <c r="D1277" s="299">
        <v>1</v>
      </c>
      <c r="E1277" s="300">
        <f>14+13+14</f>
        <v>41</v>
      </c>
      <c r="F1277" s="300">
        <f t="shared" ref="F1277:F1278" si="1351">E1277*D1277</f>
        <v>41</v>
      </c>
      <c r="G1277" s="302">
        <f>(0.2+0.35)*2+17*0.008*2</f>
        <v>1.37</v>
      </c>
      <c r="H1277" s="310" t="str">
        <f t="shared" si="1344"/>
        <v/>
      </c>
      <c r="I1277" s="311">
        <f t="shared" si="1345"/>
        <v>56.17</v>
      </c>
      <c r="J1277" s="311" t="str">
        <f t="shared" si="1346"/>
        <v/>
      </c>
      <c r="K1277" s="311" t="str">
        <f t="shared" si="1347"/>
        <v/>
      </c>
      <c r="L1277" s="310" t="str">
        <f t="shared" si="1348"/>
        <v/>
      </c>
      <c r="M1277" s="310" t="str">
        <f t="shared" si="1349"/>
        <v/>
      </c>
      <c r="N1277" s="311" t="str">
        <f t="shared" si="1350"/>
        <v/>
      </c>
    </row>
    <row r="1278" spans="1:14" s="294" customFormat="1" ht="16.5" customHeight="1">
      <c r="A1278" s="297" t="s">
        <v>1517</v>
      </c>
      <c r="B1278" s="301"/>
      <c r="C1278" s="299" t="s">
        <v>1496</v>
      </c>
      <c r="D1278" s="299">
        <v>1</v>
      </c>
      <c r="E1278" s="300">
        <v>41</v>
      </c>
      <c r="F1278" s="300">
        <f t="shared" si="1351"/>
        <v>41</v>
      </c>
      <c r="G1278" s="302">
        <f>(0.35*2)+17*0.008*2</f>
        <v>0.97</v>
      </c>
      <c r="H1278" s="310" t="str">
        <f t="shared" si="1344"/>
        <v/>
      </c>
      <c r="I1278" s="311">
        <f t="shared" si="1345"/>
        <v>39.770000000000003</v>
      </c>
      <c r="J1278" s="311" t="str">
        <f t="shared" si="1346"/>
        <v/>
      </c>
      <c r="K1278" s="311" t="str">
        <f t="shared" si="1347"/>
        <v/>
      </c>
      <c r="L1278" s="310" t="str">
        <f t="shared" si="1348"/>
        <v/>
      </c>
      <c r="M1278" s="310" t="str">
        <f t="shared" si="1349"/>
        <v/>
      </c>
      <c r="N1278" s="311" t="str">
        <f t="shared" si="1350"/>
        <v/>
      </c>
    </row>
    <row r="1279" spans="1:14">
      <c r="A1279" s="297" t="s">
        <v>1520</v>
      </c>
      <c r="B1279" s="254"/>
      <c r="C1279" s="299" t="s">
        <v>1516</v>
      </c>
      <c r="D1279" s="299">
        <v>1</v>
      </c>
      <c r="E1279" s="300">
        <v>3</v>
      </c>
      <c r="F1279" s="300">
        <f>E1279*D1279</f>
        <v>3</v>
      </c>
      <c r="G1279" s="302">
        <v>2</v>
      </c>
      <c r="H1279" s="310" t="str">
        <f t="shared" si="1344"/>
        <v/>
      </c>
      <c r="I1279" s="311" t="str">
        <f t="shared" si="1345"/>
        <v/>
      </c>
      <c r="J1279" s="311" t="str">
        <f t="shared" si="1346"/>
        <v/>
      </c>
      <c r="K1279" s="311">
        <f t="shared" si="1347"/>
        <v>6</v>
      </c>
      <c r="L1279" s="310" t="str">
        <f t="shared" si="1348"/>
        <v/>
      </c>
      <c r="M1279" s="310" t="str">
        <f t="shared" si="1349"/>
        <v/>
      </c>
      <c r="N1279" s="311" t="str">
        <f t="shared" si="1350"/>
        <v/>
      </c>
    </row>
    <row r="1280" spans="1:14">
      <c r="A1280" s="297"/>
      <c r="B1280" s="254"/>
      <c r="C1280" s="299" t="s">
        <v>1492</v>
      </c>
      <c r="D1280" s="299">
        <v>1</v>
      </c>
      <c r="E1280" s="300">
        <v>3</v>
      </c>
      <c r="F1280" s="300">
        <f>E1280*D1280</f>
        <v>3</v>
      </c>
      <c r="G1280" s="302">
        <v>2.7</v>
      </c>
      <c r="H1280" s="310" t="str">
        <f t="shared" ref="H1280" si="1352">IF(C1280="T6",G1280*F1280,"")</f>
        <v/>
      </c>
      <c r="I1280" s="311" t="str">
        <f t="shared" ref="I1280" si="1353">IF(C1280="T8",F1280*G1280,"")</f>
        <v/>
      </c>
      <c r="J1280" s="311" t="str">
        <f t="shared" ref="J1280" si="1354">IF(C1280="T10",F1280*G1280,"")</f>
        <v/>
      </c>
      <c r="K1280" s="311" t="str">
        <f t="shared" ref="K1280" si="1355">IF(C1280="T12",F1280*G1280,"")</f>
        <v/>
      </c>
      <c r="L1280" s="310">
        <f t="shared" ref="L1280" si="1356">IF(C1280="T14",F1280*G1280,"")</f>
        <v>8.1</v>
      </c>
      <c r="M1280" s="310" t="str">
        <f t="shared" ref="M1280" si="1357">IF(C1280="T16",G1280*F1280,"")</f>
        <v/>
      </c>
      <c r="N1280" s="311" t="str">
        <f t="shared" ref="N1280" si="1358">IF(C1280="T20",G1280*F1280,"")</f>
        <v/>
      </c>
    </row>
    <row r="1281" spans="1:14">
      <c r="A1281" s="297"/>
      <c r="B1281" s="254"/>
      <c r="C1281" s="299" t="s">
        <v>1519</v>
      </c>
      <c r="D1281" s="299">
        <v>1</v>
      </c>
      <c r="E1281" s="300">
        <v>3</v>
      </c>
      <c r="F1281" s="300">
        <f>E1281*D1281</f>
        <v>3</v>
      </c>
      <c r="G1281" s="302">
        <v>4</v>
      </c>
      <c r="H1281" s="310" t="str">
        <f t="shared" ref="H1281" si="1359">IF(C1281="T6",G1281*F1281,"")</f>
        <v/>
      </c>
      <c r="I1281" s="311" t="str">
        <f t="shared" ref="I1281" si="1360">IF(C1281="T8",F1281*G1281,"")</f>
        <v/>
      </c>
      <c r="J1281" s="311">
        <f t="shared" ref="J1281" si="1361">IF(C1281="T10",F1281*G1281,"")</f>
        <v>12</v>
      </c>
      <c r="K1281" s="311" t="str">
        <f t="shared" ref="K1281" si="1362">IF(C1281="T12",F1281*G1281,"")</f>
        <v/>
      </c>
      <c r="L1281" s="310" t="str">
        <f t="shared" ref="L1281" si="1363">IF(C1281="T14",F1281*G1281,"")</f>
        <v/>
      </c>
      <c r="M1281" s="310" t="str">
        <f t="shared" ref="M1281" si="1364">IF(C1281="T16",G1281*F1281,"")</f>
        <v/>
      </c>
      <c r="N1281" s="311" t="str">
        <f t="shared" ref="N1281" si="1365">IF(C1281="T20",G1281*F1281,"")</f>
        <v/>
      </c>
    </row>
    <row r="1282" spans="1:14">
      <c r="A1282" s="253"/>
      <c r="B1282" s="254"/>
      <c r="C1282" s="299"/>
      <c r="D1282" s="299"/>
      <c r="E1282" s="300"/>
      <c r="F1282" s="300"/>
      <c r="G1282" s="302"/>
      <c r="H1282" s="310"/>
      <c r="I1282" s="311"/>
      <c r="J1282" s="311"/>
      <c r="K1282" s="311"/>
      <c r="L1282" s="310"/>
      <c r="M1282" s="310"/>
      <c r="N1282" s="311"/>
    </row>
    <row r="1283" spans="1:14" ht="16.5">
      <c r="A1283" s="303" t="s">
        <v>1569</v>
      </c>
      <c r="B1283" s="254"/>
      <c r="C1283" s="299"/>
      <c r="D1283" s="299"/>
      <c r="E1283" s="300"/>
      <c r="F1283" s="300"/>
      <c r="G1283" s="302"/>
      <c r="H1283" s="310"/>
      <c r="I1283" s="311"/>
      <c r="J1283" s="311"/>
      <c r="K1283" s="311"/>
      <c r="L1283" s="310"/>
      <c r="M1283" s="310"/>
      <c r="N1283" s="311"/>
    </row>
    <row r="1284" spans="1:14" s="294" customFormat="1">
      <c r="A1284" s="297" t="s">
        <v>1515</v>
      </c>
      <c r="B1284" s="298"/>
      <c r="C1284" s="299" t="s">
        <v>1519</v>
      </c>
      <c r="D1284" s="299">
        <v>1</v>
      </c>
      <c r="E1284" s="300">
        <v>3</v>
      </c>
      <c r="F1284" s="300">
        <f>E1284*D1284</f>
        <v>3</v>
      </c>
      <c r="G1284" s="299">
        <f>(3.23)+17*0.01*2</f>
        <v>3.57</v>
      </c>
      <c r="H1284" s="310" t="str">
        <f t="shared" ref="H1284:H1289" si="1366">IF(C1284="T6",G1284*F1284,"")</f>
        <v/>
      </c>
      <c r="I1284" s="311" t="str">
        <f t="shared" ref="I1284:I1289" si="1367">IF(C1284="T8",F1284*G1284,"")</f>
        <v/>
      </c>
      <c r="J1284" s="311">
        <f t="shared" ref="J1284:J1289" si="1368">IF(C1284="T10",F1284*G1284,"")</f>
        <v>10.71</v>
      </c>
      <c r="K1284" s="311" t="str">
        <f t="shared" ref="K1284:K1289" si="1369">IF(C1284="T12",F1284*G1284,"")</f>
        <v/>
      </c>
      <c r="L1284" s="310" t="str">
        <f t="shared" ref="L1284:L1289" si="1370">IF(C1284="T14",F1284*G1284,"")</f>
        <v/>
      </c>
      <c r="M1284" s="310" t="str">
        <f t="shared" ref="M1284:M1289" si="1371">IF(C1284="T16",G1284*F1284,"")</f>
        <v/>
      </c>
      <c r="N1284" s="311" t="str">
        <f t="shared" ref="N1284:N1289" si="1372">IF(C1284="T20",G1284*F1284,"")</f>
        <v/>
      </c>
    </row>
    <row r="1285" spans="1:14" s="294" customFormat="1">
      <c r="A1285" s="297" t="s">
        <v>1515</v>
      </c>
      <c r="B1285" s="298"/>
      <c r="C1285" s="299" t="s">
        <v>1492</v>
      </c>
      <c r="D1285" s="299">
        <v>1</v>
      </c>
      <c r="E1285" s="300">
        <v>3</v>
      </c>
      <c r="F1285" s="300">
        <f>E1285*D1285</f>
        <v>3</v>
      </c>
      <c r="G1285" s="302">
        <f>(3.23)+17*0.014*2</f>
        <v>3.71</v>
      </c>
      <c r="H1285" s="310" t="str">
        <f t="shared" si="1366"/>
        <v/>
      </c>
      <c r="I1285" s="311" t="str">
        <f t="shared" si="1367"/>
        <v/>
      </c>
      <c r="J1285" s="311" t="str">
        <f t="shared" si="1368"/>
        <v/>
      </c>
      <c r="K1285" s="311" t="str">
        <f t="shared" si="1369"/>
        <v/>
      </c>
      <c r="L1285" s="310">
        <f t="shared" si="1370"/>
        <v>11.13</v>
      </c>
      <c r="M1285" s="310" t="str">
        <f t="shared" si="1371"/>
        <v/>
      </c>
      <c r="N1285" s="311" t="str">
        <f t="shared" si="1372"/>
        <v/>
      </c>
    </row>
    <row r="1286" spans="1:14" s="294" customFormat="1">
      <c r="A1286" s="297" t="s">
        <v>1494</v>
      </c>
      <c r="B1286" s="301"/>
      <c r="C1286" s="299" t="s">
        <v>1496</v>
      </c>
      <c r="D1286" s="299">
        <v>1</v>
      </c>
      <c r="E1286" s="300">
        <v>38</v>
      </c>
      <c r="F1286" s="300">
        <f t="shared" ref="F1286:F1287" si="1373">E1286*D1286</f>
        <v>38</v>
      </c>
      <c r="G1286" s="302">
        <f>(0.2+0.4)*2+17*0.008*2</f>
        <v>1.47</v>
      </c>
      <c r="H1286" s="310" t="str">
        <f t="shared" si="1366"/>
        <v/>
      </c>
      <c r="I1286" s="311">
        <f t="shared" si="1367"/>
        <v>55.86</v>
      </c>
      <c r="J1286" s="311" t="str">
        <f t="shared" si="1368"/>
        <v/>
      </c>
      <c r="K1286" s="311" t="str">
        <f t="shared" si="1369"/>
        <v/>
      </c>
      <c r="L1286" s="310" t="str">
        <f t="shared" si="1370"/>
        <v/>
      </c>
      <c r="M1286" s="310" t="str">
        <f t="shared" si="1371"/>
        <v/>
      </c>
      <c r="N1286" s="311" t="str">
        <f t="shared" si="1372"/>
        <v/>
      </c>
    </row>
    <row r="1287" spans="1:14" s="294" customFormat="1" ht="16.5" customHeight="1">
      <c r="A1287" s="297" t="s">
        <v>1517</v>
      </c>
      <c r="B1287" s="301"/>
      <c r="C1287" s="299" t="s">
        <v>1496</v>
      </c>
      <c r="D1287" s="299">
        <v>1</v>
      </c>
      <c r="E1287" s="300">
        <v>38</v>
      </c>
      <c r="F1287" s="300">
        <f t="shared" si="1373"/>
        <v>38</v>
      </c>
      <c r="G1287" s="302">
        <f>(0.4*2)+17*0.008*2</f>
        <v>1.07</v>
      </c>
      <c r="H1287" s="310" t="str">
        <f t="shared" si="1366"/>
        <v/>
      </c>
      <c r="I1287" s="311">
        <f t="shared" si="1367"/>
        <v>40.659999999999997</v>
      </c>
      <c r="J1287" s="311" t="str">
        <f t="shared" si="1368"/>
        <v/>
      </c>
      <c r="K1287" s="311" t="str">
        <f t="shared" si="1369"/>
        <v/>
      </c>
      <c r="L1287" s="310" t="str">
        <f t="shared" si="1370"/>
        <v/>
      </c>
      <c r="M1287" s="310" t="str">
        <f t="shared" si="1371"/>
        <v/>
      </c>
      <c r="N1287" s="311" t="str">
        <f t="shared" si="1372"/>
        <v/>
      </c>
    </row>
    <row r="1288" spans="1:14">
      <c r="A1288" s="297" t="s">
        <v>1518</v>
      </c>
      <c r="B1288" s="254"/>
      <c r="C1288" s="299" t="s">
        <v>1516</v>
      </c>
      <c r="D1288" s="299">
        <v>1</v>
      </c>
      <c r="E1288" s="300">
        <v>3</v>
      </c>
      <c r="F1288" s="300">
        <f>E1288*D1288</f>
        <v>3</v>
      </c>
      <c r="G1288" s="302">
        <v>1.1000000000000001</v>
      </c>
      <c r="H1288" s="310" t="str">
        <f t="shared" si="1366"/>
        <v/>
      </c>
      <c r="I1288" s="311" t="str">
        <f t="shared" si="1367"/>
        <v/>
      </c>
      <c r="J1288" s="311" t="str">
        <f t="shared" si="1368"/>
        <v/>
      </c>
      <c r="K1288" s="311">
        <f t="shared" si="1369"/>
        <v>3.3</v>
      </c>
      <c r="L1288" s="310" t="str">
        <f t="shared" si="1370"/>
        <v/>
      </c>
      <c r="M1288" s="310" t="str">
        <f t="shared" si="1371"/>
        <v/>
      </c>
      <c r="N1288" s="311" t="str">
        <f t="shared" si="1372"/>
        <v/>
      </c>
    </row>
    <row r="1289" spans="1:14">
      <c r="A1289" s="297" t="s">
        <v>1520</v>
      </c>
      <c r="B1289" s="254"/>
      <c r="C1289" s="299" t="s">
        <v>1516</v>
      </c>
      <c r="D1289" s="299">
        <v>1</v>
      </c>
      <c r="E1289" s="300">
        <v>3</v>
      </c>
      <c r="F1289" s="300">
        <f>E1289*D1289</f>
        <v>3</v>
      </c>
      <c r="G1289" s="302">
        <v>2.6</v>
      </c>
      <c r="H1289" s="310" t="str">
        <f t="shared" si="1366"/>
        <v/>
      </c>
      <c r="I1289" s="311" t="str">
        <f t="shared" si="1367"/>
        <v/>
      </c>
      <c r="J1289" s="311" t="str">
        <f t="shared" si="1368"/>
        <v/>
      </c>
      <c r="K1289" s="311">
        <f t="shared" si="1369"/>
        <v>7.8</v>
      </c>
      <c r="L1289" s="310" t="str">
        <f t="shared" si="1370"/>
        <v/>
      </c>
      <c r="M1289" s="310" t="str">
        <f t="shared" si="1371"/>
        <v/>
      </c>
      <c r="N1289" s="311" t="str">
        <f t="shared" si="1372"/>
        <v/>
      </c>
    </row>
    <row r="1290" spans="1:14">
      <c r="A1290" s="253"/>
      <c r="B1290" s="254"/>
      <c r="C1290" s="299"/>
      <c r="D1290" s="299"/>
      <c r="E1290" s="300"/>
      <c r="F1290" s="300"/>
      <c r="G1290" s="302"/>
      <c r="H1290" s="310"/>
      <c r="I1290" s="311"/>
      <c r="J1290" s="311"/>
      <c r="K1290" s="311"/>
      <c r="L1290" s="310"/>
      <c r="M1290" s="310"/>
      <c r="N1290" s="311"/>
    </row>
    <row r="1291" spans="1:14" ht="16.5">
      <c r="A1291" s="303" t="s">
        <v>1568</v>
      </c>
      <c r="B1291" s="254"/>
      <c r="C1291" s="299"/>
      <c r="D1291" s="299"/>
      <c r="E1291" s="300"/>
      <c r="F1291" s="300"/>
      <c r="G1291" s="302"/>
      <c r="H1291" s="310"/>
      <c r="I1291" s="311"/>
      <c r="J1291" s="311"/>
      <c r="K1291" s="311"/>
      <c r="L1291" s="310"/>
      <c r="M1291" s="310"/>
      <c r="N1291" s="311"/>
    </row>
    <row r="1292" spans="1:14" s="294" customFormat="1">
      <c r="A1292" s="297" t="s">
        <v>1515</v>
      </c>
      <c r="B1292" s="298"/>
      <c r="C1292" s="299" t="s">
        <v>1519</v>
      </c>
      <c r="D1292" s="299">
        <v>1</v>
      </c>
      <c r="E1292" s="300">
        <v>3</v>
      </c>
      <c r="F1292" s="300">
        <f>E1292*D1292</f>
        <v>3</v>
      </c>
      <c r="G1292" s="299">
        <f>(3.4)+17*0.01*2</f>
        <v>3.74</v>
      </c>
      <c r="H1292" s="310" t="str">
        <f t="shared" ref="H1292:H1297" si="1374">IF(C1292="T6",G1292*F1292,"")</f>
        <v/>
      </c>
      <c r="I1292" s="311" t="str">
        <f t="shared" ref="I1292:I1297" si="1375">IF(C1292="T8",F1292*G1292,"")</f>
        <v/>
      </c>
      <c r="J1292" s="311">
        <f t="shared" ref="J1292:J1297" si="1376">IF(C1292="T10",F1292*G1292,"")</f>
        <v>11.22</v>
      </c>
      <c r="K1292" s="311" t="str">
        <f t="shared" ref="K1292:K1297" si="1377">IF(C1292="T12",F1292*G1292,"")</f>
        <v/>
      </c>
      <c r="L1292" s="310" t="str">
        <f t="shared" ref="L1292:L1297" si="1378">IF(C1292="T14",F1292*G1292,"")</f>
        <v/>
      </c>
      <c r="M1292" s="310" t="str">
        <f t="shared" ref="M1292:M1297" si="1379">IF(C1292="T16",G1292*F1292,"")</f>
        <v/>
      </c>
      <c r="N1292" s="311" t="str">
        <f t="shared" ref="N1292:N1297" si="1380">IF(C1292="T20",G1292*F1292,"")</f>
        <v/>
      </c>
    </row>
    <row r="1293" spans="1:14" s="294" customFormat="1">
      <c r="A1293" s="297" t="s">
        <v>1515</v>
      </c>
      <c r="B1293" s="298"/>
      <c r="C1293" s="299" t="s">
        <v>1492</v>
      </c>
      <c r="D1293" s="299">
        <v>1</v>
      </c>
      <c r="E1293" s="300">
        <v>3</v>
      </c>
      <c r="F1293" s="300">
        <f>E1293*D1293</f>
        <v>3</v>
      </c>
      <c r="G1293" s="302">
        <f>(3.4)+17*0.014*2</f>
        <v>3.88</v>
      </c>
      <c r="H1293" s="310" t="str">
        <f t="shared" si="1374"/>
        <v/>
      </c>
      <c r="I1293" s="311" t="str">
        <f t="shared" si="1375"/>
        <v/>
      </c>
      <c r="J1293" s="311" t="str">
        <f t="shared" si="1376"/>
        <v/>
      </c>
      <c r="K1293" s="311" t="str">
        <f t="shared" si="1377"/>
        <v/>
      </c>
      <c r="L1293" s="310">
        <f t="shared" si="1378"/>
        <v>11.64</v>
      </c>
      <c r="M1293" s="310" t="str">
        <f t="shared" si="1379"/>
        <v/>
      </c>
      <c r="N1293" s="311" t="str">
        <f t="shared" si="1380"/>
        <v/>
      </c>
    </row>
    <row r="1294" spans="1:14" s="294" customFormat="1">
      <c r="A1294" s="297" t="s">
        <v>1494</v>
      </c>
      <c r="B1294" s="301"/>
      <c r="C1294" s="299" t="s">
        <v>1496</v>
      </c>
      <c r="D1294" s="299">
        <v>1</v>
      </c>
      <c r="E1294" s="300">
        <f>11+10+11</f>
        <v>32</v>
      </c>
      <c r="F1294" s="300">
        <f t="shared" ref="F1294:F1295" si="1381">E1294*D1294</f>
        <v>32</v>
      </c>
      <c r="G1294" s="302">
        <f>(0.2+0.25)*2+17*0.008*2</f>
        <v>1.17</v>
      </c>
      <c r="H1294" s="310" t="str">
        <f t="shared" si="1374"/>
        <v/>
      </c>
      <c r="I1294" s="311">
        <f t="shared" si="1375"/>
        <v>37.44</v>
      </c>
      <c r="J1294" s="311" t="str">
        <f t="shared" si="1376"/>
        <v/>
      </c>
      <c r="K1294" s="311" t="str">
        <f t="shared" si="1377"/>
        <v/>
      </c>
      <c r="L1294" s="310" t="str">
        <f t="shared" si="1378"/>
        <v/>
      </c>
      <c r="M1294" s="310" t="str">
        <f t="shared" si="1379"/>
        <v/>
      </c>
      <c r="N1294" s="311" t="str">
        <f t="shared" si="1380"/>
        <v/>
      </c>
    </row>
    <row r="1295" spans="1:14" s="294" customFormat="1">
      <c r="A1295" s="297" t="s">
        <v>1517</v>
      </c>
      <c r="B1295" s="301"/>
      <c r="C1295" s="299" t="s">
        <v>1496</v>
      </c>
      <c r="D1295" s="299">
        <v>1</v>
      </c>
      <c r="E1295" s="300">
        <f>11+10+11</f>
        <v>32</v>
      </c>
      <c r="F1295" s="300">
        <f t="shared" si="1381"/>
        <v>32</v>
      </c>
      <c r="G1295" s="302">
        <f>(0.25*2)+17*0.008*2</f>
        <v>0.77</v>
      </c>
      <c r="H1295" s="310" t="str">
        <f t="shared" si="1374"/>
        <v/>
      </c>
      <c r="I1295" s="311">
        <f t="shared" si="1375"/>
        <v>24.64</v>
      </c>
      <c r="J1295" s="311" t="str">
        <f t="shared" si="1376"/>
        <v/>
      </c>
      <c r="K1295" s="311" t="str">
        <f t="shared" si="1377"/>
        <v/>
      </c>
      <c r="L1295" s="310" t="str">
        <f t="shared" si="1378"/>
        <v/>
      </c>
      <c r="M1295" s="310" t="str">
        <f t="shared" si="1379"/>
        <v/>
      </c>
      <c r="N1295" s="311" t="str">
        <f t="shared" si="1380"/>
        <v/>
      </c>
    </row>
    <row r="1296" spans="1:14">
      <c r="A1296" s="297" t="s">
        <v>1520</v>
      </c>
      <c r="B1296" s="254"/>
      <c r="C1296" s="299" t="s">
        <v>1492</v>
      </c>
      <c r="D1296" s="299">
        <v>1</v>
      </c>
      <c r="E1296" s="300">
        <v>3</v>
      </c>
      <c r="F1296" s="300">
        <f>E1296*D1296</f>
        <v>3</v>
      </c>
      <c r="G1296" s="302">
        <v>2.2000000000000002</v>
      </c>
      <c r="H1296" s="310" t="str">
        <f t="shared" si="1374"/>
        <v/>
      </c>
      <c r="I1296" s="311" t="str">
        <f t="shared" si="1375"/>
        <v/>
      </c>
      <c r="J1296" s="311" t="str">
        <f t="shared" si="1376"/>
        <v/>
      </c>
      <c r="K1296" s="311" t="str">
        <f t="shared" si="1377"/>
        <v/>
      </c>
      <c r="L1296" s="310">
        <f t="shared" si="1378"/>
        <v>6.6</v>
      </c>
      <c r="M1296" s="310" t="str">
        <f t="shared" si="1379"/>
        <v/>
      </c>
      <c r="N1296" s="311" t="str">
        <f t="shared" si="1380"/>
        <v/>
      </c>
    </row>
    <row r="1297" spans="1:14">
      <c r="A1297" s="297" t="s">
        <v>1520</v>
      </c>
      <c r="B1297" s="254"/>
      <c r="C1297" s="299" t="s">
        <v>1492</v>
      </c>
      <c r="D1297" s="299">
        <v>1</v>
      </c>
      <c r="E1297" s="300">
        <v>3</v>
      </c>
      <c r="F1297" s="300">
        <f>E1297*D1297</f>
        <v>3</v>
      </c>
      <c r="G1297" s="302">
        <v>2.9</v>
      </c>
      <c r="H1297" s="310" t="str">
        <f t="shared" si="1374"/>
        <v/>
      </c>
      <c r="I1297" s="311" t="str">
        <f t="shared" si="1375"/>
        <v/>
      </c>
      <c r="J1297" s="311" t="str">
        <f t="shared" si="1376"/>
        <v/>
      </c>
      <c r="K1297" s="311" t="str">
        <f t="shared" si="1377"/>
        <v/>
      </c>
      <c r="L1297" s="310">
        <f t="shared" si="1378"/>
        <v>8.6999999999999993</v>
      </c>
      <c r="M1297" s="310" t="str">
        <f t="shared" si="1379"/>
        <v/>
      </c>
      <c r="N1297" s="311" t="str">
        <f t="shared" si="1380"/>
        <v/>
      </c>
    </row>
    <row r="1298" spans="1:14">
      <c r="A1298" s="297"/>
      <c r="B1298" s="254"/>
      <c r="C1298" s="299"/>
      <c r="D1298" s="299"/>
      <c r="E1298" s="300"/>
      <c r="F1298" s="300"/>
      <c r="G1298" s="302"/>
      <c r="H1298" s="310"/>
      <c r="I1298" s="311"/>
      <c r="J1298" s="311"/>
      <c r="K1298" s="311"/>
      <c r="L1298" s="310"/>
      <c r="M1298" s="310"/>
      <c r="N1298" s="311"/>
    </row>
    <row r="1299" spans="1:14" ht="16.5">
      <c r="A1299" s="303" t="s">
        <v>1567</v>
      </c>
      <c r="B1299" s="254"/>
      <c r="C1299" s="299"/>
      <c r="D1299" s="299"/>
      <c r="E1299" s="300"/>
      <c r="F1299" s="300"/>
      <c r="G1299" s="302"/>
      <c r="H1299" s="310"/>
      <c r="I1299" s="311"/>
      <c r="J1299" s="311"/>
      <c r="K1299" s="311"/>
      <c r="L1299" s="310"/>
      <c r="M1299" s="310"/>
      <c r="N1299" s="311"/>
    </row>
    <row r="1300" spans="1:14" s="294" customFormat="1">
      <c r="A1300" s="297" t="s">
        <v>1515</v>
      </c>
      <c r="B1300" s="298"/>
      <c r="C1300" s="299" t="s">
        <v>1519</v>
      </c>
      <c r="D1300" s="299">
        <v>1</v>
      </c>
      <c r="E1300" s="300">
        <v>3</v>
      </c>
      <c r="F1300" s="300">
        <f>E1300*D1300</f>
        <v>3</v>
      </c>
      <c r="G1300" s="299">
        <f>(3.4)+17*0.01*2</f>
        <v>3.74</v>
      </c>
      <c r="H1300" s="310" t="str">
        <f t="shared" ref="H1300:H1305" si="1382">IF(C1300="T6",G1300*F1300,"")</f>
        <v/>
      </c>
      <c r="I1300" s="311" t="str">
        <f t="shared" ref="I1300:I1305" si="1383">IF(C1300="T8",F1300*G1300,"")</f>
        <v/>
      </c>
      <c r="J1300" s="311">
        <f t="shared" ref="J1300:J1305" si="1384">IF(C1300="T10",F1300*G1300,"")</f>
        <v>11.22</v>
      </c>
      <c r="K1300" s="311" t="str">
        <f t="shared" ref="K1300:K1305" si="1385">IF(C1300="T12",F1300*G1300,"")</f>
        <v/>
      </c>
      <c r="L1300" s="310" t="str">
        <f t="shared" ref="L1300:L1305" si="1386">IF(C1300="T14",F1300*G1300,"")</f>
        <v/>
      </c>
      <c r="M1300" s="310" t="str">
        <f t="shared" ref="M1300:M1305" si="1387">IF(C1300="T16",G1300*F1300,"")</f>
        <v/>
      </c>
      <c r="N1300" s="311" t="str">
        <f t="shared" ref="N1300:N1305" si="1388">IF(C1300="T20",G1300*F1300,"")</f>
        <v/>
      </c>
    </row>
    <row r="1301" spans="1:14" s="294" customFormat="1">
      <c r="A1301" s="297" t="s">
        <v>1515</v>
      </c>
      <c r="B1301" s="298"/>
      <c r="C1301" s="299" t="s">
        <v>1492</v>
      </c>
      <c r="D1301" s="299">
        <v>1</v>
      </c>
      <c r="E1301" s="300">
        <v>3</v>
      </c>
      <c r="F1301" s="300">
        <f>E1301*D1301</f>
        <v>3</v>
      </c>
      <c r="G1301" s="302">
        <f>(3.4)+17*0.014*2</f>
        <v>3.88</v>
      </c>
      <c r="H1301" s="310" t="str">
        <f t="shared" si="1382"/>
        <v/>
      </c>
      <c r="I1301" s="311" t="str">
        <f t="shared" si="1383"/>
        <v/>
      </c>
      <c r="J1301" s="311" t="str">
        <f t="shared" si="1384"/>
        <v/>
      </c>
      <c r="K1301" s="311" t="str">
        <f t="shared" si="1385"/>
        <v/>
      </c>
      <c r="L1301" s="310">
        <f t="shared" si="1386"/>
        <v>11.64</v>
      </c>
      <c r="M1301" s="310" t="str">
        <f t="shared" si="1387"/>
        <v/>
      </c>
      <c r="N1301" s="311" t="str">
        <f t="shared" si="1388"/>
        <v/>
      </c>
    </row>
    <row r="1302" spans="1:14" s="294" customFormat="1">
      <c r="A1302" s="297" t="s">
        <v>1494</v>
      </c>
      <c r="B1302" s="301"/>
      <c r="C1302" s="299" t="s">
        <v>1496</v>
      </c>
      <c r="D1302" s="299">
        <v>1</v>
      </c>
      <c r="E1302" s="300">
        <f>11+10+11</f>
        <v>32</v>
      </c>
      <c r="F1302" s="300">
        <f t="shared" ref="F1302:F1303" si="1389">E1302*D1302</f>
        <v>32</v>
      </c>
      <c r="G1302" s="302">
        <f>(0.2+0.25)*2+17*0.008*2</f>
        <v>1.17</v>
      </c>
      <c r="H1302" s="310" t="str">
        <f t="shared" si="1382"/>
        <v/>
      </c>
      <c r="I1302" s="311">
        <f t="shared" si="1383"/>
        <v>37.44</v>
      </c>
      <c r="J1302" s="311" t="str">
        <f t="shared" si="1384"/>
        <v/>
      </c>
      <c r="K1302" s="311" t="str">
        <f t="shared" si="1385"/>
        <v/>
      </c>
      <c r="L1302" s="310" t="str">
        <f t="shared" si="1386"/>
        <v/>
      </c>
      <c r="M1302" s="310" t="str">
        <f t="shared" si="1387"/>
        <v/>
      </c>
      <c r="N1302" s="311" t="str">
        <f t="shared" si="1388"/>
        <v/>
      </c>
    </row>
    <row r="1303" spans="1:14" s="294" customFormat="1">
      <c r="A1303" s="297" t="s">
        <v>1517</v>
      </c>
      <c r="B1303" s="301"/>
      <c r="C1303" s="299" t="s">
        <v>1496</v>
      </c>
      <c r="D1303" s="299">
        <v>1</v>
      </c>
      <c r="E1303" s="300">
        <f>11+10+11</f>
        <v>32</v>
      </c>
      <c r="F1303" s="300">
        <f t="shared" si="1389"/>
        <v>32</v>
      </c>
      <c r="G1303" s="302">
        <f>(0.25*2)+17*0.008*2</f>
        <v>0.77</v>
      </c>
      <c r="H1303" s="310" t="str">
        <f t="shared" si="1382"/>
        <v/>
      </c>
      <c r="I1303" s="311">
        <f t="shared" si="1383"/>
        <v>24.64</v>
      </c>
      <c r="J1303" s="311" t="str">
        <f t="shared" si="1384"/>
        <v/>
      </c>
      <c r="K1303" s="311" t="str">
        <f t="shared" si="1385"/>
        <v/>
      </c>
      <c r="L1303" s="310" t="str">
        <f t="shared" si="1386"/>
        <v/>
      </c>
      <c r="M1303" s="310" t="str">
        <f t="shared" si="1387"/>
        <v/>
      </c>
      <c r="N1303" s="311" t="str">
        <f t="shared" si="1388"/>
        <v/>
      </c>
    </row>
    <row r="1304" spans="1:14">
      <c r="A1304" s="297" t="s">
        <v>1520</v>
      </c>
      <c r="B1304" s="254"/>
      <c r="C1304" s="299" t="s">
        <v>1492</v>
      </c>
      <c r="D1304" s="299">
        <v>1</v>
      </c>
      <c r="E1304" s="300">
        <v>3</v>
      </c>
      <c r="F1304" s="300">
        <f>E1304*D1304</f>
        <v>3</v>
      </c>
      <c r="G1304" s="302">
        <v>2.2000000000000002</v>
      </c>
      <c r="H1304" s="310" t="str">
        <f t="shared" si="1382"/>
        <v/>
      </c>
      <c r="I1304" s="311" t="str">
        <f t="shared" si="1383"/>
        <v/>
      </c>
      <c r="J1304" s="311" t="str">
        <f t="shared" si="1384"/>
        <v/>
      </c>
      <c r="K1304" s="311" t="str">
        <f t="shared" si="1385"/>
        <v/>
      </c>
      <c r="L1304" s="310">
        <f t="shared" si="1386"/>
        <v>6.6</v>
      </c>
      <c r="M1304" s="310" t="str">
        <f t="shared" si="1387"/>
        <v/>
      </c>
      <c r="N1304" s="311" t="str">
        <f t="shared" si="1388"/>
        <v/>
      </c>
    </row>
    <row r="1305" spans="1:14">
      <c r="A1305" s="297" t="s">
        <v>1520</v>
      </c>
      <c r="B1305" s="254"/>
      <c r="C1305" s="299" t="s">
        <v>1492</v>
      </c>
      <c r="D1305" s="299">
        <v>1</v>
      </c>
      <c r="E1305" s="300">
        <v>3</v>
      </c>
      <c r="F1305" s="300">
        <f>E1305*D1305</f>
        <v>3</v>
      </c>
      <c r="G1305" s="302">
        <v>2.9</v>
      </c>
      <c r="H1305" s="310" t="str">
        <f t="shared" si="1382"/>
        <v/>
      </c>
      <c r="I1305" s="311" t="str">
        <f t="shared" si="1383"/>
        <v/>
      </c>
      <c r="J1305" s="311" t="str">
        <f t="shared" si="1384"/>
        <v/>
      </c>
      <c r="K1305" s="311" t="str">
        <f t="shared" si="1385"/>
        <v/>
      </c>
      <c r="L1305" s="310">
        <f t="shared" si="1386"/>
        <v>8.6999999999999993</v>
      </c>
      <c r="M1305" s="310" t="str">
        <f t="shared" si="1387"/>
        <v/>
      </c>
      <c r="N1305" s="311" t="str">
        <f t="shared" si="1388"/>
        <v/>
      </c>
    </row>
    <row r="1306" spans="1:14" ht="16.5">
      <c r="A1306" s="265"/>
      <c r="B1306" s="254"/>
      <c r="C1306" s="299"/>
      <c r="D1306" s="299"/>
      <c r="E1306" s="300"/>
      <c r="F1306" s="300"/>
      <c r="G1306" s="302"/>
      <c r="H1306" s="310"/>
      <c r="I1306" s="311"/>
      <c r="J1306" s="311"/>
      <c r="K1306" s="311"/>
      <c r="L1306" s="310"/>
      <c r="M1306" s="310"/>
      <c r="N1306" s="311"/>
    </row>
    <row r="1307" spans="1:14" ht="16.5">
      <c r="A1307" s="303" t="s">
        <v>1566</v>
      </c>
      <c r="B1307" s="254"/>
      <c r="C1307" s="299"/>
      <c r="D1307" s="299"/>
      <c r="E1307" s="300"/>
      <c r="F1307" s="300"/>
      <c r="G1307" s="302"/>
      <c r="H1307" s="310"/>
      <c r="I1307" s="311"/>
      <c r="J1307" s="311"/>
      <c r="K1307" s="311"/>
      <c r="L1307" s="310"/>
      <c r="M1307" s="310"/>
      <c r="N1307" s="311"/>
    </row>
    <row r="1308" spans="1:14" s="294" customFormat="1">
      <c r="A1308" s="297" t="s">
        <v>1515</v>
      </c>
      <c r="B1308" s="298"/>
      <c r="C1308" s="299" t="s">
        <v>1519</v>
      </c>
      <c r="D1308" s="299">
        <v>1</v>
      </c>
      <c r="E1308" s="300">
        <v>3</v>
      </c>
      <c r="F1308" s="300">
        <f>E1308*D1308</f>
        <v>3</v>
      </c>
      <c r="G1308" s="299">
        <f>(7.75)+17*0.01*2</f>
        <v>8.09</v>
      </c>
      <c r="H1308" s="310" t="str">
        <f t="shared" ref="H1308:H1314" si="1390">IF(C1308="T6",G1308*F1308,"")</f>
        <v/>
      </c>
      <c r="I1308" s="311" t="str">
        <f t="shared" ref="I1308:I1314" si="1391">IF(C1308="T8",F1308*G1308,"")</f>
        <v/>
      </c>
      <c r="J1308" s="311">
        <f t="shared" ref="J1308:J1314" si="1392">IF(C1308="T10",F1308*G1308,"")</f>
        <v>24.27</v>
      </c>
      <c r="K1308" s="311" t="str">
        <f t="shared" ref="K1308:K1314" si="1393">IF(C1308="T12",F1308*G1308,"")</f>
        <v/>
      </c>
      <c r="L1308" s="310" t="str">
        <f t="shared" ref="L1308:L1314" si="1394">IF(C1308="T14",F1308*G1308,"")</f>
        <v/>
      </c>
      <c r="M1308" s="310" t="str">
        <f t="shared" ref="M1308:M1314" si="1395">IF(C1308="T16",G1308*F1308,"")</f>
        <v/>
      </c>
      <c r="N1308" s="311" t="str">
        <f t="shared" ref="N1308:N1314" si="1396">IF(C1308="T20",G1308*F1308,"")</f>
        <v/>
      </c>
    </row>
    <row r="1309" spans="1:14" s="294" customFormat="1">
      <c r="A1309" s="297" t="s">
        <v>1515</v>
      </c>
      <c r="B1309" s="298"/>
      <c r="C1309" s="299" t="s">
        <v>1516</v>
      </c>
      <c r="D1309" s="299">
        <v>1</v>
      </c>
      <c r="E1309" s="300">
        <v>3</v>
      </c>
      <c r="F1309" s="300">
        <f>E1309*D1309</f>
        <v>3</v>
      </c>
      <c r="G1309" s="302">
        <f>(7.75)+17*0.012*2</f>
        <v>8.16</v>
      </c>
      <c r="H1309" s="310" t="str">
        <f t="shared" si="1390"/>
        <v/>
      </c>
      <c r="I1309" s="311" t="str">
        <f t="shared" si="1391"/>
        <v/>
      </c>
      <c r="J1309" s="311" t="str">
        <f t="shared" si="1392"/>
        <v/>
      </c>
      <c r="K1309" s="311">
        <f t="shared" si="1393"/>
        <v>24.48</v>
      </c>
      <c r="L1309" s="310" t="str">
        <f t="shared" si="1394"/>
        <v/>
      </c>
      <c r="M1309" s="310" t="str">
        <f t="shared" si="1395"/>
        <v/>
      </c>
      <c r="N1309" s="311" t="str">
        <f t="shared" si="1396"/>
        <v/>
      </c>
    </row>
    <row r="1310" spans="1:14" s="294" customFormat="1">
      <c r="A1310" s="297"/>
      <c r="B1310" s="298"/>
      <c r="C1310" s="299" t="s">
        <v>1519</v>
      </c>
      <c r="D1310" s="299">
        <v>1</v>
      </c>
      <c r="E1310" s="300">
        <v>3</v>
      </c>
      <c r="F1310" s="300">
        <f>E1310*D1310</f>
        <v>3</v>
      </c>
      <c r="G1310" s="299">
        <v>7.75</v>
      </c>
      <c r="H1310" s="310" t="str">
        <f t="shared" si="1390"/>
        <v/>
      </c>
      <c r="I1310" s="311" t="str">
        <f t="shared" si="1391"/>
        <v/>
      </c>
      <c r="J1310" s="311">
        <f t="shared" si="1392"/>
        <v>23.25</v>
      </c>
      <c r="K1310" s="311" t="str">
        <f t="shared" si="1393"/>
        <v/>
      </c>
      <c r="L1310" s="310" t="str">
        <f t="shared" si="1394"/>
        <v/>
      </c>
      <c r="M1310" s="310" t="str">
        <f t="shared" si="1395"/>
        <v/>
      </c>
      <c r="N1310" s="311" t="str">
        <f t="shared" si="1396"/>
        <v/>
      </c>
    </row>
    <row r="1311" spans="1:14" s="294" customFormat="1">
      <c r="A1311" s="297" t="s">
        <v>1494</v>
      </c>
      <c r="B1311" s="301"/>
      <c r="C1311" s="299" t="s">
        <v>1496</v>
      </c>
      <c r="D1311" s="299">
        <v>1</v>
      </c>
      <c r="E1311" s="300">
        <f>15+16+15</f>
        <v>46</v>
      </c>
      <c r="F1311" s="300">
        <f t="shared" ref="F1311:F1312" si="1397">E1311*D1311</f>
        <v>46</v>
      </c>
      <c r="G1311" s="302">
        <f>(0.2+0.45)*2+17*0.008*2</f>
        <v>1.57</v>
      </c>
      <c r="H1311" s="310" t="str">
        <f t="shared" si="1390"/>
        <v/>
      </c>
      <c r="I1311" s="311">
        <f t="shared" si="1391"/>
        <v>72.22</v>
      </c>
      <c r="J1311" s="311" t="str">
        <f t="shared" si="1392"/>
        <v/>
      </c>
      <c r="K1311" s="311" t="str">
        <f t="shared" si="1393"/>
        <v/>
      </c>
      <c r="L1311" s="310" t="str">
        <f t="shared" si="1394"/>
        <v/>
      </c>
      <c r="M1311" s="310" t="str">
        <f t="shared" si="1395"/>
        <v/>
      </c>
      <c r="N1311" s="311" t="str">
        <f t="shared" si="1396"/>
        <v/>
      </c>
    </row>
    <row r="1312" spans="1:14" s="294" customFormat="1">
      <c r="A1312" s="297" t="s">
        <v>1517</v>
      </c>
      <c r="B1312" s="301"/>
      <c r="C1312" s="299" t="s">
        <v>1496</v>
      </c>
      <c r="D1312" s="299">
        <v>1</v>
      </c>
      <c r="E1312" s="300">
        <f>15+16+15</f>
        <v>46</v>
      </c>
      <c r="F1312" s="300">
        <f t="shared" si="1397"/>
        <v>46</v>
      </c>
      <c r="G1312" s="302">
        <f>(0.45*2)+17*0.008*2</f>
        <v>1.17</v>
      </c>
      <c r="H1312" s="310" t="str">
        <f t="shared" si="1390"/>
        <v/>
      </c>
      <c r="I1312" s="311">
        <f t="shared" si="1391"/>
        <v>53.82</v>
      </c>
      <c r="J1312" s="311" t="str">
        <f t="shared" si="1392"/>
        <v/>
      </c>
      <c r="K1312" s="311" t="str">
        <f t="shared" si="1393"/>
        <v/>
      </c>
      <c r="L1312" s="310" t="str">
        <f t="shared" si="1394"/>
        <v/>
      </c>
      <c r="M1312" s="310" t="str">
        <f t="shared" si="1395"/>
        <v/>
      </c>
      <c r="N1312" s="311" t="str">
        <f t="shared" si="1396"/>
        <v/>
      </c>
    </row>
    <row r="1313" spans="1:14">
      <c r="A1313" s="297" t="s">
        <v>1518</v>
      </c>
      <c r="B1313" s="254"/>
      <c r="C1313" s="299" t="s">
        <v>1516</v>
      </c>
      <c r="D1313" s="299">
        <v>1</v>
      </c>
      <c r="E1313" s="300">
        <v>3</v>
      </c>
      <c r="F1313" s="300">
        <f>E1313*D1313</f>
        <v>3</v>
      </c>
      <c r="G1313" s="302">
        <v>1.5</v>
      </c>
      <c r="H1313" s="310" t="str">
        <f t="shared" si="1390"/>
        <v/>
      </c>
      <c r="I1313" s="311" t="str">
        <f t="shared" si="1391"/>
        <v/>
      </c>
      <c r="J1313" s="311" t="str">
        <f t="shared" si="1392"/>
        <v/>
      </c>
      <c r="K1313" s="311">
        <f t="shared" si="1393"/>
        <v>4.5</v>
      </c>
      <c r="L1313" s="310" t="str">
        <f t="shared" si="1394"/>
        <v/>
      </c>
      <c r="M1313" s="310" t="str">
        <f t="shared" si="1395"/>
        <v/>
      </c>
      <c r="N1313" s="311" t="str">
        <f t="shared" si="1396"/>
        <v/>
      </c>
    </row>
    <row r="1314" spans="1:14">
      <c r="A1314" s="297" t="s">
        <v>1520</v>
      </c>
      <c r="B1314" s="254"/>
      <c r="C1314" s="299" t="s">
        <v>1492</v>
      </c>
      <c r="D1314" s="299">
        <v>1</v>
      </c>
      <c r="E1314" s="300">
        <v>3</v>
      </c>
      <c r="F1314" s="300">
        <f>E1314*D1314</f>
        <v>3</v>
      </c>
      <c r="G1314" s="302">
        <v>3.5</v>
      </c>
      <c r="H1314" s="310" t="str">
        <f t="shared" si="1390"/>
        <v/>
      </c>
      <c r="I1314" s="311" t="str">
        <f t="shared" si="1391"/>
        <v/>
      </c>
      <c r="J1314" s="311" t="str">
        <f t="shared" si="1392"/>
        <v/>
      </c>
      <c r="K1314" s="311" t="str">
        <f t="shared" si="1393"/>
        <v/>
      </c>
      <c r="L1314" s="310">
        <f t="shared" si="1394"/>
        <v>10.5</v>
      </c>
      <c r="M1314" s="310" t="str">
        <f t="shared" si="1395"/>
        <v/>
      </c>
      <c r="N1314" s="311" t="str">
        <f t="shared" si="1396"/>
        <v/>
      </c>
    </row>
    <row r="1315" spans="1:14">
      <c r="A1315" s="297"/>
      <c r="B1315" s="254"/>
      <c r="C1315" s="299" t="s">
        <v>1516</v>
      </c>
      <c r="D1315" s="299">
        <v>1</v>
      </c>
      <c r="E1315" s="300">
        <v>3</v>
      </c>
      <c r="F1315" s="300">
        <f>E1315*D1315</f>
        <v>3</v>
      </c>
      <c r="G1315" s="302">
        <v>5.4</v>
      </c>
      <c r="H1315" s="310" t="str">
        <f t="shared" ref="H1315" si="1398">IF(C1315="T6",G1315*F1315,"")</f>
        <v/>
      </c>
      <c r="I1315" s="311" t="str">
        <f t="shared" ref="I1315" si="1399">IF(C1315="T8",F1315*G1315,"")</f>
        <v/>
      </c>
      <c r="J1315" s="311" t="str">
        <f t="shared" ref="J1315" si="1400">IF(C1315="T10",F1315*G1315,"")</f>
        <v/>
      </c>
      <c r="K1315" s="311">
        <f t="shared" ref="K1315" si="1401">IF(C1315="T12",F1315*G1315,"")</f>
        <v>16.2</v>
      </c>
      <c r="L1315" s="310" t="str">
        <f t="shared" ref="L1315" si="1402">IF(C1315="T14",F1315*G1315,"")</f>
        <v/>
      </c>
      <c r="M1315" s="310" t="str">
        <f t="shared" ref="M1315" si="1403">IF(C1315="T16",G1315*F1315,"")</f>
        <v/>
      </c>
      <c r="N1315" s="311" t="str">
        <f t="shared" ref="N1315" si="1404">IF(C1315="T20",G1315*F1315,"")</f>
        <v/>
      </c>
    </row>
    <row r="1316" spans="1:14" ht="16.5">
      <c r="A1316" s="265"/>
      <c r="B1316" s="254"/>
      <c r="C1316" s="299"/>
      <c r="D1316" s="299"/>
      <c r="E1316" s="300"/>
      <c r="F1316" s="300"/>
      <c r="G1316" s="302"/>
      <c r="H1316" s="310"/>
      <c r="I1316" s="311"/>
      <c r="J1316" s="311"/>
      <c r="K1316" s="311"/>
      <c r="L1316" s="310"/>
      <c r="M1316" s="310"/>
      <c r="N1316" s="311"/>
    </row>
    <row r="1317" spans="1:14" s="84" customFormat="1" ht="18.75" customHeight="1">
      <c r="A1317" s="325" t="s">
        <v>1565</v>
      </c>
      <c r="B1317" s="254"/>
      <c r="C1317" s="299"/>
      <c r="D1317" s="299"/>
      <c r="E1317" s="300"/>
      <c r="F1317" s="300"/>
      <c r="G1317" s="302"/>
      <c r="H1317" s="310"/>
      <c r="I1317" s="310"/>
      <c r="J1317" s="310"/>
      <c r="K1317" s="310"/>
      <c r="L1317" s="310"/>
      <c r="M1317" s="310"/>
      <c r="N1317" s="310"/>
    </row>
    <row r="1318" spans="1:14" s="294" customFormat="1">
      <c r="A1318" s="297" t="s">
        <v>1515</v>
      </c>
      <c r="B1318" s="254"/>
      <c r="C1318" s="299" t="s">
        <v>1492</v>
      </c>
      <c r="D1318" s="299">
        <v>1</v>
      </c>
      <c r="E1318" s="300">
        <v>4</v>
      </c>
      <c r="F1318" s="300">
        <f>E1318*D1318</f>
        <v>4</v>
      </c>
      <c r="G1318" s="299">
        <f>(8.75)+17*0.014*2</f>
        <v>9.2260000000000009</v>
      </c>
      <c r="H1318" s="310" t="str">
        <f t="shared" ref="H1318:H1326" si="1405">IF(C1318="T6",G1318*F1318,"")</f>
        <v/>
      </c>
      <c r="I1318" s="311" t="str">
        <f t="shared" ref="I1318:I1326" si="1406">IF(C1318="T8",F1318*G1318,"")</f>
        <v/>
      </c>
      <c r="J1318" s="311" t="str">
        <f t="shared" ref="J1318:J1326" si="1407">IF(C1318="T10",F1318*G1318,"")</f>
        <v/>
      </c>
      <c r="K1318" s="311" t="str">
        <f t="shared" ref="K1318:K1326" si="1408">IF(C1318="T12",F1318*G1318,"")</f>
        <v/>
      </c>
      <c r="L1318" s="310">
        <f t="shared" ref="L1318:L1326" si="1409">IF(C1318="T14",F1318*G1318,"")</f>
        <v>36.9</v>
      </c>
      <c r="M1318" s="310" t="str">
        <f t="shared" ref="M1318:M1326" si="1410">IF(C1318="T16",G1318*F1318,"")</f>
        <v/>
      </c>
      <c r="N1318" s="311" t="str">
        <f t="shared" ref="N1318:N1326" si="1411">IF(C1318="T20",G1318*F1318,"")</f>
        <v/>
      </c>
    </row>
    <row r="1319" spans="1:14" s="294" customFormat="1">
      <c r="A1319" s="297" t="s">
        <v>1515</v>
      </c>
      <c r="B1319" s="254"/>
      <c r="C1319" s="299" t="s">
        <v>1521</v>
      </c>
      <c r="D1319" s="299">
        <v>1</v>
      </c>
      <c r="E1319" s="300">
        <v>8</v>
      </c>
      <c r="F1319" s="300">
        <f>E1319*D1319</f>
        <v>8</v>
      </c>
      <c r="G1319" s="299">
        <f>(8.75)+17*0.02*2</f>
        <v>9.43</v>
      </c>
      <c r="H1319" s="310" t="str">
        <f t="shared" si="1405"/>
        <v/>
      </c>
      <c r="I1319" s="311" t="str">
        <f t="shared" si="1406"/>
        <v/>
      </c>
      <c r="J1319" s="311" t="str">
        <f t="shared" si="1407"/>
        <v/>
      </c>
      <c r="K1319" s="311" t="str">
        <f t="shared" si="1408"/>
        <v/>
      </c>
      <c r="L1319" s="310" t="str">
        <f t="shared" si="1409"/>
        <v/>
      </c>
      <c r="M1319" s="310" t="str">
        <f t="shared" si="1410"/>
        <v/>
      </c>
      <c r="N1319" s="311">
        <f t="shared" si="1411"/>
        <v>75.44</v>
      </c>
    </row>
    <row r="1320" spans="1:14" s="294" customFormat="1">
      <c r="A1320" s="297"/>
      <c r="B1320" s="254"/>
      <c r="C1320" s="299" t="s">
        <v>1516</v>
      </c>
      <c r="D1320" s="299">
        <v>1</v>
      </c>
      <c r="E1320" s="300">
        <v>4</v>
      </c>
      <c r="F1320" s="300">
        <f>E1320*D1320</f>
        <v>4</v>
      </c>
      <c r="G1320" s="299">
        <v>8.75</v>
      </c>
      <c r="H1320" s="310" t="str">
        <f t="shared" si="1405"/>
        <v/>
      </c>
      <c r="I1320" s="311" t="str">
        <f t="shared" si="1406"/>
        <v/>
      </c>
      <c r="J1320" s="311" t="str">
        <f t="shared" si="1407"/>
        <v/>
      </c>
      <c r="K1320" s="311">
        <f t="shared" si="1408"/>
        <v>35</v>
      </c>
      <c r="L1320" s="310" t="str">
        <f t="shared" si="1409"/>
        <v/>
      </c>
      <c r="M1320" s="310" t="str">
        <f t="shared" si="1410"/>
        <v/>
      </c>
      <c r="N1320" s="311" t="str">
        <f t="shared" si="1411"/>
        <v/>
      </c>
    </row>
    <row r="1321" spans="1:14" s="294" customFormat="1">
      <c r="A1321" s="297" t="s">
        <v>1494</v>
      </c>
      <c r="B1321" s="301"/>
      <c r="C1321" s="299" t="s">
        <v>1496</v>
      </c>
      <c r="D1321" s="299">
        <v>1</v>
      </c>
      <c r="E1321" s="300">
        <f>20+20+20</f>
        <v>60</v>
      </c>
      <c r="F1321" s="300">
        <f t="shared" ref="F1321:F1322" si="1412">E1321*D1321</f>
        <v>60</v>
      </c>
      <c r="G1321" s="302">
        <f>(0.25+0.95)*2+17*0.008*2</f>
        <v>2.67</v>
      </c>
      <c r="H1321" s="310" t="str">
        <f t="shared" si="1405"/>
        <v/>
      </c>
      <c r="I1321" s="311">
        <f t="shared" si="1406"/>
        <v>160.19999999999999</v>
      </c>
      <c r="J1321" s="311" t="str">
        <f t="shared" si="1407"/>
        <v/>
      </c>
      <c r="K1321" s="311" t="str">
        <f t="shared" si="1408"/>
        <v/>
      </c>
      <c r="L1321" s="310" t="str">
        <f t="shared" si="1409"/>
        <v/>
      </c>
      <c r="M1321" s="310" t="str">
        <f t="shared" si="1410"/>
        <v/>
      </c>
      <c r="N1321" s="311" t="str">
        <f t="shared" si="1411"/>
        <v/>
      </c>
    </row>
    <row r="1322" spans="1:14" s="294" customFormat="1">
      <c r="A1322" s="297" t="s">
        <v>1517</v>
      </c>
      <c r="B1322" s="301"/>
      <c r="C1322" s="299" t="s">
        <v>1496</v>
      </c>
      <c r="D1322" s="299">
        <v>1</v>
      </c>
      <c r="E1322" s="300">
        <f>20+20+20</f>
        <v>60</v>
      </c>
      <c r="F1322" s="300">
        <f t="shared" si="1412"/>
        <v>60</v>
      </c>
      <c r="G1322" s="302">
        <f>(0.95*2)+17*0.008*2</f>
        <v>2.17</v>
      </c>
      <c r="H1322" s="310" t="str">
        <f t="shared" si="1405"/>
        <v/>
      </c>
      <c r="I1322" s="311">
        <f t="shared" si="1406"/>
        <v>130.19999999999999</v>
      </c>
      <c r="J1322" s="311" t="str">
        <f t="shared" si="1407"/>
        <v/>
      </c>
      <c r="K1322" s="311" t="str">
        <f t="shared" si="1408"/>
        <v/>
      </c>
      <c r="L1322" s="310" t="str">
        <f t="shared" si="1409"/>
        <v/>
      </c>
      <c r="M1322" s="310" t="str">
        <f t="shared" si="1410"/>
        <v/>
      </c>
      <c r="N1322" s="311" t="str">
        <f t="shared" si="1411"/>
        <v/>
      </c>
    </row>
    <row r="1323" spans="1:14">
      <c r="A1323" s="297" t="s">
        <v>1520</v>
      </c>
      <c r="B1323" s="254"/>
      <c r="C1323" s="299" t="s">
        <v>1498</v>
      </c>
      <c r="D1323" s="299">
        <v>1</v>
      </c>
      <c r="E1323" s="300">
        <v>12</v>
      </c>
      <c r="F1323" s="300">
        <f>E1323*D1323</f>
        <v>12</v>
      </c>
      <c r="G1323" s="302">
        <v>4.5</v>
      </c>
      <c r="H1323" s="310" t="str">
        <f t="shared" si="1405"/>
        <v/>
      </c>
      <c r="I1323" s="311" t="str">
        <f t="shared" si="1406"/>
        <v/>
      </c>
      <c r="J1323" s="311" t="str">
        <f t="shared" si="1407"/>
        <v/>
      </c>
      <c r="K1323" s="311" t="str">
        <f t="shared" si="1408"/>
        <v/>
      </c>
      <c r="L1323" s="310" t="str">
        <f t="shared" si="1409"/>
        <v/>
      </c>
      <c r="M1323" s="310">
        <f t="shared" si="1410"/>
        <v>54</v>
      </c>
      <c r="N1323" s="311" t="str">
        <f t="shared" si="1411"/>
        <v/>
      </c>
    </row>
    <row r="1324" spans="1:14">
      <c r="A1324" s="297" t="s">
        <v>1520</v>
      </c>
      <c r="B1324" s="254"/>
      <c r="C1324" s="299" t="s">
        <v>1498</v>
      </c>
      <c r="D1324" s="299">
        <v>1</v>
      </c>
      <c r="E1324" s="300">
        <v>4</v>
      </c>
      <c r="F1324" s="300">
        <f>E1324*D1324</f>
        <v>4</v>
      </c>
      <c r="G1324" s="302">
        <v>6.8</v>
      </c>
      <c r="H1324" s="310" t="str">
        <f t="shared" si="1405"/>
        <v/>
      </c>
      <c r="I1324" s="311" t="str">
        <f t="shared" si="1406"/>
        <v/>
      </c>
      <c r="J1324" s="311" t="str">
        <f t="shared" si="1407"/>
        <v/>
      </c>
      <c r="K1324" s="311" t="str">
        <f t="shared" si="1408"/>
        <v/>
      </c>
      <c r="L1324" s="310" t="str">
        <f t="shared" si="1409"/>
        <v/>
      </c>
      <c r="M1324" s="310">
        <f t="shared" si="1410"/>
        <v>27.2</v>
      </c>
      <c r="N1324" s="311" t="str">
        <f t="shared" si="1411"/>
        <v/>
      </c>
    </row>
    <row r="1325" spans="1:14">
      <c r="A1325" s="297" t="s">
        <v>1520</v>
      </c>
      <c r="B1325" s="254"/>
      <c r="C1325" s="299" t="s">
        <v>1498</v>
      </c>
      <c r="D1325" s="299">
        <v>1</v>
      </c>
      <c r="E1325" s="300">
        <v>4</v>
      </c>
      <c r="F1325" s="300">
        <f>E1325*D1325</f>
        <v>4</v>
      </c>
      <c r="G1325" s="302">
        <v>2</v>
      </c>
      <c r="H1325" s="310" t="str">
        <f t="shared" si="1405"/>
        <v/>
      </c>
      <c r="I1325" s="311" t="str">
        <f t="shared" si="1406"/>
        <v/>
      </c>
      <c r="J1325" s="311" t="str">
        <f t="shared" si="1407"/>
        <v/>
      </c>
      <c r="K1325" s="311" t="str">
        <f t="shared" si="1408"/>
        <v/>
      </c>
      <c r="L1325" s="310" t="str">
        <f t="shared" si="1409"/>
        <v/>
      </c>
      <c r="M1325" s="310">
        <f t="shared" si="1410"/>
        <v>8</v>
      </c>
      <c r="N1325" s="311" t="str">
        <f t="shared" si="1411"/>
        <v/>
      </c>
    </row>
    <row r="1326" spans="1:14">
      <c r="A1326" s="297" t="s">
        <v>1545</v>
      </c>
      <c r="B1326" s="254"/>
      <c r="C1326" s="299" t="s">
        <v>1498</v>
      </c>
      <c r="D1326" s="299">
        <v>1</v>
      </c>
      <c r="E1326" s="300">
        <v>4</v>
      </c>
      <c r="F1326" s="300">
        <f>E1326*D1326</f>
        <v>4</v>
      </c>
      <c r="G1326" s="302">
        <v>2.5</v>
      </c>
      <c r="H1326" s="310" t="str">
        <f t="shared" si="1405"/>
        <v/>
      </c>
      <c r="I1326" s="311" t="str">
        <f t="shared" si="1406"/>
        <v/>
      </c>
      <c r="J1326" s="311" t="str">
        <f t="shared" si="1407"/>
        <v/>
      </c>
      <c r="K1326" s="311" t="str">
        <f t="shared" si="1408"/>
        <v/>
      </c>
      <c r="L1326" s="310" t="str">
        <f t="shared" si="1409"/>
        <v/>
      </c>
      <c r="M1326" s="310">
        <f t="shared" si="1410"/>
        <v>10</v>
      </c>
      <c r="N1326" s="311" t="str">
        <f t="shared" si="1411"/>
        <v/>
      </c>
    </row>
    <row r="1327" spans="1:14">
      <c r="A1327" s="253"/>
      <c r="B1327" s="254"/>
      <c r="C1327" s="299"/>
      <c r="D1327" s="299"/>
      <c r="E1327" s="300"/>
      <c r="F1327" s="300"/>
      <c r="G1327" s="302"/>
      <c r="H1327" s="310"/>
      <c r="I1327" s="311"/>
      <c r="J1327" s="311"/>
      <c r="K1327" s="311"/>
      <c r="L1327" s="310"/>
      <c r="M1327" s="310"/>
      <c r="N1327" s="311"/>
    </row>
    <row r="1328" spans="1:14" ht="16.5">
      <c r="A1328" s="303" t="s">
        <v>1564</v>
      </c>
      <c r="B1328" s="254"/>
      <c r="C1328" s="299"/>
      <c r="D1328" s="299"/>
      <c r="E1328" s="300"/>
      <c r="F1328" s="300"/>
      <c r="G1328" s="302"/>
      <c r="H1328" s="310"/>
      <c r="I1328" s="311"/>
      <c r="J1328" s="311"/>
      <c r="K1328" s="311"/>
      <c r="L1328" s="310"/>
      <c r="M1328" s="310"/>
      <c r="N1328" s="311"/>
    </row>
    <row r="1329" spans="1:14" s="294" customFormat="1">
      <c r="A1329" s="297" t="s">
        <v>1515</v>
      </c>
      <c r="B1329" s="298"/>
      <c r="C1329" s="299" t="s">
        <v>1519</v>
      </c>
      <c r="D1329" s="299">
        <v>1</v>
      </c>
      <c r="E1329" s="300">
        <v>3</v>
      </c>
      <c r="F1329" s="300">
        <f>E1329*D1329</f>
        <v>3</v>
      </c>
      <c r="G1329" s="299">
        <f>(1.9)+17*0.01*2</f>
        <v>2.2400000000000002</v>
      </c>
      <c r="H1329" s="310" t="str">
        <f t="shared" ref="H1329:H1334" si="1413">IF(C1329="T6",G1329*F1329,"")</f>
        <v/>
      </c>
      <c r="I1329" s="311" t="str">
        <f t="shared" ref="I1329:I1334" si="1414">IF(C1329="T8",F1329*G1329,"")</f>
        <v/>
      </c>
      <c r="J1329" s="311">
        <f t="shared" ref="J1329:J1334" si="1415">IF(C1329="T10",F1329*G1329,"")</f>
        <v>6.72</v>
      </c>
      <c r="K1329" s="311" t="str">
        <f t="shared" ref="K1329:K1334" si="1416">IF(C1329="T12",F1329*G1329,"")</f>
        <v/>
      </c>
      <c r="L1329" s="310" t="str">
        <f t="shared" ref="L1329:L1334" si="1417">IF(C1329="T14",F1329*G1329,"")</f>
        <v/>
      </c>
      <c r="M1329" s="310" t="str">
        <f t="shared" ref="M1329:M1334" si="1418">IF(C1329="T16",G1329*F1329,"")</f>
        <v/>
      </c>
      <c r="N1329" s="311" t="str">
        <f t="shared" ref="N1329:N1334" si="1419">IF(C1329="T20",G1329*F1329,"")</f>
        <v/>
      </c>
    </row>
    <row r="1330" spans="1:14" s="294" customFormat="1">
      <c r="A1330" s="297" t="s">
        <v>1515</v>
      </c>
      <c r="B1330" s="298"/>
      <c r="C1330" s="299" t="s">
        <v>1516</v>
      </c>
      <c r="D1330" s="299">
        <v>1</v>
      </c>
      <c r="E1330" s="300">
        <v>3</v>
      </c>
      <c r="F1330" s="300">
        <f>E1330*D1330</f>
        <v>3</v>
      </c>
      <c r="G1330" s="302">
        <f>(1.9)+17*0.012*2</f>
        <v>2.31</v>
      </c>
      <c r="H1330" s="310" t="str">
        <f t="shared" si="1413"/>
        <v/>
      </c>
      <c r="I1330" s="311" t="str">
        <f t="shared" si="1414"/>
        <v/>
      </c>
      <c r="J1330" s="311" t="str">
        <f t="shared" si="1415"/>
        <v/>
      </c>
      <c r="K1330" s="311">
        <f t="shared" si="1416"/>
        <v>6.93</v>
      </c>
      <c r="L1330" s="310" t="str">
        <f t="shared" si="1417"/>
        <v/>
      </c>
      <c r="M1330" s="310" t="str">
        <f t="shared" si="1418"/>
        <v/>
      </c>
      <c r="N1330" s="311" t="str">
        <f t="shared" si="1419"/>
        <v/>
      </c>
    </row>
    <row r="1331" spans="1:14" s="294" customFormat="1">
      <c r="A1331" s="297" t="s">
        <v>1494</v>
      </c>
      <c r="B1331" s="301"/>
      <c r="C1331" s="299" t="s">
        <v>1496</v>
      </c>
      <c r="D1331" s="299">
        <v>1</v>
      </c>
      <c r="E1331" s="300">
        <f>6+7+6</f>
        <v>19</v>
      </c>
      <c r="F1331" s="300">
        <f t="shared" ref="F1331:F1332" si="1420">E1331*D1331</f>
        <v>19</v>
      </c>
      <c r="G1331" s="302">
        <f>(0.2+0.45)*2+17*0.008*2</f>
        <v>1.57</v>
      </c>
      <c r="H1331" s="310" t="str">
        <f t="shared" si="1413"/>
        <v/>
      </c>
      <c r="I1331" s="311">
        <f t="shared" si="1414"/>
        <v>29.83</v>
      </c>
      <c r="J1331" s="311" t="str">
        <f t="shared" si="1415"/>
        <v/>
      </c>
      <c r="K1331" s="311" t="str">
        <f t="shared" si="1416"/>
        <v/>
      </c>
      <c r="L1331" s="310" t="str">
        <f t="shared" si="1417"/>
        <v/>
      </c>
      <c r="M1331" s="310" t="str">
        <f t="shared" si="1418"/>
        <v/>
      </c>
      <c r="N1331" s="311" t="str">
        <f t="shared" si="1419"/>
        <v/>
      </c>
    </row>
    <row r="1332" spans="1:14" s="294" customFormat="1">
      <c r="A1332" s="297" t="s">
        <v>1517</v>
      </c>
      <c r="B1332" s="301"/>
      <c r="C1332" s="299" t="s">
        <v>1496</v>
      </c>
      <c r="D1332" s="299">
        <v>1</v>
      </c>
      <c r="E1332" s="300">
        <f>6+7+6</f>
        <v>19</v>
      </c>
      <c r="F1332" s="300">
        <f t="shared" si="1420"/>
        <v>19</v>
      </c>
      <c r="G1332" s="302">
        <f>(0.45*2)+17*0.008*2</f>
        <v>1.17</v>
      </c>
      <c r="H1332" s="310" t="str">
        <f t="shared" si="1413"/>
        <v/>
      </c>
      <c r="I1332" s="311">
        <f t="shared" si="1414"/>
        <v>22.23</v>
      </c>
      <c r="J1332" s="311" t="str">
        <f t="shared" si="1415"/>
        <v/>
      </c>
      <c r="K1332" s="311" t="str">
        <f t="shared" si="1416"/>
        <v/>
      </c>
      <c r="L1332" s="310" t="str">
        <f t="shared" si="1417"/>
        <v/>
      </c>
      <c r="M1332" s="310" t="str">
        <f t="shared" si="1418"/>
        <v/>
      </c>
      <c r="N1332" s="311" t="str">
        <f t="shared" si="1419"/>
        <v/>
      </c>
    </row>
    <row r="1333" spans="1:14">
      <c r="A1333" s="297" t="s">
        <v>1520</v>
      </c>
      <c r="B1333" s="254"/>
      <c r="C1333" s="299" t="s">
        <v>1492</v>
      </c>
      <c r="D1333" s="299">
        <v>1</v>
      </c>
      <c r="E1333" s="300">
        <v>3</v>
      </c>
      <c r="F1333" s="300">
        <f>E1333*D1333</f>
        <v>3</v>
      </c>
      <c r="G1333" s="302">
        <v>3.2</v>
      </c>
      <c r="H1333" s="310" t="str">
        <f t="shared" si="1413"/>
        <v/>
      </c>
      <c r="I1333" s="311" t="str">
        <f t="shared" si="1414"/>
        <v/>
      </c>
      <c r="J1333" s="311" t="str">
        <f t="shared" si="1415"/>
        <v/>
      </c>
      <c r="K1333" s="311" t="str">
        <f t="shared" si="1416"/>
        <v/>
      </c>
      <c r="L1333" s="310">
        <f t="shared" si="1417"/>
        <v>9.6</v>
      </c>
      <c r="M1333" s="310" t="str">
        <f t="shared" si="1418"/>
        <v/>
      </c>
      <c r="N1333" s="311" t="str">
        <f t="shared" si="1419"/>
        <v/>
      </c>
    </row>
    <row r="1334" spans="1:14">
      <c r="A1334" s="297" t="s">
        <v>1520</v>
      </c>
      <c r="B1334" s="254"/>
      <c r="C1334" s="299" t="s">
        <v>1516</v>
      </c>
      <c r="D1334" s="299">
        <v>1</v>
      </c>
      <c r="E1334" s="300">
        <v>3</v>
      </c>
      <c r="F1334" s="300">
        <f>E1334*D1334</f>
        <v>3</v>
      </c>
      <c r="G1334" s="302">
        <v>2</v>
      </c>
      <c r="H1334" s="310" t="str">
        <f t="shared" si="1413"/>
        <v/>
      </c>
      <c r="I1334" s="311" t="str">
        <f t="shared" si="1414"/>
        <v/>
      </c>
      <c r="J1334" s="311" t="str">
        <f t="shared" si="1415"/>
        <v/>
      </c>
      <c r="K1334" s="311">
        <f t="shared" si="1416"/>
        <v>6</v>
      </c>
      <c r="L1334" s="310" t="str">
        <f t="shared" si="1417"/>
        <v/>
      </c>
      <c r="M1334" s="310" t="str">
        <f t="shared" si="1418"/>
        <v/>
      </c>
      <c r="N1334" s="311" t="str">
        <f t="shared" si="1419"/>
        <v/>
      </c>
    </row>
    <row r="1335" spans="1:14" ht="16.5">
      <c r="A1335" s="303"/>
      <c r="B1335" s="254"/>
      <c r="C1335" s="299"/>
      <c r="D1335" s="299"/>
      <c r="E1335" s="300"/>
      <c r="F1335" s="300"/>
      <c r="G1335" s="302"/>
      <c r="H1335" s="310"/>
      <c r="I1335" s="311"/>
      <c r="J1335" s="311"/>
      <c r="K1335" s="311"/>
      <c r="L1335" s="310"/>
      <c r="M1335" s="310"/>
      <c r="N1335" s="311"/>
    </row>
    <row r="1336" spans="1:14" ht="16.5">
      <c r="A1336" s="303" t="s">
        <v>1563</v>
      </c>
      <c r="B1336" s="254"/>
      <c r="C1336" s="299"/>
      <c r="D1336" s="299"/>
      <c r="E1336" s="300"/>
      <c r="F1336" s="300"/>
      <c r="G1336" s="302"/>
      <c r="H1336" s="310"/>
      <c r="I1336" s="311"/>
      <c r="J1336" s="311"/>
      <c r="K1336" s="311"/>
      <c r="L1336" s="310"/>
      <c r="M1336" s="310"/>
      <c r="N1336" s="311"/>
    </row>
    <row r="1337" spans="1:14" s="294" customFormat="1">
      <c r="A1337" s="297" t="s">
        <v>1515</v>
      </c>
      <c r="B1337" s="298"/>
      <c r="C1337" s="299" t="s">
        <v>1519</v>
      </c>
      <c r="D1337" s="299">
        <v>1</v>
      </c>
      <c r="E1337" s="300">
        <v>3</v>
      </c>
      <c r="F1337" s="300">
        <f>E1337*D1337</f>
        <v>3</v>
      </c>
      <c r="G1337" s="299">
        <f>(5.65)+17*0.01*2</f>
        <v>5.99</v>
      </c>
      <c r="H1337" s="310" t="str">
        <f t="shared" ref="H1337:H1344" si="1421">IF(C1337="T6",G1337*F1337,"")</f>
        <v/>
      </c>
      <c r="I1337" s="311" t="str">
        <f t="shared" ref="I1337:I1344" si="1422">IF(C1337="T8",F1337*G1337,"")</f>
        <v/>
      </c>
      <c r="J1337" s="311">
        <f t="shared" ref="J1337:J1344" si="1423">IF(C1337="T10",F1337*G1337,"")</f>
        <v>17.97</v>
      </c>
      <c r="K1337" s="311" t="str">
        <f t="shared" ref="K1337:K1344" si="1424">IF(C1337="T12",F1337*G1337,"")</f>
        <v/>
      </c>
      <c r="L1337" s="310" t="str">
        <f t="shared" ref="L1337:L1344" si="1425">IF(C1337="T14",F1337*G1337,"")</f>
        <v/>
      </c>
      <c r="M1337" s="310" t="str">
        <f t="shared" ref="M1337:M1344" si="1426">IF(C1337="T16",G1337*F1337,"")</f>
        <v/>
      </c>
      <c r="N1337" s="311" t="str">
        <f t="shared" ref="N1337:N1344" si="1427">IF(C1337="T20",G1337*F1337,"")</f>
        <v/>
      </c>
    </row>
    <row r="1338" spans="1:14" s="294" customFormat="1">
      <c r="A1338" s="297" t="s">
        <v>1515</v>
      </c>
      <c r="B1338" s="298"/>
      <c r="C1338" s="299" t="s">
        <v>1492</v>
      </c>
      <c r="D1338" s="299">
        <v>1</v>
      </c>
      <c r="E1338" s="300">
        <v>3</v>
      </c>
      <c r="F1338" s="300">
        <f>E1338*D1338</f>
        <v>3</v>
      </c>
      <c r="G1338" s="302">
        <f>(5.65)+17*0.014*2</f>
        <v>6.13</v>
      </c>
      <c r="H1338" s="310" t="str">
        <f t="shared" si="1421"/>
        <v/>
      </c>
      <c r="I1338" s="311" t="str">
        <f t="shared" si="1422"/>
        <v/>
      </c>
      <c r="J1338" s="311" t="str">
        <f t="shared" si="1423"/>
        <v/>
      </c>
      <c r="K1338" s="311" t="str">
        <f t="shared" si="1424"/>
        <v/>
      </c>
      <c r="L1338" s="310">
        <f t="shared" si="1425"/>
        <v>18.39</v>
      </c>
      <c r="M1338" s="310" t="str">
        <f t="shared" si="1426"/>
        <v/>
      </c>
      <c r="N1338" s="311" t="str">
        <f t="shared" si="1427"/>
        <v/>
      </c>
    </row>
    <row r="1339" spans="1:14" s="294" customFormat="1">
      <c r="A1339" s="297"/>
      <c r="B1339" s="298"/>
      <c r="C1339" s="299" t="s">
        <v>1519</v>
      </c>
      <c r="D1339" s="299">
        <v>1</v>
      </c>
      <c r="E1339" s="300">
        <v>3</v>
      </c>
      <c r="F1339" s="300">
        <f>E1339*D1339</f>
        <v>3</v>
      </c>
      <c r="G1339" s="299">
        <v>5.65</v>
      </c>
      <c r="H1339" s="310" t="str">
        <f t="shared" si="1421"/>
        <v/>
      </c>
      <c r="I1339" s="311" t="str">
        <f t="shared" si="1422"/>
        <v/>
      </c>
      <c r="J1339" s="311">
        <f t="shared" si="1423"/>
        <v>16.95</v>
      </c>
      <c r="K1339" s="311" t="str">
        <f t="shared" si="1424"/>
        <v/>
      </c>
      <c r="L1339" s="310" t="str">
        <f t="shared" si="1425"/>
        <v/>
      </c>
      <c r="M1339" s="310" t="str">
        <f t="shared" si="1426"/>
        <v/>
      </c>
      <c r="N1339" s="311" t="str">
        <f t="shared" si="1427"/>
        <v/>
      </c>
    </row>
    <row r="1340" spans="1:14" s="294" customFormat="1">
      <c r="A1340" s="297" t="s">
        <v>1494</v>
      </c>
      <c r="B1340" s="301"/>
      <c r="C1340" s="299" t="s">
        <v>1496</v>
      </c>
      <c r="D1340" s="299">
        <v>1</v>
      </c>
      <c r="E1340" s="300">
        <f>17+15+17</f>
        <v>49</v>
      </c>
      <c r="F1340" s="300">
        <f t="shared" ref="F1340:F1341" si="1428">E1340*D1340</f>
        <v>49</v>
      </c>
      <c r="G1340" s="302">
        <f>(0.2+0.45)*2+17*0.008*2</f>
        <v>1.57</v>
      </c>
      <c r="H1340" s="310" t="str">
        <f t="shared" si="1421"/>
        <v/>
      </c>
      <c r="I1340" s="311">
        <f t="shared" si="1422"/>
        <v>76.930000000000007</v>
      </c>
      <c r="J1340" s="311" t="str">
        <f t="shared" si="1423"/>
        <v/>
      </c>
      <c r="K1340" s="311" t="str">
        <f t="shared" si="1424"/>
        <v/>
      </c>
      <c r="L1340" s="310" t="str">
        <f t="shared" si="1425"/>
        <v/>
      </c>
      <c r="M1340" s="310" t="str">
        <f t="shared" si="1426"/>
        <v/>
      </c>
      <c r="N1340" s="311" t="str">
        <f t="shared" si="1427"/>
        <v/>
      </c>
    </row>
    <row r="1341" spans="1:14" s="294" customFormat="1">
      <c r="A1341" s="297" t="s">
        <v>1517</v>
      </c>
      <c r="B1341" s="301"/>
      <c r="C1341" s="299" t="s">
        <v>1496</v>
      </c>
      <c r="D1341" s="299">
        <v>1</v>
      </c>
      <c r="E1341" s="300">
        <f>17+15+17</f>
        <v>49</v>
      </c>
      <c r="F1341" s="300">
        <f t="shared" si="1428"/>
        <v>49</v>
      </c>
      <c r="G1341" s="302">
        <f>(0.45*2)+17*0.008*2</f>
        <v>1.17</v>
      </c>
      <c r="H1341" s="310" t="str">
        <f t="shared" si="1421"/>
        <v/>
      </c>
      <c r="I1341" s="311">
        <f t="shared" si="1422"/>
        <v>57.33</v>
      </c>
      <c r="J1341" s="311" t="str">
        <f t="shared" si="1423"/>
        <v/>
      </c>
      <c r="K1341" s="311" t="str">
        <f t="shared" si="1424"/>
        <v/>
      </c>
      <c r="L1341" s="310" t="str">
        <f t="shared" si="1425"/>
        <v/>
      </c>
      <c r="M1341" s="310" t="str">
        <f t="shared" si="1426"/>
        <v/>
      </c>
      <c r="N1341" s="311" t="str">
        <f t="shared" si="1427"/>
        <v/>
      </c>
    </row>
    <row r="1342" spans="1:14">
      <c r="A1342" s="297" t="s">
        <v>1518</v>
      </c>
      <c r="B1342" s="254"/>
      <c r="C1342" s="299" t="s">
        <v>1492</v>
      </c>
      <c r="D1342" s="299">
        <v>1</v>
      </c>
      <c r="E1342" s="300">
        <v>3</v>
      </c>
      <c r="F1342" s="300">
        <f>E1342*D1342</f>
        <v>3</v>
      </c>
      <c r="G1342" s="302">
        <v>2</v>
      </c>
      <c r="H1342" s="310" t="str">
        <f t="shared" si="1421"/>
        <v/>
      </c>
      <c r="I1342" s="311" t="str">
        <f t="shared" si="1422"/>
        <v/>
      </c>
      <c r="J1342" s="311" t="str">
        <f t="shared" si="1423"/>
        <v/>
      </c>
      <c r="K1342" s="311" t="str">
        <f t="shared" si="1424"/>
        <v/>
      </c>
      <c r="L1342" s="310">
        <f t="shared" si="1425"/>
        <v>6</v>
      </c>
      <c r="M1342" s="310" t="str">
        <f t="shared" si="1426"/>
        <v/>
      </c>
      <c r="N1342" s="311" t="str">
        <f t="shared" si="1427"/>
        <v/>
      </c>
    </row>
    <row r="1343" spans="1:14">
      <c r="A1343" s="297" t="s">
        <v>1520</v>
      </c>
      <c r="B1343" s="254"/>
      <c r="C1343" s="299" t="s">
        <v>1492</v>
      </c>
      <c r="D1343" s="299">
        <v>1</v>
      </c>
      <c r="E1343" s="300">
        <v>3</v>
      </c>
      <c r="F1343" s="300">
        <f>E1343*D1343</f>
        <v>3</v>
      </c>
      <c r="G1343" s="302">
        <v>3.2</v>
      </c>
      <c r="H1343" s="310" t="str">
        <f t="shared" si="1421"/>
        <v/>
      </c>
      <c r="I1343" s="311" t="str">
        <f t="shared" si="1422"/>
        <v/>
      </c>
      <c r="J1343" s="311" t="str">
        <f t="shared" si="1423"/>
        <v/>
      </c>
      <c r="K1343" s="311" t="str">
        <f t="shared" si="1424"/>
        <v/>
      </c>
      <c r="L1343" s="310">
        <f t="shared" si="1425"/>
        <v>9.6</v>
      </c>
      <c r="M1343" s="310" t="str">
        <f t="shared" si="1426"/>
        <v/>
      </c>
      <c r="N1343" s="311" t="str">
        <f t="shared" si="1427"/>
        <v/>
      </c>
    </row>
    <row r="1344" spans="1:14">
      <c r="A1344" s="297" t="s">
        <v>1520</v>
      </c>
      <c r="B1344" s="254"/>
      <c r="C1344" s="299" t="s">
        <v>1492</v>
      </c>
      <c r="D1344" s="299">
        <v>1</v>
      </c>
      <c r="E1344" s="300">
        <v>3</v>
      </c>
      <c r="F1344" s="300">
        <f>E1344*D1344</f>
        <v>3</v>
      </c>
      <c r="G1344" s="302">
        <v>5.15</v>
      </c>
      <c r="H1344" s="310" t="str">
        <f t="shared" si="1421"/>
        <v/>
      </c>
      <c r="I1344" s="311" t="str">
        <f t="shared" si="1422"/>
        <v/>
      </c>
      <c r="J1344" s="311" t="str">
        <f t="shared" si="1423"/>
        <v/>
      </c>
      <c r="K1344" s="311" t="str">
        <f t="shared" si="1424"/>
        <v/>
      </c>
      <c r="L1344" s="310">
        <f t="shared" si="1425"/>
        <v>15.45</v>
      </c>
      <c r="M1344" s="310" t="str">
        <f t="shared" si="1426"/>
        <v/>
      </c>
      <c r="N1344" s="311" t="str">
        <f t="shared" si="1427"/>
        <v/>
      </c>
    </row>
    <row r="1345" spans="1:14" ht="16.5">
      <c r="A1345" s="305"/>
      <c r="B1345" s="254"/>
      <c r="C1345" s="299"/>
      <c r="D1345" s="299"/>
      <c r="E1345" s="300"/>
      <c r="F1345" s="300"/>
      <c r="G1345" s="302"/>
      <c r="H1345" s="310"/>
      <c r="I1345" s="311"/>
      <c r="J1345" s="311"/>
      <c r="K1345" s="311"/>
      <c r="L1345" s="310"/>
      <c r="M1345" s="310"/>
      <c r="N1345" s="311"/>
    </row>
    <row r="1346" spans="1:14" ht="16.5">
      <c r="A1346" s="303" t="s">
        <v>1562</v>
      </c>
      <c r="B1346" s="254"/>
      <c r="C1346" s="299"/>
      <c r="D1346" s="299"/>
      <c r="E1346" s="300"/>
      <c r="F1346" s="300"/>
      <c r="G1346" s="302"/>
      <c r="H1346" s="310"/>
      <c r="I1346" s="311"/>
      <c r="J1346" s="311"/>
      <c r="K1346" s="311"/>
      <c r="L1346" s="310"/>
      <c r="M1346" s="310"/>
      <c r="N1346" s="311"/>
    </row>
    <row r="1347" spans="1:14" s="294" customFormat="1">
      <c r="A1347" s="297" t="s">
        <v>1515</v>
      </c>
      <c r="B1347" s="298"/>
      <c r="C1347" s="299" t="s">
        <v>1519</v>
      </c>
      <c r="D1347" s="299">
        <v>1</v>
      </c>
      <c r="E1347" s="300">
        <v>3</v>
      </c>
      <c r="F1347" s="300">
        <f>E1347*D1347</f>
        <v>3</v>
      </c>
      <c r="G1347" s="299">
        <f>(6.2)+17*0.01*2</f>
        <v>6.54</v>
      </c>
      <c r="H1347" s="310" t="str">
        <f t="shared" ref="H1347:H1354" si="1429">IF(C1347="T6",G1347*F1347,"")</f>
        <v/>
      </c>
      <c r="I1347" s="311" t="str">
        <f t="shared" ref="I1347:I1354" si="1430">IF(C1347="T8",F1347*G1347,"")</f>
        <v/>
      </c>
      <c r="J1347" s="311">
        <f t="shared" ref="J1347:J1354" si="1431">IF(C1347="T10",F1347*G1347,"")</f>
        <v>19.62</v>
      </c>
      <c r="K1347" s="311" t="str">
        <f t="shared" ref="K1347:K1354" si="1432">IF(C1347="T12",F1347*G1347,"")</f>
        <v/>
      </c>
      <c r="L1347" s="310" t="str">
        <f t="shared" ref="L1347:L1354" si="1433">IF(C1347="T14",F1347*G1347,"")</f>
        <v/>
      </c>
      <c r="M1347" s="310" t="str">
        <f t="shared" ref="M1347:M1354" si="1434">IF(C1347="T16",G1347*F1347,"")</f>
        <v/>
      </c>
      <c r="N1347" s="311" t="str">
        <f t="shared" ref="N1347:N1354" si="1435">IF(C1347="T20",G1347*F1347,"")</f>
        <v/>
      </c>
    </row>
    <row r="1348" spans="1:14" s="294" customFormat="1">
      <c r="A1348" s="297" t="s">
        <v>1515</v>
      </c>
      <c r="B1348" s="298"/>
      <c r="C1348" s="299" t="s">
        <v>1492</v>
      </c>
      <c r="D1348" s="299">
        <v>1</v>
      </c>
      <c r="E1348" s="300">
        <v>3</v>
      </c>
      <c r="F1348" s="300">
        <f>E1348*D1348</f>
        <v>3</v>
      </c>
      <c r="G1348" s="302">
        <f>(6.2)+17*0.014*2</f>
        <v>6.68</v>
      </c>
      <c r="H1348" s="310" t="str">
        <f t="shared" si="1429"/>
        <v/>
      </c>
      <c r="I1348" s="311" t="str">
        <f t="shared" si="1430"/>
        <v/>
      </c>
      <c r="J1348" s="311" t="str">
        <f t="shared" si="1431"/>
        <v/>
      </c>
      <c r="K1348" s="311" t="str">
        <f t="shared" si="1432"/>
        <v/>
      </c>
      <c r="L1348" s="310">
        <f t="shared" si="1433"/>
        <v>20.04</v>
      </c>
      <c r="M1348" s="310" t="str">
        <f t="shared" si="1434"/>
        <v/>
      </c>
      <c r="N1348" s="311" t="str">
        <f t="shared" si="1435"/>
        <v/>
      </c>
    </row>
    <row r="1349" spans="1:14" s="294" customFormat="1">
      <c r="A1349" s="297"/>
      <c r="B1349" s="298"/>
      <c r="C1349" s="299" t="s">
        <v>1516</v>
      </c>
      <c r="D1349" s="299">
        <v>1</v>
      </c>
      <c r="E1349" s="300">
        <v>3</v>
      </c>
      <c r="F1349" s="300">
        <f>E1349*D1349</f>
        <v>3</v>
      </c>
      <c r="G1349" s="299">
        <v>6.2</v>
      </c>
      <c r="H1349" s="310" t="str">
        <f t="shared" si="1429"/>
        <v/>
      </c>
      <c r="I1349" s="311" t="str">
        <f t="shared" si="1430"/>
        <v/>
      </c>
      <c r="J1349" s="311" t="str">
        <f t="shared" si="1431"/>
        <v/>
      </c>
      <c r="K1349" s="311">
        <f t="shared" si="1432"/>
        <v>18.600000000000001</v>
      </c>
      <c r="L1349" s="310" t="str">
        <f t="shared" si="1433"/>
        <v/>
      </c>
      <c r="M1349" s="310" t="str">
        <f t="shared" si="1434"/>
        <v/>
      </c>
      <c r="N1349" s="311" t="str">
        <f t="shared" si="1435"/>
        <v/>
      </c>
    </row>
    <row r="1350" spans="1:14" s="294" customFormat="1">
      <c r="A1350" s="297" t="s">
        <v>1494</v>
      </c>
      <c r="B1350" s="301"/>
      <c r="C1350" s="299" t="s">
        <v>1496</v>
      </c>
      <c r="D1350" s="299">
        <v>1</v>
      </c>
      <c r="E1350" s="300">
        <f>18+20+18</f>
        <v>56</v>
      </c>
      <c r="F1350" s="300">
        <f t="shared" ref="F1350:F1351" si="1436">E1350*D1350</f>
        <v>56</v>
      </c>
      <c r="G1350" s="302">
        <f>(0.2+0.45)*2+17*0.008*2</f>
        <v>1.57</v>
      </c>
      <c r="H1350" s="310" t="str">
        <f t="shared" si="1429"/>
        <v/>
      </c>
      <c r="I1350" s="311">
        <f t="shared" si="1430"/>
        <v>87.92</v>
      </c>
      <c r="J1350" s="311" t="str">
        <f t="shared" si="1431"/>
        <v/>
      </c>
      <c r="K1350" s="311" t="str">
        <f t="shared" si="1432"/>
        <v/>
      </c>
      <c r="L1350" s="310" t="str">
        <f t="shared" si="1433"/>
        <v/>
      </c>
      <c r="M1350" s="310" t="str">
        <f t="shared" si="1434"/>
        <v/>
      </c>
      <c r="N1350" s="311" t="str">
        <f t="shared" si="1435"/>
        <v/>
      </c>
    </row>
    <row r="1351" spans="1:14" s="294" customFormat="1">
      <c r="A1351" s="297" t="s">
        <v>1517</v>
      </c>
      <c r="B1351" s="301"/>
      <c r="C1351" s="299" t="s">
        <v>1496</v>
      </c>
      <c r="D1351" s="299">
        <v>1</v>
      </c>
      <c r="E1351" s="300">
        <f>18+20+18</f>
        <v>56</v>
      </c>
      <c r="F1351" s="300">
        <f t="shared" si="1436"/>
        <v>56</v>
      </c>
      <c r="G1351" s="302">
        <f>(0.45*2)+17*0.008*2</f>
        <v>1.17</v>
      </c>
      <c r="H1351" s="310" t="str">
        <f t="shared" si="1429"/>
        <v/>
      </c>
      <c r="I1351" s="311">
        <f t="shared" si="1430"/>
        <v>65.52</v>
      </c>
      <c r="J1351" s="311" t="str">
        <f t="shared" si="1431"/>
        <v/>
      </c>
      <c r="K1351" s="311" t="str">
        <f t="shared" si="1432"/>
        <v/>
      </c>
      <c r="L1351" s="310" t="str">
        <f t="shared" si="1433"/>
        <v/>
      </c>
      <c r="M1351" s="310" t="str">
        <f t="shared" si="1434"/>
        <v/>
      </c>
      <c r="N1351" s="311" t="str">
        <f t="shared" si="1435"/>
        <v/>
      </c>
    </row>
    <row r="1352" spans="1:14">
      <c r="A1352" s="297" t="s">
        <v>1518</v>
      </c>
      <c r="B1352" s="254"/>
      <c r="C1352" s="299" t="s">
        <v>1492</v>
      </c>
      <c r="D1352" s="299">
        <v>1</v>
      </c>
      <c r="E1352" s="300">
        <v>6</v>
      </c>
      <c r="F1352" s="300">
        <f>E1352*D1352</f>
        <v>6</v>
      </c>
      <c r="G1352" s="302">
        <v>2.6</v>
      </c>
      <c r="H1352" s="310" t="str">
        <f t="shared" si="1429"/>
        <v/>
      </c>
      <c r="I1352" s="311" t="str">
        <f t="shared" si="1430"/>
        <v/>
      </c>
      <c r="J1352" s="311" t="str">
        <f t="shared" si="1431"/>
        <v/>
      </c>
      <c r="K1352" s="311" t="str">
        <f t="shared" si="1432"/>
        <v/>
      </c>
      <c r="L1352" s="310">
        <f t="shared" si="1433"/>
        <v>15.6</v>
      </c>
      <c r="M1352" s="310" t="str">
        <f t="shared" si="1434"/>
        <v/>
      </c>
      <c r="N1352" s="311" t="str">
        <f t="shared" si="1435"/>
        <v/>
      </c>
    </row>
    <row r="1353" spans="1:14">
      <c r="A1353" s="297" t="s">
        <v>1520</v>
      </c>
      <c r="B1353" s="254"/>
      <c r="C1353" s="299" t="s">
        <v>1492</v>
      </c>
      <c r="D1353" s="299">
        <v>1</v>
      </c>
      <c r="E1353" s="300">
        <v>6</v>
      </c>
      <c r="F1353" s="300">
        <f>E1353*D1353</f>
        <v>6</v>
      </c>
      <c r="G1353" s="302">
        <v>3.5</v>
      </c>
      <c r="H1353" s="310" t="str">
        <f t="shared" si="1429"/>
        <v/>
      </c>
      <c r="I1353" s="311" t="str">
        <f t="shared" si="1430"/>
        <v/>
      </c>
      <c r="J1353" s="311" t="str">
        <f t="shared" si="1431"/>
        <v/>
      </c>
      <c r="K1353" s="311" t="str">
        <f t="shared" si="1432"/>
        <v/>
      </c>
      <c r="L1353" s="310">
        <f t="shared" si="1433"/>
        <v>21</v>
      </c>
      <c r="M1353" s="310" t="str">
        <f t="shared" si="1434"/>
        <v/>
      </c>
      <c r="N1353" s="311" t="str">
        <f t="shared" si="1435"/>
        <v/>
      </c>
    </row>
    <row r="1354" spans="1:14">
      <c r="A1354" s="297" t="s">
        <v>1520</v>
      </c>
      <c r="B1354" s="254"/>
      <c r="C1354" s="299" t="s">
        <v>1492</v>
      </c>
      <c r="D1354" s="299">
        <v>1</v>
      </c>
      <c r="E1354" s="300">
        <v>3</v>
      </c>
      <c r="F1354" s="300">
        <f>E1354*D1354</f>
        <v>3</v>
      </c>
      <c r="G1354" s="302">
        <v>5.8</v>
      </c>
      <c r="H1354" s="310" t="str">
        <f t="shared" si="1429"/>
        <v/>
      </c>
      <c r="I1354" s="311" t="str">
        <f t="shared" si="1430"/>
        <v/>
      </c>
      <c r="J1354" s="311" t="str">
        <f t="shared" si="1431"/>
        <v/>
      </c>
      <c r="K1354" s="311" t="str">
        <f t="shared" si="1432"/>
        <v/>
      </c>
      <c r="L1354" s="310">
        <f t="shared" si="1433"/>
        <v>17.399999999999999</v>
      </c>
      <c r="M1354" s="310" t="str">
        <f t="shared" si="1434"/>
        <v/>
      </c>
      <c r="N1354" s="311" t="str">
        <f t="shared" si="1435"/>
        <v/>
      </c>
    </row>
    <row r="1355" spans="1:14" ht="16.5">
      <c r="A1355" s="305"/>
      <c r="B1355" s="254"/>
      <c r="C1355" s="299"/>
      <c r="D1355" s="299"/>
      <c r="E1355" s="300"/>
      <c r="F1355" s="300"/>
      <c r="G1355" s="302"/>
      <c r="H1355" s="310"/>
      <c r="I1355" s="311"/>
      <c r="J1355" s="311"/>
      <c r="K1355" s="311"/>
      <c r="L1355" s="310"/>
      <c r="M1355" s="310"/>
      <c r="N1355" s="311"/>
    </row>
    <row r="1356" spans="1:14" ht="16.5">
      <c r="A1356" s="303" t="s">
        <v>1561</v>
      </c>
      <c r="B1356" s="254"/>
      <c r="C1356" s="299"/>
      <c r="D1356" s="299"/>
      <c r="E1356" s="300"/>
      <c r="F1356" s="300"/>
      <c r="G1356" s="302"/>
      <c r="H1356" s="310"/>
      <c r="I1356" s="311"/>
      <c r="J1356" s="311"/>
      <c r="K1356" s="311"/>
      <c r="L1356" s="310"/>
      <c r="M1356" s="310"/>
      <c r="N1356" s="311"/>
    </row>
    <row r="1357" spans="1:14" s="294" customFormat="1">
      <c r="A1357" s="297" t="s">
        <v>1515</v>
      </c>
      <c r="B1357" s="298"/>
      <c r="C1357" s="299" t="s">
        <v>1519</v>
      </c>
      <c r="D1357" s="299">
        <v>1</v>
      </c>
      <c r="E1357" s="300">
        <v>3</v>
      </c>
      <c r="F1357" s="300">
        <f>E1357*D1357</f>
        <v>3</v>
      </c>
      <c r="G1357" s="299">
        <f>(1.86)+17*0.01*2</f>
        <v>2.2000000000000002</v>
      </c>
      <c r="H1357" s="310" t="str">
        <f t="shared" ref="H1357:H1361" si="1437">IF(C1357="T6",G1357*F1357,"")</f>
        <v/>
      </c>
      <c r="I1357" s="311" t="str">
        <f t="shared" ref="I1357:I1361" si="1438">IF(C1357="T8",F1357*G1357,"")</f>
        <v/>
      </c>
      <c r="J1357" s="311">
        <f t="shared" ref="J1357:J1361" si="1439">IF(C1357="T10",F1357*G1357,"")</f>
        <v>6.6</v>
      </c>
      <c r="K1357" s="311" t="str">
        <f t="shared" ref="K1357:K1361" si="1440">IF(C1357="T12",F1357*G1357,"")</f>
        <v/>
      </c>
      <c r="L1357" s="310" t="str">
        <f t="shared" ref="L1357:L1361" si="1441">IF(C1357="T14",F1357*G1357,"")</f>
        <v/>
      </c>
      <c r="M1357" s="310" t="str">
        <f t="shared" ref="M1357:M1361" si="1442">IF(C1357="T16",G1357*F1357,"")</f>
        <v/>
      </c>
      <c r="N1357" s="311" t="str">
        <f t="shared" ref="N1357:N1361" si="1443">IF(C1357="T20",G1357*F1357,"")</f>
        <v/>
      </c>
    </row>
    <row r="1358" spans="1:14" s="294" customFormat="1">
      <c r="A1358" s="297" t="s">
        <v>1515</v>
      </c>
      <c r="B1358" s="298"/>
      <c r="C1358" s="299" t="s">
        <v>1516</v>
      </c>
      <c r="D1358" s="299">
        <v>1</v>
      </c>
      <c r="E1358" s="300">
        <v>3</v>
      </c>
      <c r="F1358" s="300">
        <f>E1358*D1358</f>
        <v>3</v>
      </c>
      <c r="G1358" s="302">
        <f>(1.86)+17*0.012*2</f>
        <v>2.27</v>
      </c>
      <c r="H1358" s="310" t="str">
        <f t="shared" si="1437"/>
        <v/>
      </c>
      <c r="I1358" s="311" t="str">
        <f t="shared" si="1438"/>
        <v/>
      </c>
      <c r="J1358" s="311" t="str">
        <f t="shared" si="1439"/>
        <v/>
      </c>
      <c r="K1358" s="311">
        <f t="shared" si="1440"/>
        <v>6.81</v>
      </c>
      <c r="L1358" s="310" t="str">
        <f t="shared" si="1441"/>
        <v/>
      </c>
      <c r="M1358" s="310" t="str">
        <f t="shared" si="1442"/>
        <v/>
      </c>
      <c r="N1358" s="311" t="str">
        <f t="shared" si="1443"/>
        <v/>
      </c>
    </row>
    <row r="1359" spans="1:14" s="294" customFormat="1">
      <c r="A1359" s="297" t="s">
        <v>1494</v>
      </c>
      <c r="B1359" s="301"/>
      <c r="C1359" s="299" t="s">
        <v>1496</v>
      </c>
      <c r="D1359" s="299">
        <v>1</v>
      </c>
      <c r="E1359" s="300">
        <f>6+7+6</f>
        <v>19</v>
      </c>
      <c r="F1359" s="300">
        <f t="shared" ref="F1359:F1360" si="1444">E1359*D1359</f>
        <v>19</v>
      </c>
      <c r="G1359" s="302">
        <f>(0.2+0.25)*2+17*0.008*2</f>
        <v>1.17</v>
      </c>
      <c r="H1359" s="310" t="str">
        <f t="shared" si="1437"/>
        <v/>
      </c>
      <c r="I1359" s="311">
        <f t="shared" si="1438"/>
        <v>22.23</v>
      </c>
      <c r="J1359" s="311" t="str">
        <f t="shared" si="1439"/>
        <v/>
      </c>
      <c r="K1359" s="311" t="str">
        <f t="shared" si="1440"/>
        <v/>
      </c>
      <c r="L1359" s="310" t="str">
        <f t="shared" si="1441"/>
        <v/>
      </c>
      <c r="M1359" s="310" t="str">
        <f t="shared" si="1442"/>
        <v/>
      </c>
      <c r="N1359" s="311" t="str">
        <f t="shared" si="1443"/>
        <v/>
      </c>
    </row>
    <row r="1360" spans="1:14" s="294" customFormat="1">
      <c r="A1360" s="297" t="s">
        <v>1517</v>
      </c>
      <c r="B1360" s="301"/>
      <c r="C1360" s="299" t="s">
        <v>1496</v>
      </c>
      <c r="D1360" s="299">
        <v>1</v>
      </c>
      <c r="E1360" s="300">
        <v>19</v>
      </c>
      <c r="F1360" s="300">
        <f t="shared" si="1444"/>
        <v>19</v>
      </c>
      <c r="G1360" s="302">
        <f>(0.25*2)+17*0.008*2</f>
        <v>0.77</v>
      </c>
      <c r="H1360" s="310" t="str">
        <f t="shared" si="1437"/>
        <v/>
      </c>
      <c r="I1360" s="311">
        <f t="shared" si="1438"/>
        <v>14.63</v>
      </c>
      <c r="J1360" s="311" t="str">
        <f t="shared" si="1439"/>
        <v/>
      </c>
      <c r="K1360" s="311" t="str">
        <f t="shared" si="1440"/>
        <v/>
      </c>
      <c r="L1360" s="310" t="str">
        <f t="shared" si="1441"/>
        <v/>
      </c>
      <c r="M1360" s="310" t="str">
        <f t="shared" si="1442"/>
        <v/>
      </c>
      <c r="N1360" s="311" t="str">
        <f t="shared" si="1443"/>
        <v/>
      </c>
    </row>
    <row r="1361" spans="1:14">
      <c r="A1361" s="297" t="s">
        <v>1520</v>
      </c>
      <c r="B1361" s="254"/>
      <c r="C1361" s="299" t="s">
        <v>1492</v>
      </c>
      <c r="D1361" s="299">
        <v>1</v>
      </c>
      <c r="E1361" s="300">
        <v>6</v>
      </c>
      <c r="F1361" s="300">
        <f>E1361*D1361</f>
        <v>6</v>
      </c>
      <c r="G1361" s="302">
        <v>2.4</v>
      </c>
      <c r="H1361" s="310" t="str">
        <f t="shared" si="1437"/>
        <v/>
      </c>
      <c r="I1361" s="311" t="str">
        <f t="shared" si="1438"/>
        <v/>
      </c>
      <c r="J1361" s="311" t="str">
        <f t="shared" si="1439"/>
        <v/>
      </c>
      <c r="K1361" s="311" t="str">
        <f t="shared" si="1440"/>
        <v/>
      </c>
      <c r="L1361" s="310">
        <f t="shared" si="1441"/>
        <v>14.4</v>
      </c>
      <c r="M1361" s="310" t="str">
        <f t="shared" si="1442"/>
        <v/>
      </c>
      <c r="N1361" s="311" t="str">
        <f t="shared" si="1443"/>
        <v/>
      </c>
    </row>
    <row r="1362" spans="1:14" ht="16.5">
      <c r="A1362" s="305"/>
      <c r="B1362" s="254"/>
      <c r="C1362" s="299"/>
      <c r="D1362" s="299"/>
      <c r="E1362" s="300"/>
      <c r="F1362" s="300"/>
      <c r="G1362" s="302"/>
      <c r="H1362" s="310"/>
      <c r="I1362" s="311"/>
      <c r="J1362" s="311"/>
      <c r="K1362" s="311"/>
      <c r="L1362" s="310"/>
      <c r="M1362" s="310"/>
      <c r="N1362" s="311"/>
    </row>
    <row r="1363" spans="1:14" ht="16.5">
      <c r="A1363" s="303" t="s">
        <v>1560</v>
      </c>
      <c r="B1363" s="254"/>
      <c r="C1363" s="299"/>
      <c r="D1363" s="299"/>
      <c r="E1363" s="300"/>
      <c r="F1363" s="300"/>
      <c r="G1363" s="302"/>
      <c r="H1363" s="310"/>
      <c r="I1363" s="311"/>
      <c r="J1363" s="311"/>
      <c r="K1363" s="311"/>
      <c r="L1363" s="310"/>
      <c r="M1363" s="310"/>
      <c r="N1363" s="311"/>
    </row>
    <row r="1364" spans="1:14" s="294" customFormat="1">
      <c r="A1364" s="297" t="s">
        <v>1515</v>
      </c>
      <c r="B1364" s="298"/>
      <c r="C1364" s="299" t="s">
        <v>1519</v>
      </c>
      <c r="D1364" s="299">
        <v>1</v>
      </c>
      <c r="E1364" s="300">
        <v>3</v>
      </c>
      <c r="F1364" s="300">
        <f>E1364*D1364</f>
        <v>3</v>
      </c>
      <c r="G1364" s="299">
        <f>(5.65)+17*0.01*2</f>
        <v>5.99</v>
      </c>
      <c r="H1364" s="310" t="str">
        <f t="shared" ref="H1364:H1371" si="1445">IF(C1364="T6",G1364*F1364,"")</f>
        <v/>
      </c>
      <c r="I1364" s="311" t="str">
        <f t="shared" ref="I1364:I1371" si="1446">IF(C1364="T8",F1364*G1364,"")</f>
        <v/>
      </c>
      <c r="J1364" s="311">
        <f t="shared" ref="J1364:J1371" si="1447">IF(C1364="T10",F1364*G1364,"")</f>
        <v>17.97</v>
      </c>
      <c r="K1364" s="311" t="str">
        <f t="shared" ref="K1364:K1371" si="1448">IF(C1364="T12",F1364*G1364,"")</f>
        <v/>
      </c>
      <c r="L1364" s="310" t="str">
        <f t="shared" ref="L1364:L1371" si="1449">IF(C1364="T14",F1364*G1364,"")</f>
        <v/>
      </c>
      <c r="M1364" s="310" t="str">
        <f t="shared" ref="M1364:M1371" si="1450">IF(C1364="T16",G1364*F1364,"")</f>
        <v/>
      </c>
      <c r="N1364" s="311" t="str">
        <f t="shared" ref="N1364:N1371" si="1451">IF(C1364="T20",G1364*F1364,"")</f>
        <v/>
      </c>
    </row>
    <row r="1365" spans="1:14" s="294" customFormat="1">
      <c r="A1365" s="297" t="s">
        <v>1515</v>
      </c>
      <c r="B1365" s="298"/>
      <c r="C1365" s="299" t="s">
        <v>1492</v>
      </c>
      <c r="D1365" s="299">
        <v>1</v>
      </c>
      <c r="E1365" s="300">
        <v>3</v>
      </c>
      <c r="F1365" s="300">
        <f>E1365*D1365</f>
        <v>3</v>
      </c>
      <c r="G1365" s="302">
        <f>(5.65)+17*0.014*2</f>
        <v>6.13</v>
      </c>
      <c r="H1365" s="310" t="str">
        <f t="shared" si="1445"/>
        <v/>
      </c>
      <c r="I1365" s="311" t="str">
        <f t="shared" si="1446"/>
        <v/>
      </c>
      <c r="J1365" s="311" t="str">
        <f t="shared" si="1447"/>
        <v/>
      </c>
      <c r="K1365" s="311" t="str">
        <f t="shared" si="1448"/>
        <v/>
      </c>
      <c r="L1365" s="310">
        <f t="shared" si="1449"/>
        <v>18.39</v>
      </c>
      <c r="M1365" s="310" t="str">
        <f t="shared" si="1450"/>
        <v/>
      </c>
      <c r="N1365" s="311" t="str">
        <f t="shared" si="1451"/>
        <v/>
      </c>
    </row>
    <row r="1366" spans="1:14" s="294" customFormat="1">
      <c r="A1366" s="297"/>
      <c r="B1366" s="298"/>
      <c r="C1366" s="299" t="s">
        <v>1519</v>
      </c>
      <c r="D1366" s="299">
        <v>1</v>
      </c>
      <c r="E1366" s="300">
        <v>3</v>
      </c>
      <c r="F1366" s="300">
        <f>E1366*D1366</f>
        <v>3</v>
      </c>
      <c r="G1366" s="299">
        <v>5.65</v>
      </c>
      <c r="H1366" s="310" t="str">
        <f t="shared" si="1445"/>
        <v/>
      </c>
      <c r="I1366" s="311" t="str">
        <f t="shared" si="1446"/>
        <v/>
      </c>
      <c r="J1366" s="311">
        <f t="shared" si="1447"/>
        <v>16.95</v>
      </c>
      <c r="K1366" s="311" t="str">
        <f t="shared" si="1448"/>
        <v/>
      </c>
      <c r="L1366" s="310" t="str">
        <f t="shared" si="1449"/>
        <v/>
      </c>
      <c r="M1366" s="310" t="str">
        <f t="shared" si="1450"/>
        <v/>
      </c>
      <c r="N1366" s="311" t="str">
        <f t="shared" si="1451"/>
        <v/>
      </c>
    </row>
    <row r="1367" spans="1:14" s="294" customFormat="1">
      <c r="A1367" s="297" t="s">
        <v>1494</v>
      </c>
      <c r="B1367" s="301"/>
      <c r="C1367" s="299" t="s">
        <v>1496</v>
      </c>
      <c r="D1367" s="299">
        <v>1</v>
      </c>
      <c r="E1367" s="300">
        <f>17+15+17</f>
        <v>49</v>
      </c>
      <c r="F1367" s="300">
        <f t="shared" ref="F1367:F1368" si="1452">E1367*D1367</f>
        <v>49</v>
      </c>
      <c r="G1367" s="302">
        <f>(0.2+0.45)*2+17*0.008*2</f>
        <v>1.57</v>
      </c>
      <c r="H1367" s="310" t="str">
        <f t="shared" si="1445"/>
        <v/>
      </c>
      <c r="I1367" s="311">
        <f t="shared" si="1446"/>
        <v>76.930000000000007</v>
      </c>
      <c r="J1367" s="311" t="str">
        <f t="shared" si="1447"/>
        <v/>
      </c>
      <c r="K1367" s="311" t="str">
        <f t="shared" si="1448"/>
        <v/>
      </c>
      <c r="L1367" s="310" t="str">
        <f t="shared" si="1449"/>
        <v/>
      </c>
      <c r="M1367" s="310" t="str">
        <f t="shared" si="1450"/>
        <v/>
      </c>
      <c r="N1367" s="311" t="str">
        <f t="shared" si="1451"/>
        <v/>
      </c>
    </row>
    <row r="1368" spans="1:14" s="294" customFormat="1">
      <c r="A1368" s="297" t="s">
        <v>1517</v>
      </c>
      <c r="B1368" s="301"/>
      <c r="C1368" s="299" t="s">
        <v>1496</v>
      </c>
      <c r="D1368" s="299">
        <v>1</v>
      </c>
      <c r="E1368" s="300">
        <f>17+15+17</f>
        <v>49</v>
      </c>
      <c r="F1368" s="300">
        <f t="shared" si="1452"/>
        <v>49</v>
      </c>
      <c r="G1368" s="302">
        <f>(0.45*2)+17*0.008*2</f>
        <v>1.17</v>
      </c>
      <c r="H1368" s="310" t="str">
        <f t="shared" si="1445"/>
        <v/>
      </c>
      <c r="I1368" s="311">
        <f t="shared" si="1446"/>
        <v>57.33</v>
      </c>
      <c r="J1368" s="311" t="str">
        <f t="shared" si="1447"/>
        <v/>
      </c>
      <c r="K1368" s="311" t="str">
        <f t="shared" si="1448"/>
        <v/>
      </c>
      <c r="L1368" s="310" t="str">
        <f t="shared" si="1449"/>
        <v/>
      </c>
      <c r="M1368" s="310" t="str">
        <f t="shared" si="1450"/>
        <v/>
      </c>
      <c r="N1368" s="311" t="str">
        <f t="shared" si="1451"/>
        <v/>
      </c>
    </row>
    <row r="1369" spans="1:14">
      <c r="A1369" s="297" t="s">
        <v>1518</v>
      </c>
      <c r="B1369" s="254"/>
      <c r="C1369" s="299" t="s">
        <v>1492</v>
      </c>
      <c r="D1369" s="299">
        <v>1</v>
      </c>
      <c r="E1369" s="300">
        <v>3</v>
      </c>
      <c r="F1369" s="300">
        <f>E1369*D1369</f>
        <v>3</v>
      </c>
      <c r="G1369" s="302">
        <v>2</v>
      </c>
      <c r="H1369" s="310" t="str">
        <f t="shared" si="1445"/>
        <v/>
      </c>
      <c r="I1369" s="311" t="str">
        <f t="shared" si="1446"/>
        <v/>
      </c>
      <c r="J1369" s="311" t="str">
        <f t="shared" si="1447"/>
        <v/>
      </c>
      <c r="K1369" s="311" t="str">
        <f t="shared" si="1448"/>
        <v/>
      </c>
      <c r="L1369" s="310">
        <f t="shared" si="1449"/>
        <v>6</v>
      </c>
      <c r="M1369" s="310" t="str">
        <f t="shared" si="1450"/>
        <v/>
      </c>
      <c r="N1369" s="311" t="str">
        <f t="shared" si="1451"/>
        <v/>
      </c>
    </row>
    <row r="1370" spans="1:14">
      <c r="A1370" s="297" t="s">
        <v>1520</v>
      </c>
      <c r="B1370" s="254"/>
      <c r="C1370" s="299" t="s">
        <v>1492</v>
      </c>
      <c r="D1370" s="299">
        <v>1</v>
      </c>
      <c r="E1370" s="300">
        <v>3</v>
      </c>
      <c r="F1370" s="300">
        <f>E1370*D1370</f>
        <v>3</v>
      </c>
      <c r="G1370" s="302">
        <v>3.2</v>
      </c>
      <c r="H1370" s="310" t="str">
        <f t="shared" si="1445"/>
        <v/>
      </c>
      <c r="I1370" s="311" t="str">
        <f t="shared" si="1446"/>
        <v/>
      </c>
      <c r="J1370" s="311" t="str">
        <f t="shared" si="1447"/>
        <v/>
      </c>
      <c r="K1370" s="311" t="str">
        <f t="shared" si="1448"/>
        <v/>
      </c>
      <c r="L1370" s="310">
        <f t="shared" si="1449"/>
        <v>9.6</v>
      </c>
      <c r="M1370" s="310" t="str">
        <f t="shared" si="1450"/>
        <v/>
      </c>
      <c r="N1370" s="311" t="str">
        <f t="shared" si="1451"/>
        <v/>
      </c>
    </row>
    <row r="1371" spans="1:14">
      <c r="A1371" s="297" t="s">
        <v>1520</v>
      </c>
      <c r="B1371" s="254"/>
      <c r="C1371" s="299" t="s">
        <v>1492</v>
      </c>
      <c r="D1371" s="299">
        <v>1</v>
      </c>
      <c r="E1371" s="300">
        <v>3</v>
      </c>
      <c r="F1371" s="300">
        <f>E1371*D1371</f>
        <v>3</v>
      </c>
      <c r="G1371" s="302">
        <v>5.15</v>
      </c>
      <c r="H1371" s="310" t="str">
        <f t="shared" si="1445"/>
        <v/>
      </c>
      <c r="I1371" s="311" t="str">
        <f t="shared" si="1446"/>
        <v/>
      </c>
      <c r="J1371" s="311" t="str">
        <f t="shared" si="1447"/>
        <v/>
      </c>
      <c r="K1371" s="311" t="str">
        <f t="shared" si="1448"/>
        <v/>
      </c>
      <c r="L1371" s="310">
        <f t="shared" si="1449"/>
        <v>15.45</v>
      </c>
      <c r="M1371" s="310" t="str">
        <f t="shared" si="1450"/>
        <v/>
      </c>
      <c r="N1371" s="311" t="str">
        <f t="shared" si="1451"/>
        <v/>
      </c>
    </row>
    <row r="1372" spans="1:14">
      <c r="A1372" s="253"/>
      <c r="B1372" s="254"/>
      <c r="C1372" s="299"/>
      <c r="D1372" s="299"/>
      <c r="E1372" s="300"/>
      <c r="F1372" s="300"/>
      <c r="G1372" s="302"/>
      <c r="H1372" s="310"/>
      <c r="I1372" s="311"/>
      <c r="J1372" s="311"/>
      <c r="K1372" s="311"/>
      <c r="L1372" s="310"/>
      <c r="M1372" s="310"/>
      <c r="N1372" s="311"/>
    </row>
    <row r="1373" spans="1:14">
      <c r="A1373" s="253"/>
      <c r="B1373" s="254"/>
      <c r="C1373" s="299"/>
      <c r="D1373" s="299"/>
      <c r="E1373" s="300"/>
      <c r="F1373" s="300"/>
      <c r="G1373" s="302"/>
      <c r="H1373" s="310"/>
      <c r="I1373" s="311"/>
      <c r="J1373" s="311"/>
      <c r="K1373" s="311"/>
      <c r="L1373" s="310"/>
      <c r="M1373" s="310"/>
      <c r="N1373" s="311"/>
    </row>
    <row r="1374" spans="1:14" ht="16.5">
      <c r="A1374" s="326" t="s">
        <v>1382</v>
      </c>
      <c r="B1374" s="254"/>
      <c r="C1374" s="299"/>
      <c r="D1374" s="299"/>
      <c r="E1374" s="300"/>
      <c r="F1374" s="300"/>
      <c r="G1374" s="302"/>
      <c r="H1374" s="310"/>
      <c r="I1374" s="311"/>
      <c r="J1374" s="311"/>
      <c r="K1374" s="311"/>
      <c r="L1374" s="310"/>
      <c r="M1374" s="310"/>
      <c r="N1374" s="311"/>
    </row>
    <row r="1375" spans="1:14" ht="16.5">
      <c r="A1375" s="303" t="s">
        <v>1383</v>
      </c>
      <c r="B1375" s="254"/>
      <c r="C1375" s="299"/>
      <c r="D1375" s="299"/>
      <c r="E1375" s="300"/>
      <c r="F1375" s="300"/>
      <c r="G1375" s="302"/>
      <c r="H1375" s="310"/>
      <c r="I1375" s="311"/>
      <c r="J1375" s="311"/>
      <c r="K1375" s="311"/>
      <c r="L1375" s="310"/>
      <c r="M1375" s="310"/>
      <c r="N1375" s="311"/>
    </row>
    <row r="1376" spans="1:14" s="294" customFormat="1">
      <c r="A1376" s="297" t="s">
        <v>1515</v>
      </c>
      <c r="B1376" s="298"/>
      <c r="C1376" s="299" t="s">
        <v>1519</v>
      </c>
      <c r="D1376" s="299">
        <v>1</v>
      </c>
      <c r="E1376" s="300">
        <v>3</v>
      </c>
      <c r="F1376" s="300">
        <f>E1376*D1376</f>
        <v>3</v>
      </c>
      <c r="G1376" s="299">
        <f>(2.45)+17*0.01*2</f>
        <v>2.79</v>
      </c>
      <c r="H1376" s="310" t="str">
        <f t="shared" ref="H1376:H1381" si="1453">IF(C1376="T6",G1376*F1376,"")</f>
        <v/>
      </c>
      <c r="I1376" s="311" t="str">
        <f t="shared" ref="I1376:I1381" si="1454">IF(C1376="T8",F1376*G1376,"")</f>
        <v/>
      </c>
      <c r="J1376" s="311">
        <f t="shared" ref="J1376:J1381" si="1455">IF(C1376="T10",F1376*G1376,"")</f>
        <v>8.3699999999999992</v>
      </c>
      <c r="K1376" s="311" t="str">
        <f t="shared" ref="K1376:K1381" si="1456">IF(C1376="T12",F1376*G1376,"")</f>
        <v/>
      </c>
      <c r="L1376" s="310" t="str">
        <f t="shared" ref="L1376:L1381" si="1457">IF(C1376="T14",F1376*G1376,"")</f>
        <v/>
      </c>
      <c r="M1376" s="310" t="str">
        <f t="shared" ref="M1376:M1381" si="1458">IF(C1376="T16",G1376*F1376,"")</f>
        <v/>
      </c>
      <c r="N1376" s="311" t="str">
        <f t="shared" ref="N1376:N1381" si="1459">IF(C1376="T20",G1376*F1376,"")</f>
        <v/>
      </c>
    </row>
    <row r="1377" spans="1:14" s="294" customFormat="1">
      <c r="A1377" s="297" t="s">
        <v>1515</v>
      </c>
      <c r="B1377" s="298"/>
      <c r="C1377" s="299" t="s">
        <v>1516</v>
      </c>
      <c r="D1377" s="299">
        <v>1</v>
      </c>
      <c r="E1377" s="300">
        <v>3</v>
      </c>
      <c r="F1377" s="300">
        <f>E1377*D1377</f>
        <v>3</v>
      </c>
      <c r="G1377" s="302">
        <f>(2.45)+17*0.012*2</f>
        <v>2.86</v>
      </c>
      <c r="H1377" s="310" t="str">
        <f t="shared" si="1453"/>
        <v/>
      </c>
      <c r="I1377" s="311" t="str">
        <f t="shared" si="1454"/>
        <v/>
      </c>
      <c r="J1377" s="311" t="str">
        <f t="shared" si="1455"/>
        <v/>
      </c>
      <c r="K1377" s="311">
        <f t="shared" si="1456"/>
        <v>8.58</v>
      </c>
      <c r="L1377" s="310" t="str">
        <f t="shared" si="1457"/>
        <v/>
      </c>
      <c r="M1377" s="310" t="str">
        <f t="shared" si="1458"/>
        <v/>
      </c>
      <c r="N1377" s="311" t="str">
        <f t="shared" si="1459"/>
        <v/>
      </c>
    </row>
    <row r="1378" spans="1:14" s="294" customFormat="1">
      <c r="A1378" s="297" t="s">
        <v>1494</v>
      </c>
      <c r="B1378" s="301"/>
      <c r="C1378" s="299" t="s">
        <v>1496</v>
      </c>
      <c r="D1378" s="299">
        <v>1</v>
      </c>
      <c r="E1378" s="300">
        <f>8+9+8</f>
        <v>25</v>
      </c>
      <c r="F1378" s="300">
        <f t="shared" ref="F1378:F1379" si="1460">E1378*D1378</f>
        <v>25</v>
      </c>
      <c r="G1378" s="302">
        <f>(0.2+0.25)*2+17*0.008*2</f>
        <v>1.17</v>
      </c>
      <c r="H1378" s="310" t="str">
        <f t="shared" si="1453"/>
        <v/>
      </c>
      <c r="I1378" s="311">
        <f t="shared" si="1454"/>
        <v>29.25</v>
      </c>
      <c r="J1378" s="311" t="str">
        <f t="shared" si="1455"/>
        <v/>
      </c>
      <c r="K1378" s="311" t="str">
        <f t="shared" si="1456"/>
        <v/>
      </c>
      <c r="L1378" s="310" t="str">
        <f t="shared" si="1457"/>
        <v/>
      </c>
      <c r="M1378" s="310" t="str">
        <f t="shared" si="1458"/>
        <v/>
      </c>
      <c r="N1378" s="311" t="str">
        <f t="shared" si="1459"/>
        <v/>
      </c>
    </row>
    <row r="1379" spans="1:14" s="294" customFormat="1">
      <c r="A1379" s="297" t="s">
        <v>1517</v>
      </c>
      <c r="B1379" s="301"/>
      <c r="C1379" s="299" t="s">
        <v>1496</v>
      </c>
      <c r="D1379" s="299">
        <v>1</v>
      </c>
      <c r="E1379" s="300">
        <f>8+9+8</f>
        <v>25</v>
      </c>
      <c r="F1379" s="300">
        <f t="shared" si="1460"/>
        <v>25</v>
      </c>
      <c r="G1379" s="302">
        <f>(0.25*2)+17*0.008*2</f>
        <v>0.77</v>
      </c>
      <c r="H1379" s="310" t="str">
        <f t="shared" si="1453"/>
        <v/>
      </c>
      <c r="I1379" s="311">
        <f t="shared" si="1454"/>
        <v>19.25</v>
      </c>
      <c r="J1379" s="311" t="str">
        <f t="shared" si="1455"/>
        <v/>
      </c>
      <c r="K1379" s="311" t="str">
        <f t="shared" si="1456"/>
        <v/>
      </c>
      <c r="L1379" s="310" t="str">
        <f t="shared" si="1457"/>
        <v/>
      </c>
      <c r="M1379" s="310" t="str">
        <f t="shared" si="1458"/>
        <v/>
      </c>
      <c r="N1379" s="311" t="str">
        <f t="shared" si="1459"/>
        <v/>
      </c>
    </row>
    <row r="1380" spans="1:14">
      <c r="A1380" s="297" t="s">
        <v>1518</v>
      </c>
      <c r="B1380" s="254"/>
      <c r="C1380" s="299" t="s">
        <v>1519</v>
      </c>
      <c r="D1380" s="299">
        <v>1</v>
      </c>
      <c r="E1380" s="300">
        <v>3</v>
      </c>
      <c r="F1380" s="300">
        <f>E1380*D1380</f>
        <v>3</v>
      </c>
      <c r="G1380" s="302">
        <v>1.5</v>
      </c>
      <c r="H1380" s="310" t="str">
        <f t="shared" si="1453"/>
        <v/>
      </c>
      <c r="I1380" s="311" t="str">
        <f t="shared" si="1454"/>
        <v/>
      </c>
      <c r="J1380" s="311">
        <f t="shared" si="1455"/>
        <v>4.5</v>
      </c>
      <c r="K1380" s="311" t="str">
        <f t="shared" si="1456"/>
        <v/>
      </c>
      <c r="L1380" s="310" t="str">
        <f t="shared" si="1457"/>
        <v/>
      </c>
      <c r="M1380" s="310" t="str">
        <f t="shared" si="1458"/>
        <v/>
      </c>
      <c r="N1380" s="311" t="str">
        <f t="shared" si="1459"/>
        <v/>
      </c>
    </row>
    <row r="1381" spans="1:14">
      <c r="A1381" s="297" t="s">
        <v>1520</v>
      </c>
      <c r="B1381" s="254"/>
      <c r="C1381" s="299" t="s">
        <v>1492</v>
      </c>
      <c r="D1381" s="299">
        <v>1</v>
      </c>
      <c r="E1381" s="300">
        <v>3</v>
      </c>
      <c r="F1381" s="300">
        <f>E1381*D1381</f>
        <v>3</v>
      </c>
      <c r="G1381" s="302">
        <v>3</v>
      </c>
      <c r="H1381" s="310" t="str">
        <f t="shared" si="1453"/>
        <v/>
      </c>
      <c r="I1381" s="311" t="str">
        <f t="shared" si="1454"/>
        <v/>
      </c>
      <c r="J1381" s="311" t="str">
        <f t="shared" si="1455"/>
        <v/>
      </c>
      <c r="K1381" s="311" t="str">
        <f t="shared" si="1456"/>
        <v/>
      </c>
      <c r="L1381" s="310">
        <f t="shared" si="1457"/>
        <v>9</v>
      </c>
      <c r="M1381" s="310" t="str">
        <f t="shared" si="1458"/>
        <v/>
      </c>
      <c r="N1381" s="311" t="str">
        <f t="shared" si="1459"/>
        <v/>
      </c>
    </row>
    <row r="1382" spans="1:14">
      <c r="A1382" s="297"/>
      <c r="B1382" s="254"/>
      <c r="C1382" s="299"/>
      <c r="D1382" s="299"/>
      <c r="E1382" s="300"/>
      <c r="F1382" s="300"/>
      <c r="G1382" s="302"/>
      <c r="H1382" s="310"/>
      <c r="I1382" s="311"/>
      <c r="J1382" s="311"/>
      <c r="K1382" s="311"/>
      <c r="L1382" s="310"/>
      <c r="M1382" s="310"/>
      <c r="N1382" s="311"/>
    </row>
    <row r="1383" spans="1:14" ht="16.5">
      <c r="A1383" s="303" t="s">
        <v>1384</v>
      </c>
      <c r="B1383" s="254"/>
      <c r="C1383" s="299"/>
      <c r="D1383" s="299"/>
      <c r="E1383" s="300"/>
      <c r="F1383" s="300"/>
      <c r="G1383" s="302"/>
      <c r="H1383" s="310"/>
      <c r="I1383" s="311"/>
      <c r="J1383" s="311"/>
      <c r="K1383" s="311"/>
      <c r="L1383" s="310"/>
      <c r="M1383" s="310"/>
      <c r="N1383" s="311"/>
    </row>
    <row r="1384" spans="1:14" s="294" customFormat="1">
      <c r="A1384" s="297" t="s">
        <v>1515</v>
      </c>
      <c r="B1384" s="298"/>
      <c r="C1384" s="299" t="s">
        <v>1519</v>
      </c>
      <c r="D1384" s="299">
        <v>1</v>
      </c>
      <c r="E1384" s="300">
        <v>3</v>
      </c>
      <c r="F1384" s="300">
        <f>E1384*D1384</f>
        <v>3</v>
      </c>
      <c r="G1384" s="299">
        <f>(5.05)+17*0.01*2</f>
        <v>5.39</v>
      </c>
      <c r="H1384" s="310" t="str">
        <f t="shared" ref="H1384:H1389" si="1461">IF(C1384="T6",G1384*F1384,"")</f>
        <v/>
      </c>
      <c r="I1384" s="311" t="str">
        <f t="shared" ref="I1384:I1389" si="1462">IF(C1384="T8",F1384*G1384,"")</f>
        <v/>
      </c>
      <c r="J1384" s="311">
        <f t="shared" ref="J1384:J1389" si="1463">IF(C1384="T10",F1384*G1384,"")</f>
        <v>16.170000000000002</v>
      </c>
      <c r="K1384" s="311" t="str">
        <f t="shared" ref="K1384:K1389" si="1464">IF(C1384="T12",F1384*G1384,"")</f>
        <v/>
      </c>
      <c r="L1384" s="310" t="str">
        <f t="shared" ref="L1384:L1389" si="1465">IF(C1384="T14",F1384*G1384,"")</f>
        <v/>
      </c>
      <c r="M1384" s="310" t="str">
        <f t="shared" ref="M1384:M1389" si="1466">IF(C1384="T16",G1384*F1384,"")</f>
        <v/>
      </c>
      <c r="N1384" s="311" t="str">
        <f t="shared" ref="N1384:N1389" si="1467">IF(C1384="T20",G1384*F1384,"")</f>
        <v/>
      </c>
    </row>
    <row r="1385" spans="1:14" s="294" customFormat="1">
      <c r="A1385" s="297" t="s">
        <v>1515</v>
      </c>
      <c r="B1385" s="298"/>
      <c r="C1385" s="299" t="s">
        <v>1516</v>
      </c>
      <c r="D1385" s="299">
        <v>1</v>
      </c>
      <c r="E1385" s="300">
        <v>3</v>
      </c>
      <c r="F1385" s="300">
        <f>E1385*D1385</f>
        <v>3</v>
      </c>
      <c r="G1385" s="302">
        <f>(5.05)+17*0.012*2</f>
        <v>5.46</v>
      </c>
      <c r="H1385" s="310" t="str">
        <f t="shared" si="1461"/>
        <v/>
      </c>
      <c r="I1385" s="311" t="str">
        <f t="shared" si="1462"/>
        <v/>
      </c>
      <c r="J1385" s="311" t="str">
        <f t="shared" si="1463"/>
        <v/>
      </c>
      <c r="K1385" s="311">
        <f t="shared" si="1464"/>
        <v>16.38</v>
      </c>
      <c r="L1385" s="310" t="str">
        <f t="shared" si="1465"/>
        <v/>
      </c>
      <c r="M1385" s="310" t="str">
        <f t="shared" si="1466"/>
        <v/>
      </c>
      <c r="N1385" s="311" t="str">
        <f t="shared" si="1467"/>
        <v/>
      </c>
    </row>
    <row r="1386" spans="1:14" s="294" customFormat="1">
      <c r="A1386" s="297" t="s">
        <v>1494</v>
      </c>
      <c r="B1386" s="301"/>
      <c r="C1386" s="299" t="s">
        <v>1496</v>
      </c>
      <c r="D1386" s="299">
        <v>1</v>
      </c>
      <c r="E1386" s="300">
        <f>15*3</f>
        <v>45</v>
      </c>
      <c r="F1386" s="300">
        <f t="shared" ref="F1386:F1387" si="1468">E1386*D1386</f>
        <v>45</v>
      </c>
      <c r="G1386" s="302">
        <f>(0.2+0.4)*2+17*0.008*2</f>
        <v>1.47</v>
      </c>
      <c r="H1386" s="310" t="str">
        <f t="shared" si="1461"/>
        <v/>
      </c>
      <c r="I1386" s="311">
        <f t="shared" si="1462"/>
        <v>66.150000000000006</v>
      </c>
      <c r="J1386" s="311" t="str">
        <f t="shared" si="1463"/>
        <v/>
      </c>
      <c r="K1386" s="311" t="str">
        <f t="shared" si="1464"/>
        <v/>
      </c>
      <c r="L1386" s="310" t="str">
        <f t="shared" si="1465"/>
        <v/>
      </c>
      <c r="M1386" s="310" t="str">
        <f t="shared" si="1466"/>
        <v/>
      </c>
      <c r="N1386" s="311" t="str">
        <f t="shared" si="1467"/>
        <v/>
      </c>
    </row>
    <row r="1387" spans="1:14" s="294" customFormat="1">
      <c r="A1387" s="297" t="s">
        <v>1517</v>
      </c>
      <c r="B1387" s="301"/>
      <c r="C1387" s="299" t="s">
        <v>1496</v>
      </c>
      <c r="D1387" s="299">
        <v>1</v>
      </c>
      <c r="E1387" s="300">
        <f>15*3</f>
        <v>45</v>
      </c>
      <c r="F1387" s="300">
        <f t="shared" si="1468"/>
        <v>45</v>
      </c>
      <c r="G1387" s="302">
        <f>(0.4*2)+17*0.008*2</f>
        <v>1.07</v>
      </c>
      <c r="H1387" s="310" t="str">
        <f t="shared" si="1461"/>
        <v/>
      </c>
      <c r="I1387" s="311">
        <f t="shared" si="1462"/>
        <v>48.15</v>
      </c>
      <c r="J1387" s="311" t="str">
        <f t="shared" si="1463"/>
        <v/>
      </c>
      <c r="K1387" s="311" t="str">
        <f t="shared" si="1464"/>
        <v/>
      </c>
      <c r="L1387" s="310" t="str">
        <f t="shared" si="1465"/>
        <v/>
      </c>
      <c r="M1387" s="310" t="str">
        <f t="shared" si="1466"/>
        <v/>
      </c>
      <c r="N1387" s="311" t="str">
        <f t="shared" si="1467"/>
        <v/>
      </c>
    </row>
    <row r="1388" spans="1:14">
      <c r="A1388" s="297" t="s">
        <v>1520</v>
      </c>
      <c r="B1388" s="254"/>
      <c r="C1388" s="299" t="s">
        <v>1516</v>
      </c>
      <c r="D1388" s="299">
        <v>1</v>
      </c>
      <c r="E1388" s="300">
        <v>3</v>
      </c>
      <c r="F1388" s="300">
        <f>E1388*D1388</f>
        <v>3</v>
      </c>
      <c r="G1388" s="302">
        <v>4.6500000000000004</v>
      </c>
      <c r="H1388" s="310" t="str">
        <f t="shared" si="1461"/>
        <v/>
      </c>
      <c r="I1388" s="311" t="str">
        <f t="shared" si="1462"/>
        <v/>
      </c>
      <c r="J1388" s="311" t="str">
        <f t="shared" si="1463"/>
        <v/>
      </c>
      <c r="K1388" s="311">
        <f t="shared" si="1464"/>
        <v>13.95</v>
      </c>
      <c r="L1388" s="310" t="str">
        <f t="shared" si="1465"/>
        <v/>
      </c>
      <c r="M1388" s="310" t="str">
        <f t="shared" si="1466"/>
        <v/>
      </c>
      <c r="N1388" s="311" t="str">
        <f t="shared" si="1467"/>
        <v/>
      </c>
    </row>
    <row r="1389" spans="1:14">
      <c r="A1389" s="297" t="s">
        <v>1520</v>
      </c>
      <c r="B1389" s="254"/>
      <c r="C1389" s="299" t="s">
        <v>1492</v>
      </c>
      <c r="D1389" s="299">
        <v>1</v>
      </c>
      <c r="E1389" s="300">
        <v>6</v>
      </c>
      <c r="F1389" s="300">
        <f>E1389*D1389</f>
        <v>6</v>
      </c>
      <c r="G1389" s="302">
        <v>2.4</v>
      </c>
      <c r="H1389" s="310" t="str">
        <f t="shared" si="1461"/>
        <v/>
      </c>
      <c r="I1389" s="311" t="str">
        <f t="shared" si="1462"/>
        <v/>
      </c>
      <c r="J1389" s="311" t="str">
        <f t="shared" si="1463"/>
        <v/>
      </c>
      <c r="K1389" s="311" t="str">
        <f t="shared" si="1464"/>
        <v/>
      </c>
      <c r="L1389" s="310">
        <f t="shared" si="1465"/>
        <v>14.4</v>
      </c>
      <c r="M1389" s="310" t="str">
        <f t="shared" si="1466"/>
        <v/>
      </c>
      <c r="N1389" s="311" t="str">
        <f t="shared" si="1467"/>
        <v/>
      </c>
    </row>
    <row r="1390" spans="1:14" ht="16.5">
      <c r="A1390" s="265"/>
      <c r="B1390" s="254"/>
      <c r="C1390" s="299"/>
      <c r="D1390" s="299"/>
      <c r="E1390" s="300"/>
      <c r="F1390" s="300"/>
      <c r="G1390" s="302"/>
      <c r="H1390" s="310"/>
      <c r="I1390" s="311"/>
      <c r="J1390" s="311"/>
      <c r="K1390" s="311"/>
      <c r="L1390" s="310"/>
      <c r="M1390" s="310"/>
      <c r="N1390" s="311"/>
    </row>
    <row r="1391" spans="1:14" ht="16.5">
      <c r="A1391" s="303" t="s">
        <v>1385</v>
      </c>
      <c r="B1391" s="254"/>
      <c r="C1391" s="299"/>
      <c r="D1391" s="299"/>
      <c r="E1391" s="300"/>
      <c r="F1391" s="300"/>
      <c r="G1391" s="302"/>
      <c r="H1391" s="310"/>
      <c r="I1391" s="311"/>
      <c r="J1391" s="311"/>
      <c r="K1391" s="311"/>
      <c r="L1391" s="310"/>
      <c r="M1391" s="310"/>
      <c r="N1391" s="311"/>
    </row>
    <row r="1392" spans="1:14" s="294" customFormat="1">
      <c r="A1392" s="297" t="s">
        <v>1515</v>
      </c>
      <c r="B1392" s="298"/>
      <c r="C1392" s="299" t="s">
        <v>1519</v>
      </c>
      <c r="D1392" s="299">
        <v>1</v>
      </c>
      <c r="E1392" s="300">
        <v>3</v>
      </c>
      <c r="F1392" s="300">
        <f>E1392*D1392</f>
        <v>3</v>
      </c>
      <c r="G1392" s="299">
        <f>(1.86)+17*0.01*2</f>
        <v>2.2000000000000002</v>
      </c>
      <c r="H1392" s="310" t="str">
        <f t="shared" ref="H1392:H1396" si="1469">IF(C1392="T6",G1392*F1392,"")</f>
        <v/>
      </c>
      <c r="I1392" s="311" t="str">
        <f t="shared" ref="I1392:I1396" si="1470">IF(C1392="T8",F1392*G1392,"")</f>
        <v/>
      </c>
      <c r="J1392" s="311">
        <f t="shared" ref="J1392:J1396" si="1471">IF(C1392="T10",F1392*G1392,"")</f>
        <v>6.6</v>
      </c>
      <c r="K1392" s="311" t="str">
        <f t="shared" ref="K1392:K1396" si="1472">IF(C1392="T12",F1392*G1392,"")</f>
        <v/>
      </c>
      <c r="L1392" s="310" t="str">
        <f t="shared" ref="L1392:L1396" si="1473">IF(C1392="T14",F1392*G1392,"")</f>
        <v/>
      </c>
      <c r="M1392" s="310" t="str">
        <f t="shared" ref="M1392:M1396" si="1474">IF(C1392="T16",G1392*F1392,"")</f>
        <v/>
      </c>
      <c r="N1392" s="311" t="str">
        <f t="shared" ref="N1392:N1396" si="1475">IF(C1392="T20",G1392*F1392,"")</f>
        <v/>
      </c>
    </row>
    <row r="1393" spans="1:14" s="294" customFormat="1">
      <c r="A1393" s="297" t="s">
        <v>1515</v>
      </c>
      <c r="B1393" s="298"/>
      <c r="C1393" s="299" t="s">
        <v>1516</v>
      </c>
      <c r="D1393" s="299">
        <v>1</v>
      </c>
      <c r="E1393" s="300">
        <v>3</v>
      </c>
      <c r="F1393" s="300">
        <f>E1393*D1393</f>
        <v>3</v>
      </c>
      <c r="G1393" s="302">
        <f>(1.86)+17*0.012*2</f>
        <v>2.27</v>
      </c>
      <c r="H1393" s="310" t="str">
        <f t="shared" si="1469"/>
        <v/>
      </c>
      <c r="I1393" s="311" t="str">
        <f t="shared" si="1470"/>
        <v/>
      </c>
      <c r="J1393" s="311" t="str">
        <f t="shared" si="1471"/>
        <v/>
      </c>
      <c r="K1393" s="311">
        <f t="shared" si="1472"/>
        <v>6.81</v>
      </c>
      <c r="L1393" s="310" t="str">
        <f t="shared" si="1473"/>
        <v/>
      </c>
      <c r="M1393" s="310" t="str">
        <f t="shared" si="1474"/>
        <v/>
      </c>
      <c r="N1393" s="311" t="str">
        <f t="shared" si="1475"/>
        <v/>
      </c>
    </row>
    <row r="1394" spans="1:14" s="294" customFormat="1">
      <c r="A1394" s="297" t="s">
        <v>1494</v>
      </c>
      <c r="B1394" s="301"/>
      <c r="C1394" s="299" t="s">
        <v>1496</v>
      </c>
      <c r="D1394" s="299">
        <v>1</v>
      </c>
      <c r="E1394" s="300">
        <f>6+7+6</f>
        <v>19</v>
      </c>
      <c r="F1394" s="300">
        <f t="shared" ref="F1394:F1395" si="1476">E1394*D1394</f>
        <v>19</v>
      </c>
      <c r="G1394" s="302">
        <f>(0.2+0.25)*2+17*0.008*2</f>
        <v>1.17</v>
      </c>
      <c r="H1394" s="310" t="str">
        <f t="shared" si="1469"/>
        <v/>
      </c>
      <c r="I1394" s="311">
        <f t="shared" si="1470"/>
        <v>22.23</v>
      </c>
      <c r="J1394" s="311" t="str">
        <f t="shared" si="1471"/>
        <v/>
      </c>
      <c r="K1394" s="311" t="str">
        <f t="shared" si="1472"/>
        <v/>
      </c>
      <c r="L1394" s="310" t="str">
        <f t="shared" si="1473"/>
        <v/>
      </c>
      <c r="M1394" s="310" t="str">
        <f t="shared" si="1474"/>
        <v/>
      </c>
      <c r="N1394" s="311" t="str">
        <f t="shared" si="1475"/>
        <v/>
      </c>
    </row>
    <row r="1395" spans="1:14" s="294" customFormat="1">
      <c r="A1395" s="297" t="s">
        <v>1517</v>
      </c>
      <c r="B1395" s="301"/>
      <c r="C1395" s="299" t="s">
        <v>1496</v>
      </c>
      <c r="D1395" s="299">
        <v>1</v>
      </c>
      <c r="E1395" s="300">
        <v>19</v>
      </c>
      <c r="F1395" s="300">
        <f t="shared" si="1476"/>
        <v>19</v>
      </c>
      <c r="G1395" s="302">
        <f>(0.25*2)+17*0.008*2</f>
        <v>0.77</v>
      </c>
      <c r="H1395" s="310" t="str">
        <f t="shared" si="1469"/>
        <v/>
      </c>
      <c r="I1395" s="311">
        <f t="shared" si="1470"/>
        <v>14.63</v>
      </c>
      <c r="J1395" s="311" t="str">
        <f t="shared" si="1471"/>
        <v/>
      </c>
      <c r="K1395" s="311" t="str">
        <f t="shared" si="1472"/>
        <v/>
      </c>
      <c r="L1395" s="310" t="str">
        <f t="shared" si="1473"/>
        <v/>
      </c>
      <c r="M1395" s="310" t="str">
        <f t="shared" si="1474"/>
        <v/>
      </c>
      <c r="N1395" s="311" t="str">
        <f t="shared" si="1475"/>
        <v/>
      </c>
    </row>
    <row r="1396" spans="1:14">
      <c r="A1396" s="297" t="s">
        <v>1520</v>
      </c>
      <c r="B1396" s="254"/>
      <c r="C1396" s="299" t="s">
        <v>1492</v>
      </c>
      <c r="D1396" s="299">
        <v>1</v>
      </c>
      <c r="E1396" s="300">
        <v>6</v>
      </c>
      <c r="F1396" s="300">
        <f>E1396*D1396</f>
        <v>6</v>
      </c>
      <c r="G1396" s="302">
        <v>2.4</v>
      </c>
      <c r="H1396" s="310" t="str">
        <f t="shared" si="1469"/>
        <v/>
      </c>
      <c r="I1396" s="311" t="str">
        <f t="shared" si="1470"/>
        <v/>
      </c>
      <c r="J1396" s="311" t="str">
        <f t="shared" si="1471"/>
        <v/>
      </c>
      <c r="K1396" s="311" t="str">
        <f t="shared" si="1472"/>
        <v/>
      </c>
      <c r="L1396" s="310">
        <f t="shared" si="1473"/>
        <v>14.4</v>
      </c>
      <c r="M1396" s="310" t="str">
        <f t="shared" si="1474"/>
        <v/>
      </c>
      <c r="N1396" s="311" t="str">
        <f t="shared" si="1475"/>
        <v/>
      </c>
    </row>
    <row r="1397" spans="1:14">
      <c r="A1397" s="253"/>
      <c r="B1397" s="254"/>
      <c r="C1397" s="299"/>
      <c r="D1397" s="299"/>
      <c r="E1397" s="300"/>
      <c r="F1397" s="300"/>
      <c r="G1397" s="302"/>
      <c r="H1397" s="310"/>
      <c r="I1397" s="311"/>
      <c r="J1397" s="311"/>
      <c r="K1397" s="311"/>
      <c r="L1397" s="310"/>
      <c r="M1397" s="310"/>
      <c r="N1397" s="311"/>
    </row>
    <row r="1398" spans="1:14" ht="16.5">
      <c r="A1398" s="303" t="s">
        <v>1386</v>
      </c>
      <c r="B1398" s="254"/>
      <c r="C1398" s="299"/>
      <c r="D1398" s="299"/>
      <c r="E1398" s="300"/>
      <c r="F1398" s="300"/>
      <c r="G1398" s="302"/>
      <c r="H1398" s="310"/>
      <c r="I1398" s="311"/>
      <c r="J1398" s="311"/>
      <c r="K1398" s="311"/>
      <c r="L1398" s="310"/>
      <c r="M1398" s="310"/>
      <c r="N1398" s="311"/>
    </row>
    <row r="1399" spans="1:14" s="294" customFormat="1">
      <c r="A1399" s="297" t="s">
        <v>1515</v>
      </c>
      <c r="B1399" s="298"/>
      <c r="C1399" s="299" t="s">
        <v>1519</v>
      </c>
      <c r="D1399" s="299">
        <v>1</v>
      </c>
      <c r="E1399" s="300">
        <v>3</v>
      </c>
      <c r="F1399" s="300">
        <f>E1399*D1399</f>
        <v>3</v>
      </c>
      <c r="G1399" s="299">
        <f>(3.4)+17*0.01*2</f>
        <v>3.74</v>
      </c>
      <c r="H1399" s="310" t="str">
        <f t="shared" ref="H1399:H1403" si="1477">IF(C1399="T6",G1399*F1399,"")</f>
        <v/>
      </c>
      <c r="I1399" s="311" t="str">
        <f t="shared" ref="I1399:I1403" si="1478">IF(C1399="T8",F1399*G1399,"")</f>
        <v/>
      </c>
      <c r="J1399" s="311">
        <f t="shared" ref="J1399:J1403" si="1479">IF(C1399="T10",F1399*G1399,"")</f>
        <v>11.22</v>
      </c>
      <c r="K1399" s="311" t="str">
        <f t="shared" ref="K1399:K1403" si="1480">IF(C1399="T12",F1399*G1399,"")</f>
        <v/>
      </c>
      <c r="L1399" s="310" t="str">
        <f t="shared" ref="L1399:L1403" si="1481">IF(C1399="T14",F1399*G1399,"")</f>
        <v/>
      </c>
      <c r="M1399" s="310" t="str">
        <f t="shared" ref="M1399:M1403" si="1482">IF(C1399="T16",G1399*F1399,"")</f>
        <v/>
      </c>
      <c r="N1399" s="311" t="str">
        <f t="shared" ref="N1399:N1403" si="1483">IF(C1399="T20",G1399*F1399,"")</f>
        <v/>
      </c>
    </row>
    <row r="1400" spans="1:14" s="294" customFormat="1">
      <c r="A1400" s="297" t="s">
        <v>1515</v>
      </c>
      <c r="B1400" s="298"/>
      <c r="C1400" s="299" t="s">
        <v>1492</v>
      </c>
      <c r="D1400" s="299">
        <v>1</v>
      </c>
      <c r="E1400" s="300">
        <v>3</v>
      </c>
      <c r="F1400" s="300">
        <f>E1400*D1400</f>
        <v>3</v>
      </c>
      <c r="G1400" s="302">
        <f>(3.4)+17*0.014*2</f>
        <v>3.88</v>
      </c>
      <c r="H1400" s="310" t="str">
        <f t="shared" si="1477"/>
        <v/>
      </c>
      <c r="I1400" s="311" t="str">
        <f t="shared" si="1478"/>
        <v/>
      </c>
      <c r="J1400" s="311" t="str">
        <f t="shared" si="1479"/>
        <v/>
      </c>
      <c r="K1400" s="311" t="str">
        <f t="shared" si="1480"/>
        <v/>
      </c>
      <c r="L1400" s="310">
        <f t="shared" si="1481"/>
        <v>11.64</v>
      </c>
      <c r="M1400" s="310" t="str">
        <f t="shared" si="1482"/>
        <v/>
      </c>
      <c r="N1400" s="311" t="str">
        <f t="shared" si="1483"/>
        <v/>
      </c>
    </row>
    <row r="1401" spans="1:14" s="294" customFormat="1">
      <c r="A1401" s="297" t="s">
        <v>1494</v>
      </c>
      <c r="B1401" s="301"/>
      <c r="C1401" s="299" t="s">
        <v>1496</v>
      </c>
      <c r="D1401" s="299">
        <v>1</v>
      </c>
      <c r="E1401" s="300">
        <f>11+10+11</f>
        <v>32</v>
      </c>
      <c r="F1401" s="300">
        <f t="shared" ref="F1401:F1402" si="1484">E1401*D1401</f>
        <v>32</v>
      </c>
      <c r="G1401" s="302">
        <f>(0.2+0.25)*2+17*0.008*2</f>
        <v>1.17</v>
      </c>
      <c r="H1401" s="310" t="str">
        <f t="shared" si="1477"/>
        <v/>
      </c>
      <c r="I1401" s="311">
        <f t="shared" si="1478"/>
        <v>37.44</v>
      </c>
      <c r="J1401" s="311" t="str">
        <f t="shared" si="1479"/>
        <v/>
      </c>
      <c r="K1401" s="311" t="str">
        <f t="shared" si="1480"/>
        <v/>
      </c>
      <c r="L1401" s="310" t="str">
        <f t="shared" si="1481"/>
        <v/>
      </c>
      <c r="M1401" s="310" t="str">
        <f t="shared" si="1482"/>
        <v/>
      </c>
      <c r="N1401" s="311" t="str">
        <f t="shared" si="1483"/>
        <v/>
      </c>
    </row>
    <row r="1402" spans="1:14" s="294" customFormat="1">
      <c r="A1402" s="297" t="s">
        <v>1517</v>
      </c>
      <c r="B1402" s="301"/>
      <c r="C1402" s="299" t="s">
        <v>1496</v>
      </c>
      <c r="D1402" s="299">
        <v>1</v>
      </c>
      <c r="E1402" s="300">
        <f>11+10+11</f>
        <v>32</v>
      </c>
      <c r="F1402" s="300">
        <f t="shared" si="1484"/>
        <v>32</v>
      </c>
      <c r="G1402" s="302">
        <f>(0.25*2)+17*0.008*2</f>
        <v>0.77</v>
      </c>
      <c r="H1402" s="310" t="str">
        <f t="shared" si="1477"/>
        <v/>
      </c>
      <c r="I1402" s="311">
        <f t="shared" si="1478"/>
        <v>24.64</v>
      </c>
      <c r="J1402" s="311" t="str">
        <f t="shared" si="1479"/>
        <v/>
      </c>
      <c r="K1402" s="311" t="str">
        <f t="shared" si="1480"/>
        <v/>
      </c>
      <c r="L1402" s="310" t="str">
        <f t="shared" si="1481"/>
        <v/>
      </c>
      <c r="M1402" s="310" t="str">
        <f t="shared" si="1482"/>
        <v/>
      </c>
      <c r="N1402" s="311" t="str">
        <f t="shared" si="1483"/>
        <v/>
      </c>
    </row>
    <row r="1403" spans="1:14">
      <c r="A1403" s="297" t="s">
        <v>1520</v>
      </c>
      <c r="B1403" s="254"/>
      <c r="C1403" s="299" t="s">
        <v>1492</v>
      </c>
      <c r="D1403" s="299">
        <v>1</v>
      </c>
      <c r="E1403" s="300">
        <v>3</v>
      </c>
      <c r="F1403" s="300">
        <f>E1403*D1403</f>
        <v>3</v>
      </c>
      <c r="G1403" s="302">
        <v>2.2000000000000002</v>
      </c>
      <c r="H1403" s="310" t="str">
        <f t="shared" si="1477"/>
        <v/>
      </c>
      <c r="I1403" s="311" t="str">
        <f t="shared" si="1478"/>
        <v/>
      </c>
      <c r="J1403" s="311" t="str">
        <f t="shared" si="1479"/>
        <v/>
      </c>
      <c r="K1403" s="311" t="str">
        <f t="shared" si="1480"/>
        <v/>
      </c>
      <c r="L1403" s="310">
        <f t="shared" si="1481"/>
        <v>6.6</v>
      </c>
      <c r="M1403" s="310" t="str">
        <f t="shared" si="1482"/>
        <v/>
      </c>
      <c r="N1403" s="311" t="str">
        <f t="shared" si="1483"/>
        <v/>
      </c>
    </row>
    <row r="1404" spans="1:14">
      <c r="A1404" s="297" t="s">
        <v>1520</v>
      </c>
      <c r="B1404" s="254"/>
      <c r="C1404" s="299" t="s">
        <v>1492</v>
      </c>
      <c r="D1404" s="299">
        <v>1</v>
      </c>
      <c r="E1404" s="300">
        <v>3</v>
      </c>
      <c r="F1404" s="300">
        <f>E1404*D1404</f>
        <v>3</v>
      </c>
      <c r="G1404" s="302">
        <v>2.9</v>
      </c>
      <c r="H1404" s="310" t="str">
        <f t="shared" ref="H1404" si="1485">IF(C1404="T6",G1404*F1404,"")</f>
        <v/>
      </c>
      <c r="I1404" s="311" t="str">
        <f t="shared" ref="I1404" si="1486">IF(C1404="T8",F1404*G1404,"")</f>
        <v/>
      </c>
      <c r="J1404" s="311" t="str">
        <f t="shared" ref="J1404" si="1487">IF(C1404="T10",F1404*G1404,"")</f>
        <v/>
      </c>
      <c r="K1404" s="311" t="str">
        <f t="shared" ref="K1404" si="1488">IF(C1404="T12",F1404*G1404,"")</f>
        <v/>
      </c>
      <c r="L1404" s="310">
        <f t="shared" ref="L1404" si="1489">IF(C1404="T14",F1404*G1404,"")</f>
        <v>8.6999999999999993</v>
      </c>
      <c r="M1404" s="310" t="str">
        <f t="shared" ref="M1404" si="1490">IF(C1404="T16",G1404*F1404,"")</f>
        <v/>
      </c>
      <c r="N1404" s="311" t="str">
        <f t="shared" ref="N1404" si="1491">IF(C1404="T20",G1404*F1404,"")</f>
        <v/>
      </c>
    </row>
    <row r="1405" spans="1:14" ht="16.5">
      <c r="A1405" s="265"/>
      <c r="B1405" s="254"/>
      <c r="C1405" s="299"/>
      <c r="D1405" s="299"/>
      <c r="E1405" s="300"/>
      <c r="F1405" s="300"/>
      <c r="G1405" s="302"/>
      <c r="H1405" s="310"/>
      <c r="I1405" s="311"/>
      <c r="J1405" s="311"/>
      <c r="K1405" s="311"/>
      <c r="L1405" s="310"/>
      <c r="M1405" s="310"/>
      <c r="N1405" s="311"/>
    </row>
    <row r="1406" spans="1:14" ht="16.5">
      <c r="A1406" s="303" t="s">
        <v>1387</v>
      </c>
      <c r="B1406" s="254"/>
      <c r="C1406" s="299"/>
      <c r="D1406" s="299"/>
      <c r="E1406" s="300"/>
      <c r="F1406" s="300"/>
      <c r="G1406" s="302"/>
      <c r="H1406" s="310"/>
      <c r="I1406" s="311"/>
      <c r="J1406" s="311"/>
      <c r="K1406" s="311"/>
      <c r="L1406" s="310"/>
      <c r="M1406" s="310"/>
      <c r="N1406" s="311"/>
    </row>
    <row r="1407" spans="1:14" s="294" customFormat="1">
      <c r="A1407" s="297" t="s">
        <v>1515</v>
      </c>
      <c r="B1407" s="298"/>
      <c r="C1407" s="299" t="s">
        <v>1519</v>
      </c>
      <c r="D1407" s="299">
        <v>1</v>
      </c>
      <c r="E1407" s="300">
        <v>3</v>
      </c>
      <c r="F1407" s="300">
        <f>E1407*D1407</f>
        <v>3</v>
      </c>
      <c r="G1407" s="299">
        <f>(3.95)+17*0.01*2</f>
        <v>4.29</v>
      </c>
      <c r="H1407" s="310" t="str">
        <f t="shared" ref="H1407:H1412" si="1492">IF(C1407="T6",G1407*F1407,"")</f>
        <v/>
      </c>
      <c r="I1407" s="311" t="str">
        <f t="shared" ref="I1407:I1412" si="1493">IF(C1407="T8",F1407*G1407,"")</f>
        <v/>
      </c>
      <c r="J1407" s="311">
        <f t="shared" ref="J1407:J1412" si="1494">IF(C1407="T10",F1407*G1407,"")</f>
        <v>12.87</v>
      </c>
      <c r="K1407" s="311" t="str">
        <f t="shared" ref="K1407:K1412" si="1495">IF(C1407="T12",F1407*G1407,"")</f>
        <v/>
      </c>
      <c r="L1407" s="310" t="str">
        <f t="shared" ref="L1407:L1412" si="1496">IF(C1407="T14",F1407*G1407,"")</f>
        <v/>
      </c>
      <c r="M1407" s="310" t="str">
        <f t="shared" ref="M1407:M1412" si="1497">IF(C1407="T16",G1407*F1407,"")</f>
        <v/>
      </c>
      <c r="N1407" s="311" t="str">
        <f t="shared" ref="N1407:N1412" si="1498">IF(C1407="T20",G1407*F1407,"")</f>
        <v/>
      </c>
    </row>
    <row r="1408" spans="1:14" s="294" customFormat="1">
      <c r="A1408" s="297" t="s">
        <v>1515</v>
      </c>
      <c r="B1408" s="298"/>
      <c r="C1408" s="299" t="s">
        <v>1516</v>
      </c>
      <c r="D1408" s="299">
        <v>1</v>
      </c>
      <c r="E1408" s="300">
        <v>3</v>
      </c>
      <c r="F1408" s="300">
        <f>E1408*D1408</f>
        <v>3</v>
      </c>
      <c r="G1408" s="302">
        <f>(3.95)+17*0.014*2</f>
        <v>4.43</v>
      </c>
      <c r="H1408" s="310" t="str">
        <f t="shared" si="1492"/>
        <v/>
      </c>
      <c r="I1408" s="311" t="str">
        <f t="shared" si="1493"/>
        <v/>
      </c>
      <c r="J1408" s="311" t="str">
        <f t="shared" si="1494"/>
        <v/>
      </c>
      <c r="K1408" s="311">
        <f t="shared" si="1495"/>
        <v>13.29</v>
      </c>
      <c r="L1408" s="310" t="str">
        <f t="shared" si="1496"/>
        <v/>
      </c>
      <c r="M1408" s="310" t="str">
        <f t="shared" si="1497"/>
        <v/>
      </c>
      <c r="N1408" s="311" t="str">
        <f t="shared" si="1498"/>
        <v/>
      </c>
    </row>
    <row r="1409" spans="1:14" s="294" customFormat="1">
      <c r="A1409" s="297" t="s">
        <v>1494</v>
      </c>
      <c r="B1409" s="301"/>
      <c r="C1409" s="299" t="s">
        <v>1496</v>
      </c>
      <c r="D1409" s="299">
        <v>1</v>
      </c>
      <c r="E1409" s="300">
        <f>12+12+12</f>
        <v>36</v>
      </c>
      <c r="F1409" s="300">
        <f t="shared" ref="F1409:F1410" si="1499">E1409*D1409</f>
        <v>36</v>
      </c>
      <c r="G1409" s="302">
        <f>(0.2+0.35)*2+17*0.008*2</f>
        <v>1.37</v>
      </c>
      <c r="H1409" s="310" t="str">
        <f t="shared" si="1492"/>
        <v/>
      </c>
      <c r="I1409" s="311">
        <f t="shared" si="1493"/>
        <v>49.32</v>
      </c>
      <c r="J1409" s="311" t="str">
        <f t="shared" si="1494"/>
        <v/>
      </c>
      <c r="K1409" s="311" t="str">
        <f t="shared" si="1495"/>
        <v/>
      </c>
      <c r="L1409" s="310" t="str">
        <f t="shared" si="1496"/>
        <v/>
      </c>
      <c r="M1409" s="310" t="str">
        <f t="shared" si="1497"/>
        <v/>
      </c>
      <c r="N1409" s="311" t="str">
        <f t="shared" si="1498"/>
        <v/>
      </c>
    </row>
    <row r="1410" spans="1:14" s="294" customFormat="1">
      <c r="A1410" s="297" t="s">
        <v>1517</v>
      </c>
      <c r="B1410" s="301"/>
      <c r="C1410" s="299" t="s">
        <v>1496</v>
      </c>
      <c r="D1410" s="299">
        <v>1</v>
      </c>
      <c r="E1410" s="300">
        <f>12+12+12</f>
        <v>36</v>
      </c>
      <c r="F1410" s="300">
        <f t="shared" si="1499"/>
        <v>36</v>
      </c>
      <c r="G1410" s="302">
        <f>(0.35*2)+17*0.008*2</f>
        <v>0.97</v>
      </c>
      <c r="H1410" s="310" t="str">
        <f t="shared" si="1492"/>
        <v/>
      </c>
      <c r="I1410" s="311">
        <f t="shared" si="1493"/>
        <v>34.92</v>
      </c>
      <c r="J1410" s="311" t="str">
        <f t="shared" si="1494"/>
        <v/>
      </c>
      <c r="K1410" s="311" t="str">
        <f t="shared" si="1495"/>
        <v/>
      </c>
      <c r="L1410" s="310" t="str">
        <f t="shared" si="1496"/>
        <v/>
      </c>
      <c r="M1410" s="310" t="str">
        <f t="shared" si="1497"/>
        <v/>
      </c>
      <c r="N1410" s="311" t="str">
        <f t="shared" si="1498"/>
        <v/>
      </c>
    </row>
    <row r="1411" spans="1:14">
      <c r="A1411" s="297" t="s">
        <v>1520</v>
      </c>
      <c r="B1411" s="254"/>
      <c r="C1411" s="299" t="s">
        <v>1492</v>
      </c>
      <c r="D1411" s="299">
        <v>1</v>
      </c>
      <c r="E1411" s="300">
        <v>3</v>
      </c>
      <c r="F1411" s="300">
        <f>E1411*D1411</f>
        <v>3</v>
      </c>
      <c r="G1411" s="302">
        <v>2</v>
      </c>
      <c r="H1411" s="310" t="str">
        <f t="shared" si="1492"/>
        <v/>
      </c>
      <c r="I1411" s="311" t="str">
        <f t="shared" si="1493"/>
        <v/>
      </c>
      <c r="J1411" s="311" t="str">
        <f t="shared" si="1494"/>
        <v/>
      </c>
      <c r="K1411" s="311" t="str">
        <f t="shared" si="1495"/>
        <v/>
      </c>
      <c r="L1411" s="310">
        <f t="shared" si="1496"/>
        <v>6</v>
      </c>
      <c r="M1411" s="310" t="str">
        <f t="shared" si="1497"/>
        <v/>
      </c>
      <c r="N1411" s="311" t="str">
        <f t="shared" si="1498"/>
        <v/>
      </c>
    </row>
    <row r="1412" spans="1:14">
      <c r="A1412" s="297" t="s">
        <v>1520</v>
      </c>
      <c r="B1412" s="254"/>
      <c r="C1412" s="299" t="s">
        <v>1492</v>
      </c>
      <c r="D1412" s="299">
        <v>1</v>
      </c>
      <c r="E1412" s="300">
        <v>3</v>
      </c>
      <c r="F1412" s="300">
        <f>E1412*D1412</f>
        <v>3</v>
      </c>
      <c r="G1412" s="302">
        <v>2.8</v>
      </c>
      <c r="H1412" s="310" t="str">
        <f t="shared" si="1492"/>
        <v/>
      </c>
      <c r="I1412" s="311" t="str">
        <f t="shared" si="1493"/>
        <v/>
      </c>
      <c r="J1412" s="311" t="str">
        <f t="shared" si="1494"/>
        <v/>
      </c>
      <c r="K1412" s="311" t="str">
        <f t="shared" si="1495"/>
        <v/>
      </c>
      <c r="L1412" s="310">
        <f t="shared" si="1496"/>
        <v>8.4</v>
      </c>
      <c r="M1412" s="310" t="str">
        <f t="shared" si="1497"/>
        <v/>
      </c>
      <c r="N1412" s="311" t="str">
        <f t="shared" si="1498"/>
        <v/>
      </c>
    </row>
    <row r="1413" spans="1:14">
      <c r="A1413" s="297"/>
      <c r="B1413" s="254"/>
      <c r="C1413" s="299" t="s">
        <v>1516</v>
      </c>
      <c r="D1413" s="299">
        <v>1</v>
      </c>
      <c r="E1413" s="300">
        <v>3</v>
      </c>
      <c r="F1413" s="300">
        <f>E1413*D1413</f>
        <v>3</v>
      </c>
      <c r="G1413" s="302">
        <v>3.65</v>
      </c>
      <c r="H1413" s="310" t="str">
        <f t="shared" ref="H1413" si="1500">IF(C1413="T6",G1413*F1413,"")</f>
        <v/>
      </c>
      <c r="I1413" s="311" t="str">
        <f t="shared" ref="I1413" si="1501">IF(C1413="T8",F1413*G1413,"")</f>
        <v/>
      </c>
      <c r="J1413" s="311" t="str">
        <f t="shared" ref="J1413" si="1502">IF(C1413="T10",F1413*G1413,"")</f>
        <v/>
      </c>
      <c r="K1413" s="311">
        <f t="shared" ref="K1413" si="1503">IF(C1413="T12",F1413*G1413,"")</f>
        <v>10.95</v>
      </c>
      <c r="L1413" s="310" t="str">
        <f t="shared" ref="L1413" si="1504">IF(C1413="T14",F1413*G1413,"")</f>
        <v/>
      </c>
      <c r="M1413" s="310" t="str">
        <f t="shared" ref="M1413" si="1505">IF(C1413="T16",G1413*F1413,"")</f>
        <v/>
      </c>
      <c r="N1413" s="311" t="str">
        <f t="shared" ref="N1413" si="1506">IF(C1413="T20",G1413*F1413,"")</f>
        <v/>
      </c>
    </row>
    <row r="1414" spans="1:14">
      <c r="A1414" s="253"/>
      <c r="B1414" s="254"/>
      <c r="C1414" s="299"/>
      <c r="D1414" s="299"/>
      <c r="E1414" s="300"/>
      <c r="F1414" s="300"/>
      <c r="G1414" s="302"/>
      <c r="H1414" s="310"/>
      <c r="I1414" s="311"/>
      <c r="J1414" s="311"/>
      <c r="K1414" s="311"/>
      <c r="L1414" s="310"/>
      <c r="M1414" s="310"/>
      <c r="N1414" s="311"/>
    </row>
    <row r="1415" spans="1:14" ht="16.5">
      <c r="A1415" s="303" t="s">
        <v>1389</v>
      </c>
      <c r="B1415" s="254"/>
      <c r="C1415" s="299"/>
      <c r="D1415" s="299"/>
      <c r="E1415" s="300"/>
      <c r="F1415" s="300"/>
      <c r="G1415" s="302"/>
      <c r="H1415" s="310"/>
      <c r="I1415" s="311"/>
      <c r="J1415" s="311"/>
      <c r="K1415" s="311"/>
      <c r="L1415" s="310"/>
      <c r="M1415" s="310"/>
      <c r="N1415" s="311"/>
    </row>
    <row r="1416" spans="1:14" s="294" customFormat="1">
      <c r="A1416" s="297" t="s">
        <v>1515</v>
      </c>
      <c r="B1416" s="298"/>
      <c r="C1416" s="299" t="s">
        <v>1516</v>
      </c>
      <c r="D1416" s="299">
        <v>1</v>
      </c>
      <c r="E1416" s="300">
        <v>4</v>
      </c>
      <c r="F1416" s="300">
        <f>E1416*D1416</f>
        <v>4</v>
      </c>
      <c r="G1416" s="299">
        <f>(5.06)+17*0.012*2</f>
        <v>5.468</v>
      </c>
      <c r="H1416" s="310" t="str">
        <f t="shared" ref="H1416:H1419" si="1507">IF(C1416="T6",G1416*F1416,"")</f>
        <v/>
      </c>
      <c r="I1416" s="311" t="str">
        <f t="shared" ref="I1416:I1419" si="1508">IF(C1416="T8",F1416*G1416,"")</f>
        <v/>
      </c>
      <c r="J1416" s="311" t="str">
        <f t="shared" ref="J1416:J1419" si="1509">IF(C1416="T10",F1416*G1416,"")</f>
        <v/>
      </c>
      <c r="K1416" s="311">
        <f t="shared" ref="K1416:K1419" si="1510">IF(C1416="T12",F1416*G1416,"")</f>
        <v>21.87</v>
      </c>
      <c r="L1416" s="310" t="str">
        <f t="shared" ref="L1416:L1419" si="1511">IF(C1416="T14",F1416*G1416,"")</f>
        <v/>
      </c>
      <c r="M1416" s="310" t="str">
        <f t="shared" ref="M1416:M1419" si="1512">IF(C1416="T16",G1416*F1416,"")</f>
        <v/>
      </c>
      <c r="N1416" s="311" t="str">
        <f t="shared" ref="N1416:N1419" si="1513">IF(C1416="T20",G1416*F1416,"")</f>
        <v/>
      </c>
    </row>
    <row r="1417" spans="1:14" s="294" customFormat="1">
      <c r="A1417" s="297" t="s">
        <v>1515</v>
      </c>
      <c r="B1417" s="298"/>
      <c r="C1417" s="299" t="s">
        <v>1498</v>
      </c>
      <c r="D1417" s="299">
        <v>1</v>
      </c>
      <c r="E1417" s="300">
        <v>4</v>
      </c>
      <c r="F1417" s="300">
        <f>E1417*D1417</f>
        <v>4</v>
      </c>
      <c r="G1417" s="299">
        <f>(5.06)+17*0.016*2</f>
        <v>5.6040000000000001</v>
      </c>
      <c r="H1417" s="310" t="str">
        <f t="shared" si="1507"/>
        <v/>
      </c>
      <c r="I1417" s="311" t="str">
        <f t="shared" si="1508"/>
        <v/>
      </c>
      <c r="J1417" s="311" t="str">
        <f t="shared" si="1509"/>
        <v/>
      </c>
      <c r="K1417" s="311" t="str">
        <f t="shared" si="1510"/>
        <v/>
      </c>
      <c r="L1417" s="310" t="str">
        <f t="shared" si="1511"/>
        <v/>
      </c>
      <c r="M1417" s="310">
        <f t="shared" si="1512"/>
        <v>22.42</v>
      </c>
      <c r="N1417" s="311" t="str">
        <f t="shared" si="1513"/>
        <v/>
      </c>
    </row>
    <row r="1418" spans="1:14" s="294" customFormat="1">
      <c r="A1418" s="297" t="s">
        <v>1494</v>
      </c>
      <c r="B1418" s="301"/>
      <c r="C1418" s="299" t="s">
        <v>1496</v>
      </c>
      <c r="D1418" s="299">
        <v>1</v>
      </c>
      <c r="E1418" s="300">
        <f>5.06/0.15</f>
        <v>34</v>
      </c>
      <c r="F1418" s="300">
        <f t="shared" ref="F1418:F1419" si="1514">E1418*D1418</f>
        <v>34</v>
      </c>
      <c r="G1418" s="302">
        <f>(0.25+0.25)*2+17*0.008*2</f>
        <v>1.27</v>
      </c>
      <c r="H1418" s="310" t="str">
        <f t="shared" si="1507"/>
        <v/>
      </c>
      <c r="I1418" s="311">
        <f t="shared" si="1508"/>
        <v>43.18</v>
      </c>
      <c r="J1418" s="311" t="str">
        <f t="shared" si="1509"/>
        <v/>
      </c>
      <c r="K1418" s="311" t="str">
        <f t="shared" si="1510"/>
        <v/>
      </c>
      <c r="L1418" s="310" t="str">
        <f t="shared" si="1511"/>
        <v/>
      </c>
      <c r="M1418" s="310" t="str">
        <f t="shared" si="1512"/>
        <v/>
      </c>
      <c r="N1418" s="311" t="str">
        <f t="shared" si="1513"/>
        <v/>
      </c>
    </row>
    <row r="1419" spans="1:14" s="294" customFormat="1">
      <c r="A1419" s="297" t="s">
        <v>1517</v>
      </c>
      <c r="B1419" s="301"/>
      <c r="C1419" s="299" t="s">
        <v>1496</v>
      </c>
      <c r="D1419" s="299">
        <v>1</v>
      </c>
      <c r="E1419" s="300">
        <f>34*2</f>
        <v>68</v>
      </c>
      <c r="F1419" s="300">
        <f t="shared" si="1514"/>
        <v>68</v>
      </c>
      <c r="G1419" s="302">
        <f>(0.25*2)+17*0.008*2</f>
        <v>0.77</v>
      </c>
      <c r="H1419" s="310" t="str">
        <f t="shared" si="1507"/>
        <v/>
      </c>
      <c r="I1419" s="311">
        <f t="shared" si="1508"/>
        <v>52.36</v>
      </c>
      <c r="J1419" s="311" t="str">
        <f t="shared" si="1509"/>
        <v/>
      </c>
      <c r="K1419" s="311" t="str">
        <f t="shared" si="1510"/>
        <v/>
      </c>
      <c r="L1419" s="310" t="str">
        <f t="shared" si="1511"/>
        <v/>
      </c>
      <c r="M1419" s="310" t="str">
        <f t="shared" si="1512"/>
        <v/>
      </c>
      <c r="N1419" s="311" t="str">
        <f t="shared" si="1513"/>
        <v/>
      </c>
    </row>
    <row r="1420" spans="1:14" ht="16.5">
      <c r="A1420" s="305"/>
      <c r="B1420" s="254"/>
      <c r="C1420" s="299"/>
      <c r="D1420" s="299"/>
      <c r="E1420" s="300"/>
      <c r="F1420" s="300"/>
      <c r="G1420" s="302"/>
      <c r="H1420" s="310"/>
      <c r="I1420" s="311"/>
      <c r="J1420" s="311"/>
      <c r="K1420" s="311"/>
      <c r="L1420" s="310"/>
      <c r="M1420" s="310"/>
      <c r="N1420" s="311"/>
    </row>
    <row r="1421" spans="1:14" ht="16.5">
      <c r="A1421" s="303" t="s">
        <v>1388</v>
      </c>
      <c r="B1421" s="254"/>
      <c r="C1421" s="299"/>
      <c r="D1421" s="299"/>
      <c r="E1421" s="300"/>
      <c r="F1421" s="300"/>
      <c r="G1421" s="302"/>
      <c r="H1421" s="310"/>
      <c r="I1421" s="311"/>
      <c r="J1421" s="311"/>
      <c r="K1421" s="311"/>
      <c r="L1421" s="310"/>
      <c r="M1421" s="310"/>
      <c r="N1421" s="311"/>
    </row>
    <row r="1422" spans="1:14" s="294" customFormat="1">
      <c r="A1422" s="297" t="s">
        <v>1515</v>
      </c>
      <c r="B1422" s="298"/>
      <c r="C1422" s="299" t="s">
        <v>1519</v>
      </c>
      <c r="D1422" s="299">
        <v>1</v>
      </c>
      <c r="E1422" s="300">
        <v>3</v>
      </c>
      <c r="F1422" s="300">
        <f>E1422*D1422</f>
        <v>3</v>
      </c>
      <c r="G1422" s="299">
        <f>(1.93)+17*0.01*2</f>
        <v>2.27</v>
      </c>
      <c r="H1422" s="310" t="str">
        <f t="shared" ref="H1422:H1425" si="1515">IF(C1422="T6",G1422*F1422,"")</f>
        <v/>
      </c>
      <c r="I1422" s="311" t="str">
        <f t="shared" ref="I1422:I1425" si="1516">IF(C1422="T8",F1422*G1422,"")</f>
        <v/>
      </c>
      <c r="J1422" s="311">
        <f t="shared" ref="J1422:J1425" si="1517">IF(C1422="T10",F1422*G1422,"")</f>
        <v>6.81</v>
      </c>
      <c r="K1422" s="311" t="str">
        <f t="shared" ref="K1422:K1425" si="1518">IF(C1422="T12",F1422*G1422,"")</f>
        <v/>
      </c>
      <c r="L1422" s="310" t="str">
        <f t="shared" ref="L1422:L1425" si="1519">IF(C1422="T14",F1422*G1422,"")</f>
        <v/>
      </c>
      <c r="M1422" s="310" t="str">
        <f t="shared" ref="M1422:M1425" si="1520">IF(C1422="T16",G1422*F1422,"")</f>
        <v/>
      </c>
      <c r="N1422" s="311" t="str">
        <f t="shared" ref="N1422:N1425" si="1521">IF(C1422="T20",G1422*F1422,"")</f>
        <v/>
      </c>
    </row>
    <row r="1423" spans="1:14" s="294" customFormat="1">
      <c r="A1423" s="297" t="s">
        <v>1515</v>
      </c>
      <c r="B1423" s="298"/>
      <c r="C1423" s="299" t="s">
        <v>1492</v>
      </c>
      <c r="D1423" s="299">
        <v>1</v>
      </c>
      <c r="E1423" s="300">
        <v>3</v>
      </c>
      <c r="F1423" s="300">
        <f>E1423*D1423</f>
        <v>3</v>
      </c>
      <c r="G1423" s="299">
        <f>(1.93)+17*0.014*2</f>
        <v>2.4060000000000001</v>
      </c>
      <c r="H1423" s="310" t="str">
        <f t="shared" si="1515"/>
        <v/>
      </c>
      <c r="I1423" s="311" t="str">
        <f t="shared" si="1516"/>
        <v/>
      </c>
      <c r="J1423" s="311" t="str">
        <f t="shared" si="1517"/>
        <v/>
      </c>
      <c r="K1423" s="311" t="str">
        <f t="shared" si="1518"/>
        <v/>
      </c>
      <c r="L1423" s="310">
        <f t="shared" si="1519"/>
        <v>7.22</v>
      </c>
      <c r="M1423" s="310" t="str">
        <f t="shared" si="1520"/>
        <v/>
      </c>
      <c r="N1423" s="311" t="str">
        <f t="shared" si="1521"/>
        <v/>
      </c>
    </row>
    <row r="1424" spans="1:14" s="294" customFormat="1">
      <c r="A1424" s="297" t="s">
        <v>1494</v>
      </c>
      <c r="B1424" s="301"/>
      <c r="C1424" s="299" t="s">
        <v>1496</v>
      </c>
      <c r="D1424" s="299">
        <v>1</v>
      </c>
      <c r="E1424" s="300">
        <f>1.93/0.15</f>
        <v>13</v>
      </c>
      <c r="F1424" s="300">
        <f t="shared" ref="F1424:F1425" si="1522">E1424*D1424</f>
        <v>13</v>
      </c>
      <c r="G1424" s="302">
        <f>(0.2+0.15)*2+17*0.008*2</f>
        <v>0.97</v>
      </c>
      <c r="H1424" s="310" t="str">
        <f t="shared" si="1515"/>
        <v/>
      </c>
      <c r="I1424" s="311">
        <f t="shared" si="1516"/>
        <v>12.61</v>
      </c>
      <c r="J1424" s="311" t="str">
        <f t="shared" si="1517"/>
        <v/>
      </c>
      <c r="K1424" s="311" t="str">
        <f t="shared" si="1518"/>
        <v/>
      </c>
      <c r="L1424" s="310" t="str">
        <f t="shared" si="1519"/>
        <v/>
      </c>
      <c r="M1424" s="310" t="str">
        <f t="shared" si="1520"/>
        <v/>
      </c>
      <c r="N1424" s="311" t="str">
        <f t="shared" si="1521"/>
        <v/>
      </c>
    </row>
    <row r="1425" spans="1:14" s="294" customFormat="1">
      <c r="A1425" s="297" t="s">
        <v>1517</v>
      </c>
      <c r="B1425" s="301"/>
      <c r="C1425" s="299" t="s">
        <v>1496</v>
      </c>
      <c r="D1425" s="299">
        <v>1</v>
      </c>
      <c r="E1425" s="300">
        <v>13</v>
      </c>
      <c r="F1425" s="300">
        <f t="shared" si="1522"/>
        <v>13</v>
      </c>
      <c r="G1425" s="302">
        <f>(0.2*2)+17*0.008*2</f>
        <v>0.67</v>
      </c>
      <c r="H1425" s="310" t="str">
        <f t="shared" si="1515"/>
        <v/>
      </c>
      <c r="I1425" s="311">
        <f t="shared" si="1516"/>
        <v>8.7100000000000009</v>
      </c>
      <c r="J1425" s="311" t="str">
        <f t="shared" si="1517"/>
        <v/>
      </c>
      <c r="K1425" s="311" t="str">
        <f t="shared" si="1518"/>
        <v/>
      </c>
      <c r="L1425" s="310" t="str">
        <f t="shared" si="1519"/>
        <v/>
      </c>
      <c r="M1425" s="310" t="str">
        <f t="shared" si="1520"/>
        <v/>
      </c>
      <c r="N1425" s="311" t="str">
        <f t="shared" si="1521"/>
        <v/>
      </c>
    </row>
    <row r="1426" spans="1:14" ht="16.5">
      <c r="A1426" s="305"/>
      <c r="B1426" s="254"/>
      <c r="C1426" s="299"/>
      <c r="D1426" s="299"/>
      <c r="E1426" s="300"/>
      <c r="F1426" s="300"/>
      <c r="G1426" s="302"/>
      <c r="H1426" s="310"/>
      <c r="I1426" s="311"/>
      <c r="J1426" s="311"/>
      <c r="K1426" s="311"/>
      <c r="L1426" s="310"/>
      <c r="M1426" s="310"/>
      <c r="N1426" s="311"/>
    </row>
    <row r="1427" spans="1:14" ht="16.5">
      <c r="A1427" s="303" t="s">
        <v>1388</v>
      </c>
      <c r="B1427" s="254"/>
      <c r="C1427" s="299"/>
      <c r="D1427" s="299"/>
      <c r="E1427" s="300"/>
      <c r="F1427" s="300"/>
      <c r="G1427" s="302"/>
      <c r="H1427" s="310"/>
      <c r="I1427" s="311"/>
      <c r="J1427" s="311"/>
      <c r="K1427" s="311"/>
      <c r="L1427" s="310"/>
      <c r="M1427" s="310"/>
      <c r="N1427" s="311"/>
    </row>
    <row r="1428" spans="1:14" s="294" customFormat="1">
      <c r="A1428" s="297" t="s">
        <v>1515</v>
      </c>
      <c r="B1428" s="298"/>
      <c r="C1428" s="299" t="s">
        <v>1519</v>
      </c>
      <c r="D1428" s="299">
        <v>1</v>
      </c>
      <c r="E1428" s="300">
        <v>3</v>
      </c>
      <c r="F1428" s="300">
        <f>E1428*D1428</f>
        <v>3</v>
      </c>
      <c r="G1428" s="299">
        <f>(3.42)+17*0.01*2</f>
        <v>3.76</v>
      </c>
      <c r="H1428" s="310" t="str">
        <f t="shared" ref="H1428:H1431" si="1523">IF(C1428="T6",G1428*F1428,"")</f>
        <v/>
      </c>
      <c r="I1428" s="311" t="str">
        <f t="shared" ref="I1428:I1431" si="1524">IF(C1428="T8",F1428*G1428,"")</f>
        <v/>
      </c>
      <c r="J1428" s="311">
        <f t="shared" ref="J1428:J1431" si="1525">IF(C1428="T10",F1428*G1428,"")</f>
        <v>11.28</v>
      </c>
      <c r="K1428" s="311" t="str">
        <f t="shared" ref="K1428:K1431" si="1526">IF(C1428="T12",F1428*G1428,"")</f>
        <v/>
      </c>
      <c r="L1428" s="310" t="str">
        <f t="shared" ref="L1428:L1431" si="1527">IF(C1428="T14",F1428*G1428,"")</f>
        <v/>
      </c>
      <c r="M1428" s="310" t="str">
        <f t="shared" ref="M1428:M1431" si="1528">IF(C1428="T16",G1428*F1428,"")</f>
        <v/>
      </c>
      <c r="N1428" s="311" t="str">
        <f t="shared" ref="N1428:N1431" si="1529">IF(C1428="T20",G1428*F1428,"")</f>
        <v/>
      </c>
    </row>
    <row r="1429" spans="1:14" s="294" customFormat="1">
      <c r="A1429" s="297" t="s">
        <v>1515</v>
      </c>
      <c r="B1429" s="298"/>
      <c r="C1429" s="299" t="s">
        <v>1492</v>
      </c>
      <c r="D1429" s="299">
        <v>1</v>
      </c>
      <c r="E1429" s="300">
        <v>3</v>
      </c>
      <c r="F1429" s="300">
        <f>E1429*D1429</f>
        <v>3</v>
      </c>
      <c r="G1429" s="299">
        <f>(3.42)+17*0.014*2</f>
        <v>3.8959999999999999</v>
      </c>
      <c r="H1429" s="310" t="str">
        <f t="shared" si="1523"/>
        <v/>
      </c>
      <c r="I1429" s="311" t="str">
        <f t="shared" si="1524"/>
        <v/>
      </c>
      <c r="J1429" s="311" t="str">
        <f t="shared" si="1525"/>
        <v/>
      </c>
      <c r="K1429" s="311" t="str">
        <f t="shared" si="1526"/>
        <v/>
      </c>
      <c r="L1429" s="310">
        <f t="shared" si="1527"/>
        <v>11.69</v>
      </c>
      <c r="M1429" s="310" t="str">
        <f t="shared" si="1528"/>
        <v/>
      </c>
      <c r="N1429" s="311" t="str">
        <f t="shared" si="1529"/>
        <v/>
      </c>
    </row>
    <row r="1430" spans="1:14" s="294" customFormat="1">
      <c r="A1430" s="297" t="s">
        <v>1494</v>
      </c>
      <c r="B1430" s="301"/>
      <c r="C1430" s="299" t="s">
        <v>1496</v>
      </c>
      <c r="D1430" s="299">
        <v>1</v>
      </c>
      <c r="E1430" s="300">
        <f>3.42/0.15</f>
        <v>23</v>
      </c>
      <c r="F1430" s="300">
        <f t="shared" ref="F1430:F1431" si="1530">E1430*D1430</f>
        <v>23</v>
      </c>
      <c r="G1430" s="302">
        <f>(0.2+0.15)*2+17*0.008*2</f>
        <v>0.97</v>
      </c>
      <c r="H1430" s="310" t="str">
        <f t="shared" si="1523"/>
        <v/>
      </c>
      <c r="I1430" s="311">
        <f t="shared" si="1524"/>
        <v>22.31</v>
      </c>
      <c r="J1430" s="311" t="str">
        <f t="shared" si="1525"/>
        <v/>
      </c>
      <c r="K1430" s="311" t="str">
        <f t="shared" si="1526"/>
        <v/>
      </c>
      <c r="L1430" s="310" t="str">
        <f t="shared" si="1527"/>
        <v/>
      </c>
      <c r="M1430" s="310" t="str">
        <f t="shared" si="1528"/>
        <v/>
      </c>
      <c r="N1430" s="311" t="str">
        <f t="shared" si="1529"/>
        <v/>
      </c>
    </row>
    <row r="1431" spans="1:14" s="294" customFormat="1">
      <c r="A1431" s="297" t="s">
        <v>1517</v>
      </c>
      <c r="B1431" s="301"/>
      <c r="C1431" s="299" t="s">
        <v>1496</v>
      </c>
      <c r="D1431" s="299">
        <v>1</v>
      </c>
      <c r="E1431" s="300">
        <f>3.42/0.15</f>
        <v>23</v>
      </c>
      <c r="F1431" s="300">
        <f t="shared" si="1530"/>
        <v>23</v>
      </c>
      <c r="G1431" s="302">
        <f>(0.2*2)+17*0.008*2</f>
        <v>0.67</v>
      </c>
      <c r="H1431" s="310" t="str">
        <f t="shared" si="1523"/>
        <v/>
      </c>
      <c r="I1431" s="311">
        <f t="shared" si="1524"/>
        <v>15.41</v>
      </c>
      <c r="J1431" s="311" t="str">
        <f t="shared" si="1525"/>
        <v/>
      </c>
      <c r="K1431" s="311" t="str">
        <f t="shared" si="1526"/>
        <v/>
      </c>
      <c r="L1431" s="310" t="str">
        <f t="shared" si="1527"/>
        <v/>
      </c>
      <c r="M1431" s="310" t="str">
        <f t="shared" si="1528"/>
        <v/>
      </c>
      <c r="N1431" s="311" t="str">
        <f t="shared" si="1529"/>
        <v/>
      </c>
    </row>
    <row r="1432" spans="1:14" ht="16.5">
      <c r="A1432" s="305"/>
      <c r="B1432" s="254"/>
      <c r="C1432" s="299"/>
      <c r="D1432" s="299"/>
      <c r="E1432" s="300"/>
      <c r="F1432" s="300"/>
      <c r="G1432" s="302"/>
      <c r="H1432" s="310"/>
      <c r="I1432" s="311"/>
      <c r="J1432" s="311"/>
      <c r="K1432" s="311"/>
      <c r="L1432" s="310"/>
      <c r="M1432" s="310"/>
      <c r="N1432" s="311"/>
    </row>
    <row r="1433" spans="1:14" ht="16.5">
      <c r="A1433" s="303" t="s">
        <v>1390</v>
      </c>
      <c r="B1433" s="254"/>
      <c r="C1433" s="299"/>
      <c r="D1433" s="299"/>
      <c r="E1433" s="300"/>
      <c r="F1433" s="300"/>
      <c r="G1433" s="302"/>
      <c r="H1433" s="310"/>
      <c r="I1433" s="311"/>
      <c r="J1433" s="311"/>
      <c r="K1433" s="311"/>
      <c r="L1433" s="310"/>
      <c r="M1433" s="310"/>
      <c r="N1433" s="311"/>
    </row>
    <row r="1434" spans="1:14" s="294" customFormat="1">
      <c r="A1434" s="297" t="s">
        <v>1515</v>
      </c>
      <c r="B1434" s="298"/>
      <c r="C1434" s="299" t="s">
        <v>1519</v>
      </c>
      <c r="D1434" s="299">
        <v>1</v>
      </c>
      <c r="E1434" s="300">
        <v>6</v>
      </c>
      <c r="F1434" s="300">
        <f>E1434*D1434</f>
        <v>6</v>
      </c>
      <c r="G1434" s="299">
        <f>(4.78)+17*0.01*2</f>
        <v>5.12</v>
      </c>
      <c r="H1434" s="310" t="str">
        <f t="shared" ref="H1434:H1437" si="1531">IF(C1434="T6",G1434*F1434,"")</f>
        <v/>
      </c>
      <c r="I1434" s="311" t="str">
        <f t="shared" ref="I1434:I1437" si="1532">IF(C1434="T8",F1434*G1434,"")</f>
        <v/>
      </c>
      <c r="J1434" s="311">
        <f t="shared" ref="J1434:J1437" si="1533">IF(C1434="T10",F1434*G1434,"")</f>
        <v>30.72</v>
      </c>
      <c r="K1434" s="311" t="str">
        <f t="shared" ref="K1434:K1437" si="1534">IF(C1434="T12",F1434*G1434,"")</f>
        <v/>
      </c>
      <c r="L1434" s="310" t="str">
        <f t="shared" ref="L1434:L1437" si="1535">IF(C1434="T14",F1434*G1434,"")</f>
        <v/>
      </c>
      <c r="M1434" s="310" t="str">
        <f t="shared" ref="M1434:M1437" si="1536">IF(C1434="T16",G1434*F1434,"")</f>
        <v/>
      </c>
      <c r="N1434" s="311" t="str">
        <f t="shared" ref="N1434:N1437" si="1537">IF(C1434="T20",G1434*F1434,"")</f>
        <v/>
      </c>
    </row>
    <row r="1435" spans="1:14" s="294" customFormat="1">
      <c r="A1435" s="297" t="s">
        <v>1515</v>
      </c>
      <c r="B1435" s="298"/>
      <c r="C1435" s="299" t="s">
        <v>1516</v>
      </c>
      <c r="D1435" s="299">
        <v>1</v>
      </c>
      <c r="E1435" s="300">
        <v>3</v>
      </c>
      <c r="F1435" s="300">
        <f>E1435*D1435</f>
        <v>3</v>
      </c>
      <c r="G1435" s="299">
        <f>(4.78)+17*0.012*2</f>
        <v>5.1879999999999997</v>
      </c>
      <c r="H1435" s="310" t="str">
        <f t="shared" si="1531"/>
        <v/>
      </c>
      <c r="I1435" s="311" t="str">
        <f t="shared" si="1532"/>
        <v/>
      </c>
      <c r="J1435" s="311" t="str">
        <f t="shared" si="1533"/>
        <v/>
      </c>
      <c r="K1435" s="311">
        <f t="shared" si="1534"/>
        <v>15.56</v>
      </c>
      <c r="L1435" s="310" t="str">
        <f t="shared" si="1535"/>
        <v/>
      </c>
      <c r="M1435" s="310" t="str">
        <f t="shared" si="1536"/>
        <v/>
      </c>
      <c r="N1435" s="311" t="str">
        <f t="shared" si="1537"/>
        <v/>
      </c>
    </row>
    <row r="1436" spans="1:14" s="294" customFormat="1">
      <c r="A1436" s="297" t="s">
        <v>1494</v>
      </c>
      <c r="B1436" s="301"/>
      <c r="C1436" s="299" t="s">
        <v>1496</v>
      </c>
      <c r="D1436" s="299">
        <v>1</v>
      </c>
      <c r="E1436" s="300">
        <f>4.78/0.15</f>
        <v>32</v>
      </c>
      <c r="F1436" s="300">
        <f t="shared" ref="F1436:F1437" si="1538">E1436*D1436</f>
        <v>32</v>
      </c>
      <c r="G1436" s="302">
        <f>(0.2+0.2)*2+17*0.008*2</f>
        <v>1.07</v>
      </c>
      <c r="H1436" s="310" t="str">
        <f t="shared" si="1531"/>
        <v/>
      </c>
      <c r="I1436" s="311">
        <f t="shared" si="1532"/>
        <v>34.24</v>
      </c>
      <c r="J1436" s="311" t="str">
        <f t="shared" si="1533"/>
        <v/>
      </c>
      <c r="K1436" s="311" t="str">
        <f t="shared" si="1534"/>
        <v/>
      </c>
      <c r="L1436" s="310" t="str">
        <f t="shared" si="1535"/>
        <v/>
      </c>
      <c r="M1436" s="310" t="str">
        <f t="shared" si="1536"/>
        <v/>
      </c>
      <c r="N1436" s="311" t="str">
        <f t="shared" si="1537"/>
        <v/>
      </c>
    </row>
    <row r="1437" spans="1:14" s="294" customFormat="1">
      <c r="A1437" s="297" t="s">
        <v>1517</v>
      </c>
      <c r="B1437" s="301"/>
      <c r="C1437" s="299" t="s">
        <v>1496</v>
      </c>
      <c r="D1437" s="299">
        <v>1</v>
      </c>
      <c r="E1437" s="300">
        <v>32</v>
      </c>
      <c r="F1437" s="300">
        <f t="shared" si="1538"/>
        <v>32</v>
      </c>
      <c r="G1437" s="302">
        <f>(0.2*2)+17*0.008*2</f>
        <v>0.67</v>
      </c>
      <c r="H1437" s="310" t="str">
        <f t="shared" si="1531"/>
        <v/>
      </c>
      <c r="I1437" s="311">
        <f t="shared" si="1532"/>
        <v>21.44</v>
      </c>
      <c r="J1437" s="311" t="str">
        <f t="shared" si="1533"/>
        <v/>
      </c>
      <c r="K1437" s="311" t="str">
        <f t="shared" si="1534"/>
        <v/>
      </c>
      <c r="L1437" s="310" t="str">
        <f t="shared" si="1535"/>
        <v/>
      </c>
      <c r="M1437" s="310" t="str">
        <f t="shared" si="1536"/>
        <v/>
      </c>
      <c r="N1437" s="311" t="str">
        <f t="shared" si="1537"/>
        <v/>
      </c>
    </row>
    <row r="1438" spans="1:14" ht="16.5">
      <c r="A1438" s="305"/>
      <c r="B1438" s="254"/>
      <c r="C1438" s="299"/>
      <c r="D1438" s="299"/>
      <c r="E1438" s="300"/>
      <c r="F1438" s="300"/>
      <c r="G1438" s="302"/>
      <c r="H1438" s="310"/>
      <c r="I1438" s="311"/>
      <c r="J1438" s="311"/>
      <c r="K1438" s="311"/>
      <c r="L1438" s="310"/>
      <c r="M1438" s="310"/>
      <c r="N1438" s="311"/>
    </row>
    <row r="1439" spans="1:14" ht="16.5">
      <c r="A1439" s="303" t="s">
        <v>1388</v>
      </c>
      <c r="B1439" s="254"/>
      <c r="C1439" s="299"/>
      <c r="D1439" s="299"/>
      <c r="E1439" s="300"/>
      <c r="F1439" s="300"/>
      <c r="G1439" s="302"/>
      <c r="H1439" s="310"/>
      <c r="I1439" s="311"/>
      <c r="J1439" s="311"/>
      <c r="K1439" s="311"/>
      <c r="L1439" s="310"/>
      <c r="M1439" s="310"/>
      <c r="N1439" s="311"/>
    </row>
    <row r="1440" spans="1:14" s="294" customFormat="1">
      <c r="A1440" s="297" t="s">
        <v>1515</v>
      </c>
      <c r="B1440" s="298"/>
      <c r="C1440" s="299" t="s">
        <v>1519</v>
      </c>
      <c r="D1440" s="299">
        <v>1</v>
      </c>
      <c r="E1440" s="300">
        <v>3</v>
      </c>
      <c r="F1440" s="300">
        <f>E1440*D1440</f>
        <v>3</v>
      </c>
      <c r="G1440" s="299">
        <f>(2.5)+17*0.01*2</f>
        <v>2.84</v>
      </c>
      <c r="H1440" s="310" t="str">
        <f t="shared" ref="H1440:H1443" si="1539">IF(C1440="T6",G1440*F1440,"")</f>
        <v/>
      </c>
      <c r="I1440" s="311" t="str">
        <f t="shared" ref="I1440:I1443" si="1540">IF(C1440="T8",F1440*G1440,"")</f>
        <v/>
      </c>
      <c r="J1440" s="311">
        <f t="shared" ref="J1440:J1443" si="1541">IF(C1440="T10",F1440*G1440,"")</f>
        <v>8.52</v>
      </c>
      <c r="K1440" s="311" t="str">
        <f t="shared" ref="K1440:K1443" si="1542">IF(C1440="T12",F1440*G1440,"")</f>
        <v/>
      </c>
      <c r="L1440" s="310" t="str">
        <f t="shared" ref="L1440:L1443" si="1543">IF(C1440="T14",F1440*G1440,"")</f>
        <v/>
      </c>
      <c r="M1440" s="310" t="str">
        <f t="shared" ref="M1440:M1443" si="1544">IF(C1440="T16",G1440*F1440,"")</f>
        <v/>
      </c>
      <c r="N1440" s="311" t="str">
        <f t="shared" ref="N1440:N1443" si="1545">IF(C1440="T20",G1440*F1440,"")</f>
        <v/>
      </c>
    </row>
    <row r="1441" spans="1:14" s="294" customFormat="1">
      <c r="A1441" s="297" t="s">
        <v>1515</v>
      </c>
      <c r="B1441" s="298"/>
      <c r="C1441" s="299" t="s">
        <v>1492</v>
      </c>
      <c r="D1441" s="299">
        <v>1</v>
      </c>
      <c r="E1441" s="300">
        <v>3</v>
      </c>
      <c r="F1441" s="300">
        <f>E1441*D1441</f>
        <v>3</v>
      </c>
      <c r="G1441" s="299">
        <f>(2.5)+17*0.014*2</f>
        <v>2.976</v>
      </c>
      <c r="H1441" s="310" t="str">
        <f t="shared" si="1539"/>
        <v/>
      </c>
      <c r="I1441" s="311" t="str">
        <f t="shared" si="1540"/>
        <v/>
      </c>
      <c r="J1441" s="311" t="str">
        <f t="shared" si="1541"/>
        <v/>
      </c>
      <c r="K1441" s="311" t="str">
        <f t="shared" si="1542"/>
        <v/>
      </c>
      <c r="L1441" s="310">
        <f t="shared" si="1543"/>
        <v>8.93</v>
      </c>
      <c r="M1441" s="310" t="str">
        <f t="shared" si="1544"/>
        <v/>
      </c>
      <c r="N1441" s="311" t="str">
        <f t="shared" si="1545"/>
        <v/>
      </c>
    </row>
    <row r="1442" spans="1:14" s="294" customFormat="1">
      <c r="A1442" s="297" t="s">
        <v>1494</v>
      </c>
      <c r="B1442" s="301"/>
      <c r="C1442" s="299" t="s">
        <v>1496</v>
      </c>
      <c r="D1442" s="299">
        <v>1</v>
      </c>
      <c r="E1442" s="300">
        <f>2.5/0.15</f>
        <v>17</v>
      </c>
      <c r="F1442" s="300">
        <f t="shared" ref="F1442:F1443" si="1546">E1442*D1442</f>
        <v>17</v>
      </c>
      <c r="G1442" s="302">
        <f>(0.2+0.15)*2+17*0.008*2</f>
        <v>0.97</v>
      </c>
      <c r="H1442" s="310" t="str">
        <f t="shared" si="1539"/>
        <v/>
      </c>
      <c r="I1442" s="311">
        <f t="shared" si="1540"/>
        <v>16.489999999999998</v>
      </c>
      <c r="J1442" s="311" t="str">
        <f t="shared" si="1541"/>
        <v/>
      </c>
      <c r="K1442" s="311" t="str">
        <f t="shared" si="1542"/>
        <v/>
      </c>
      <c r="L1442" s="310" t="str">
        <f t="shared" si="1543"/>
        <v/>
      </c>
      <c r="M1442" s="310" t="str">
        <f t="shared" si="1544"/>
        <v/>
      </c>
      <c r="N1442" s="311" t="str">
        <f t="shared" si="1545"/>
        <v/>
      </c>
    </row>
    <row r="1443" spans="1:14" s="294" customFormat="1">
      <c r="A1443" s="297" t="s">
        <v>1517</v>
      </c>
      <c r="B1443" s="301"/>
      <c r="C1443" s="299" t="s">
        <v>1496</v>
      </c>
      <c r="D1443" s="299">
        <v>1</v>
      </c>
      <c r="E1443" s="300">
        <v>17</v>
      </c>
      <c r="F1443" s="300">
        <f t="shared" si="1546"/>
        <v>17</v>
      </c>
      <c r="G1443" s="302">
        <f>(0.2*2)+17*0.008*2</f>
        <v>0.67</v>
      </c>
      <c r="H1443" s="310" t="str">
        <f t="shared" si="1539"/>
        <v/>
      </c>
      <c r="I1443" s="311">
        <f t="shared" si="1540"/>
        <v>11.39</v>
      </c>
      <c r="J1443" s="311" t="str">
        <f t="shared" si="1541"/>
        <v/>
      </c>
      <c r="K1443" s="311" t="str">
        <f t="shared" si="1542"/>
        <v/>
      </c>
      <c r="L1443" s="310" t="str">
        <f t="shared" si="1543"/>
        <v/>
      </c>
      <c r="M1443" s="310" t="str">
        <f t="shared" si="1544"/>
        <v/>
      </c>
      <c r="N1443" s="311" t="str">
        <f t="shared" si="1545"/>
        <v/>
      </c>
    </row>
    <row r="1444" spans="1:14" ht="16.5">
      <c r="A1444" s="305"/>
      <c r="B1444" s="254"/>
      <c r="C1444" s="299"/>
      <c r="D1444" s="299"/>
      <c r="E1444" s="300"/>
      <c r="F1444" s="300"/>
      <c r="G1444" s="302"/>
      <c r="H1444" s="310"/>
      <c r="I1444" s="311"/>
      <c r="J1444" s="311"/>
      <c r="K1444" s="311"/>
      <c r="L1444" s="310"/>
      <c r="M1444" s="310"/>
      <c r="N1444" s="311"/>
    </row>
    <row r="1445" spans="1:14" ht="16.5">
      <c r="A1445" s="303" t="s">
        <v>1388</v>
      </c>
      <c r="B1445" s="254"/>
      <c r="C1445" s="299"/>
      <c r="D1445" s="299"/>
      <c r="E1445" s="300"/>
      <c r="F1445" s="300"/>
      <c r="G1445" s="302"/>
      <c r="H1445" s="310"/>
      <c r="I1445" s="311"/>
      <c r="J1445" s="311"/>
      <c r="K1445" s="311"/>
      <c r="L1445" s="310"/>
      <c r="M1445" s="310"/>
      <c r="N1445" s="311"/>
    </row>
    <row r="1446" spans="1:14" s="294" customFormat="1">
      <c r="A1446" s="297" t="s">
        <v>1515</v>
      </c>
      <c r="B1446" s="298"/>
      <c r="C1446" s="299" t="s">
        <v>1519</v>
      </c>
      <c r="D1446" s="299">
        <v>1</v>
      </c>
      <c r="E1446" s="300">
        <v>3</v>
      </c>
      <c r="F1446" s="300">
        <f>E1446*D1446</f>
        <v>3</v>
      </c>
      <c r="G1446" s="299">
        <f>(3.42)+17*0.01*2</f>
        <v>3.76</v>
      </c>
      <c r="H1446" s="310" t="str">
        <f t="shared" ref="H1446:H1449" si="1547">IF(C1446="T6",G1446*F1446,"")</f>
        <v/>
      </c>
      <c r="I1446" s="311" t="str">
        <f t="shared" ref="I1446:I1449" si="1548">IF(C1446="T8",F1446*G1446,"")</f>
        <v/>
      </c>
      <c r="J1446" s="311">
        <f t="shared" ref="J1446:J1449" si="1549">IF(C1446="T10",F1446*G1446,"")</f>
        <v>11.28</v>
      </c>
      <c r="K1446" s="311" t="str">
        <f t="shared" ref="K1446:K1449" si="1550">IF(C1446="T12",F1446*G1446,"")</f>
        <v/>
      </c>
      <c r="L1446" s="310" t="str">
        <f t="shared" ref="L1446:L1449" si="1551">IF(C1446="T14",F1446*G1446,"")</f>
        <v/>
      </c>
      <c r="M1446" s="310" t="str">
        <f t="shared" ref="M1446:M1449" si="1552">IF(C1446="T16",G1446*F1446,"")</f>
        <v/>
      </c>
      <c r="N1446" s="311" t="str">
        <f t="shared" ref="N1446:N1449" si="1553">IF(C1446="T20",G1446*F1446,"")</f>
        <v/>
      </c>
    </row>
    <row r="1447" spans="1:14" s="294" customFormat="1">
      <c r="A1447" s="297" t="s">
        <v>1515</v>
      </c>
      <c r="B1447" s="298"/>
      <c r="C1447" s="299" t="s">
        <v>1492</v>
      </c>
      <c r="D1447" s="299">
        <v>1</v>
      </c>
      <c r="E1447" s="300">
        <v>3</v>
      </c>
      <c r="F1447" s="300">
        <f>E1447*D1447</f>
        <v>3</v>
      </c>
      <c r="G1447" s="299">
        <f>(3.42)+17*0.014*2</f>
        <v>3.8959999999999999</v>
      </c>
      <c r="H1447" s="310" t="str">
        <f t="shared" si="1547"/>
        <v/>
      </c>
      <c r="I1447" s="311" t="str">
        <f t="shared" si="1548"/>
        <v/>
      </c>
      <c r="J1447" s="311" t="str">
        <f t="shared" si="1549"/>
        <v/>
      </c>
      <c r="K1447" s="311" t="str">
        <f t="shared" si="1550"/>
        <v/>
      </c>
      <c r="L1447" s="310">
        <f t="shared" si="1551"/>
        <v>11.69</v>
      </c>
      <c r="M1447" s="310" t="str">
        <f t="shared" si="1552"/>
        <v/>
      </c>
      <c r="N1447" s="311" t="str">
        <f t="shared" si="1553"/>
        <v/>
      </c>
    </row>
    <row r="1448" spans="1:14" s="294" customFormat="1">
      <c r="A1448" s="297" t="s">
        <v>1494</v>
      </c>
      <c r="B1448" s="301"/>
      <c r="C1448" s="299" t="s">
        <v>1496</v>
      </c>
      <c r="D1448" s="299">
        <v>1</v>
      </c>
      <c r="E1448" s="300">
        <f>3.42/0.15</f>
        <v>23</v>
      </c>
      <c r="F1448" s="300">
        <f t="shared" ref="F1448:F1449" si="1554">E1448*D1448</f>
        <v>23</v>
      </c>
      <c r="G1448" s="302">
        <f>(0.2+0.15)*2+17*0.008*2</f>
        <v>0.97</v>
      </c>
      <c r="H1448" s="310" t="str">
        <f t="shared" si="1547"/>
        <v/>
      </c>
      <c r="I1448" s="311">
        <f t="shared" si="1548"/>
        <v>22.31</v>
      </c>
      <c r="J1448" s="311" t="str">
        <f t="shared" si="1549"/>
        <v/>
      </c>
      <c r="K1448" s="311" t="str">
        <f t="shared" si="1550"/>
        <v/>
      </c>
      <c r="L1448" s="310" t="str">
        <f t="shared" si="1551"/>
        <v/>
      </c>
      <c r="M1448" s="310" t="str">
        <f t="shared" si="1552"/>
        <v/>
      </c>
      <c r="N1448" s="311" t="str">
        <f t="shared" si="1553"/>
        <v/>
      </c>
    </row>
    <row r="1449" spans="1:14" s="294" customFormat="1">
      <c r="A1449" s="297" t="s">
        <v>1517</v>
      </c>
      <c r="B1449" s="301"/>
      <c r="C1449" s="299" t="s">
        <v>1496</v>
      </c>
      <c r="D1449" s="299">
        <v>1</v>
      </c>
      <c r="E1449" s="300">
        <f>3.42/0.15</f>
        <v>23</v>
      </c>
      <c r="F1449" s="300">
        <f t="shared" si="1554"/>
        <v>23</v>
      </c>
      <c r="G1449" s="302">
        <f>(0.2*2)+17*0.008*2</f>
        <v>0.67</v>
      </c>
      <c r="H1449" s="310" t="str">
        <f t="shared" si="1547"/>
        <v/>
      </c>
      <c r="I1449" s="311">
        <f t="shared" si="1548"/>
        <v>15.41</v>
      </c>
      <c r="J1449" s="311" t="str">
        <f t="shared" si="1549"/>
        <v/>
      </c>
      <c r="K1449" s="311" t="str">
        <f t="shared" si="1550"/>
        <v/>
      </c>
      <c r="L1449" s="310" t="str">
        <f t="shared" si="1551"/>
        <v/>
      </c>
      <c r="M1449" s="310" t="str">
        <f t="shared" si="1552"/>
        <v/>
      </c>
      <c r="N1449" s="311" t="str">
        <f t="shared" si="1553"/>
        <v/>
      </c>
    </row>
    <row r="1450" spans="1:14" ht="16.5">
      <c r="A1450" s="305"/>
      <c r="B1450" s="254"/>
      <c r="C1450" s="299"/>
      <c r="D1450" s="299"/>
      <c r="E1450" s="300"/>
      <c r="F1450" s="300"/>
      <c r="G1450" s="302"/>
      <c r="H1450" s="310"/>
      <c r="I1450" s="311"/>
      <c r="J1450" s="311"/>
      <c r="K1450" s="311"/>
      <c r="L1450" s="310"/>
      <c r="M1450" s="310"/>
      <c r="N1450" s="311"/>
    </row>
    <row r="1451" spans="1:14" ht="16.5">
      <c r="A1451" s="303" t="s">
        <v>1390</v>
      </c>
      <c r="B1451" s="254"/>
      <c r="C1451" s="299"/>
      <c r="D1451" s="299"/>
      <c r="E1451" s="300"/>
      <c r="F1451" s="300"/>
      <c r="G1451" s="302"/>
      <c r="H1451" s="310"/>
      <c r="I1451" s="311"/>
      <c r="J1451" s="311"/>
      <c r="K1451" s="311"/>
      <c r="L1451" s="310"/>
      <c r="M1451" s="310"/>
      <c r="N1451" s="311"/>
    </row>
    <row r="1452" spans="1:14" s="294" customFormat="1">
      <c r="A1452" s="297" t="s">
        <v>1515</v>
      </c>
      <c r="B1452" s="298"/>
      <c r="C1452" s="299" t="s">
        <v>1519</v>
      </c>
      <c r="D1452" s="299">
        <v>1</v>
      </c>
      <c r="E1452" s="300">
        <v>6</v>
      </c>
      <c r="F1452" s="300">
        <f>E1452*D1452</f>
        <v>6</v>
      </c>
      <c r="G1452" s="299">
        <f>(4.78)+17*0.01*2</f>
        <v>5.12</v>
      </c>
      <c r="H1452" s="310" t="str">
        <f t="shared" ref="H1452:H1455" si="1555">IF(C1452="T6",G1452*F1452,"")</f>
        <v/>
      </c>
      <c r="I1452" s="311" t="str">
        <f t="shared" ref="I1452:I1455" si="1556">IF(C1452="T8",F1452*G1452,"")</f>
        <v/>
      </c>
      <c r="J1452" s="311">
        <f t="shared" ref="J1452:J1455" si="1557">IF(C1452="T10",F1452*G1452,"")</f>
        <v>30.72</v>
      </c>
      <c r="K1452" s="311" t="str">
        <f t="shared" ref="K1452:K1455" si="1558">IF(C1452="T12",F1452*G1452,"")</f>
        <v/>
      </c>
      <c r="L1452" s="310" t="str">
        <f t="shared" ref="L1452:L1455" si="1559">IF(C1452="T14",F1452*G1452,"")</f>
        <v/>
      </c>
      <c r="M1452" s="310" t="str">
        <f t="shared" ref="M1452:M1455" si="1560">IF(C1452="T16",G1452*F1452,"")</f>
        <v/>
      </c>
      <c r="N1452" s="311" t="str">
        <f t="shared" ref="N1452:N1455" si="1561">IF(C1452="T20",G1452*F1452,"")</f>
        <v/>
      </c>
    </row>
    <row r="1453" spans="1:14" s="294" customFormat="1">
      <c r="A1453" s="297" t="s">
        <v>1515</v>
      </c>
      <c r="B1453" s="298"/>
      <c r="C1453" s="299" t="s">
        <v>1516</v>
      </c>
      <c r="D1453" s="299">
        <v>1</v>
      </c>
      <c r="E1453" s="300">
        <v>3</v>
      </c>
      <c r="F1453" s="300">
        <f>E1453*D1453</f>
        <v>3</v>
      </c>
      <c r="G1453" s="299">
        <f>(4.78)+17*0.012*2</f>
        <v>5.1879999999999997</v>
      </c>
      <c r="H1453" s="310" t="str">
        <f t="shared" si="1555"/>
        <v/>
      </c>
      <c r="I1453" s="311" t="str">
        <f t="shared" si="1556"/>
        <v/>
      </c>
      <c r="J1453" s="311" t="str">
        <f t="shared" si="1557"/>
        <v/>
      </c>
      <c r="K1453" s="311">
        <f t="shared" si="1558"/>
        <v>15.56</v>
      </c>
      <c r="L1453" s="310" t="str">
        <f t="shared" si="1559"/>
        <v/>
      </c>
      <c r="M1453" s="310" t="str">
        <f t="shared" si="1560"/>
        <v/>
      </c>
      <c r="N1453" s="311" t="str">
        <f t="shared" si="1561"/>
        <v/>
      </c>
    </row>
    <row r="1454" spans="1:14" s="294" customFormat="1">
      <c r="A1454" s="297" t="s">
        <v>1494</v>
      </c>
      <c r="B1454" s="301"/>
      <c r="C1454" s="299" t="s">
        <v>1496</v>
      </c>
      <c r="D1454" s="299">
        <v>1</v>
      </c>
      <c r="E1454" s="300">
        <f>4.78/0.15</f>
        <v>32</v>
      </c>
      <c r="F1454" s="300">
        <f t="shared" ref="F1454:F1455" si="1562">E1454*D1454</f>
        <v>32</v>
      </c>
      <c r="G1454" s="302">
        <f>(0.2+0.2)*2+17*0.008*2</f>
        <v>1.07</v>
      </c>
      <c r="H1454" s="310" t="str">
        <f t="shared" si="1555"/>
        <v/>
      </c>
      <c r="I1454" s="311">
        <f t="shared" si="1556"/>
        <v>34.24</v>
      </c>
      <c r="J1454" s="311" t="str">
        <f t="shared" si="1557"/>
        <v/>
      </c>
      <c r="K1454" s="311" t="str">
        <f t="shared" si="1558"/>
        <v/>
      </c>
      <c r="L1454" s="310" t="str">
        <f t="shared" si="1559"/>
        <v/>
      </c>
      <c r="M1454" s="310" t="str">
        <f t="shared" si="1560"/>
        <v/>
      </c>
      <c r="N1454" s="311" t="str">
        <f t="shared" si="1561"/>
        <v/>
      </c>
    </row>
    <row r="1455" spans="1:14" s="294" customFormat="1">
      <c r="A1455" s="297" t="s">
        <v>1517</v>
      </c>
      <c r="B1455" s="301"/>
      <c r="C1455" s="299" t="s">
        <v>1496</v>
      </c>
      <c r="D1455" s="299">
        <v>1</v>
      </c>
      <c r="E1455" s="300">
        <v>32</v>
      </c>
      <c r="F1455" s="300">
        <f t="shared" si="1562"/>
        <v>32</v>
      </c>
      <c r="G1455" s="302">
        <f>(0.2*2)+17*0.008*2</f>
        <v>0.67</v>
      </c>
      <c r="H1455" s="310" t="str">
        <f t="shared" si="1555"/>
        <v/>
      </c>
      <c r="I1455" s="311">
        <f t="shared" si="1556"/>
        <v>21.44</v>
      </c>
      <c r="J1455" s="311" t="str">
        <f t="shared" si="1557"/>
        <v/>
      </c>
      <c r="K1455" s="311" t="str">
        <f t="shared" si="1558"/>
        <v/>
      </c>
      <c r="L1455" s="310" t="str">
        <f t="shared" si="1559"/>
        <v/>
      </c>
      <c r="M1455" s="310" t="str">
        <f t="shared" si="1560"/>
        <v/>
      </c>
      <c r="N1455" s="311" t="str">
        <f t="shared" si="1561"/>
        <v/>
      </c>
    </row>
    <row r="1456" spans="1:14" ht="16.5">
      <c r="A1456" s="305"/>
      <c r="B1456" s="254"/>
      <c r="C1456" s="299"/>
      <c r="D1456" s="299"/>
      <c r="E1456" s="300"/>
      <c r="F1456" s="300"/>
      <c r="G1456" s="302"/>
      <c r="H1456" s="310"/>
      <c r="I1456" s="311"/>
      <c r="J1456" s="311"/>
      <c r="K1456" s="311"/>
      <c r="L1456" s="310"/>
      <c r="M1456" s="310"/>
      <c r="N1456" s="311"/>
    </row>
    <row r="1457" spans="1:14" ht="16.5">
      <c r="A1457" s="303" t="s">
        <v>1388</v>
      </c>
      <c r="B1457" s="254"/>
      <c r="C1457" s="299"/>
      <c r="D1457" s="299"/>
      <c r="E1457" s="300"/>
      <c r="F1457" s="300"/>
      <c r="G1457" s="302"/>
      <c r="H1457" s="310"/>
      <c r="I1457" s="311"/>
      <c r="J1457" s="311"/>
      <c r="K1457" s="311"/>
      <c r="L1457" s="310"/>
      <c r="M1457" s="310"/>
      <c r="N1457" s="311"/>
    </row>
    <row r="1458" spans="1:14" s="294" customFormat="1">
      <c r="A1458" s="297" t="s">
        <v>1515</v>
      </c>
      <c r="B1458" s="298"/>
      <c r="C1458" s="299" t="s">
        <v>1519</v>
      </c>
      <c r="D1458" s="299">
        <v>1</v>
      </c>
      <c r="E1458" s="300">
        <v>3</v>
      </c>
      <c r="F1458" s="300">
        <f>E1458*D1458</f>
        <v>3</v>
      </c>
      <c r="G1458" s="299">
        <f>(2.5)+17*0.01*2</f>
        <v>2.84</v>
      </c>
      <c r="H1458" s="310" t="str">
        <f t="shared" ref="H1458:H1461" si="1563">IF(C1458="T6",G1458*F1458,"")</f>
        <v/>
      </c>
      <c r="I1458" s="311" t="str">
        <f t="shared" ref="I1458:I1461" si="1564">IF(C1458="T8",F1458*G1458,"")</f>
        <v/>
      </c>
      <c r="J1458" s="311">
        <f t="shared" ref="J1458:J1461" si="1565">IF(C1458="T10",F1458*G1458,"")</f>
        <v>8.52</v>
      </c>
      <c r="K1458" s="311" t="str">
        <f t="shared" ref="K1458:K1461" si="1566">IF(C1458="T12",F1458*G1458,"")</f>
        <v/>
      </c>
      <c r="L1458" s="310" t="str">
        <f t="shared" ref="L1458:L1461" si="1567">IF(C1458="T14",F1458*G1458,"")</f>
        <v/>
      </c>
      <c r="M1458" s="310" t="str">
        <f t="shared" ref="M1458:M1461" si="1568">IF(C1458="T16",G1458*F1458,"")</f>
        <v/>
      </c>
      <c r="N1458" s="311" t="str">
        <f t="shared" ref="N1458:N1461" si="1569">IF(C1458="T20",G1458*F1458,"")</f>
        <v/>
      </c>
    </row>
    <row r="1459" spans="1:14" s="294" customFormat="1">
      <c r="A1459" s="297" t="s">
        <v>1515</v>
      </c>
      <c r="B1459" s="298"/>
      <c r="C1459" s="299" t="s">
        <v>1492</v>
      </c>
      <c r="D1459" s="299">
        <v>1</v>
      </c>
      <c r="E1459" s="300">
        <v>3</v>
      </c>
      <c r="F1459" s="300">
        <f>E1459*D1459</f>
        <v>3</v>
      </c>
      <c r="G1459" s="299">
        <f>(2.5)+17*0.014*2</f>
        <v>2.976</v>
      </c>
      <c r="H1459" s="310" t="str">
        <f t="shared" si="1563"/>
        <v/>
      </c>
      <c r="I1459" s="311" t="str">
        <f t="shared" si="1564"/>
        <v/>
      </c>
      <c r="J1459" s="311" t="str">
        <f t="shared" si="1565"/>
        <v/>
      </c>
      <c r="K1459" s="311" t="str">
        <f t="shared" si="1566"/>
        <v/>
      </c>
      <c r="L1459" s="310">
        <f t="shared" si="1567"/>
        <v>8.93</v>
      </c>
      <c r="M1459" s="310" t="str">
        <f t="shared" si="1568"/>
        <v/>
      </c>
      <c r="N1459" s="311" t="str">
        <f t="shared" si="1569"/>
        <v/>
      </c>
    </row>
    <row r="1460" spans="1:14" s="294" customFormat="1">
      <c r="A1460" s="297" t="s">
        <v>1494</v>
      </c>
      <c r="B1460" s="301"/>
      <c r="C1460" s="299" t="s">
        <v>1496</v>
      </c>
      <c r="D1460" s="299">
        <v>1</v>
      </c>
      <c r="E1460" s="300">
        <f>2.5/0.15</f>
        <v>17</v>
      </c>
      <c r="F1460" s="300">
        <f t="shared" ref="F1460:F1461" si="1570">E1460*D1460</f>
        <v>17</v>
      </c>
      <c r="G1460" s="302">
        <f>(0.2+0.15)*2+17*0.008*2</f>
        <v>0.97</v>
      </c>
      <c r="H1460" s="310" t="str">
        <f t="shared" si="1563"/>
        <v/>
      </c>
      <c r="I1460" s="311">
        <f t="shared" si="1564"/>
        <v>16.489999999999998</v>
      </c>
      <c r="J1460" s="311" t="str">
        <f t="shared" si="1565"/>
        <v/>
      </c>
      <c r="K1460" s="311" t="str">
        <f t="shared" si="1566"/>
        <v/>
      </c>
      <c r="L1460" s="310" t="str">
        <f t="shared" si="1567"/>
        <v/>
      </c>
      <c r="M1460" s="310" t="str">
        <f t="shared" si="1568"/>
        <v/>
      </c>
      <c r="N1460" s="311" t="str">
        <f t="shared" si="1569"/>
        <v/>
      </c>
    </row>
    <row r="1461" spans="1:14" s="294" customFormat="1">
      <c r="A1461" s="297" t="s">
        <v>1517</v>
      </c>
      <c r="B1461" s="301"/>
      <c r="C1461" s="299" t="s">
        <v>1496</v>
      </c>
      <c r="D1461" s="299">
        <v>1</v>
      </c>
      <c r="E1461" s="300">
        <v>17</v>
      </c>
      <c r="F1461" s="300">
        <f t="shared" si="1570"/>
        <v>17</v>
      </c>
      <c r="G1461" s="302">
        <f>(0.2*2)+17*0.008*2</f>
        <v>0.67</v>
      </c>
      <c r="H1461" s="310" t="str">
        <f t="shared" si="1563"/>
        <v/>
      </c>
      <c r="I1461" s="311">
        <f t="shared" si="1564"/>
        <v>11.39</v>
      </c>
      <c r="J1461" s="311" t="str">
        <f t="shared" si="1565"/>
        <v/>
      </c>
      <c r="K1461" s="311" t="str">
        <f t="shared" si="1566"/>
        <v/>
      </c>
      <c r="L1461" s="310" t="str">
        <f t="shared" si="1567"/>
        <v/>
      </c>
      <c r="M1461" s="310" t="str">
        <f t="shared" si="1568"/>
        <v/>
      </c>
      <c r="N1461" s="311" t="str">
        <f t="shared" si="1569"/>
        <v/>
      </c>
    </row>
    <row r="1462" spans="1:14">
      <c r="A1462" s="253"/>
      <c r="B1462" s="254"/>
      <c r="C1462" s="299"/>
      <c r="D1462" s="299"/>
      <c r="E1462" s="300"/>
      <c r="F1462" s="300"/>
      <c r="G1462" s="302"/>
      <c r="H1462" s="310"/>
      <c r="I1462" s="311"/>
      <c r="J1462" s="311"/>
      <c r="K1462" s="311"/>
      <c r="L1462" s="310"/>
      <c r="M1462" s="310"/>
      <c r="N1462" s="311"/>
    </row>
    <row r="1463" spans="1:14" ht="16.5">
      <c r="A1463" s="303" t="s">
        <v>1391</v>
      </c>
      <c r="B1463" s="254"/>
      <c r="C1463" s="299"/>
      <c r="D1463" s="299"/>
      <c r="E1463" s="300"/>
      <c r="F1463" s="300"/>
      <c r="G1463" s="302"/>
      <c r="H1463" s="310"/>
      <c r="I1463" s="311"/>
      <c r="J1463" s="311"/>
      <c r="K1463" s="311"/>
      <c r="L1463" s="310"/>
      <c r="M1463" s="310"/>
      <c r="N1463" s="311"/>
    </row>
    <row r="1464" spans="1:14" s="294" customFormat="1">
      <c r="A1464" s="297" t="s">
        <v>1515</v>
      </c>
      <c r="B1464" s="298"/>
      <c r="C1464" s="299" t="s">
        <v>1519</v>
      </c>
      <c r="D1464" s="299">
        <v>1</v>
      </c>
      <c r="E1464" s="300">
        <v>3</v>
      </c>
      <c r="F1464" s="300">
        <f>E1464*D1464</f>
        <v>3</v>
      </c>
      <c r="G1464" s="299">
        <f>(5.65)+17*0.01*2</f>
        <v>5.99</v>
      </c>
      <c r="H1464" s="310" t="str">
        <f t="shared" ref="H1464:H1471" si="1571">IF(C1464="T6",G1464*F1464,"")</f>
        <v/>
      </c>
      <c r="I1464" s="311" t="str">
        <f t="shared" ref="I1464:I1471" si="1572">IF(C1464="T8",F1464*G1464,"")</f>
        <v/>
      </c>
      <c r="J1464" s="311">
        <f t="shared" ref="J1464:J1471" si="1573">IF(C1464="T10",F1464*G1464,"")</f>
        <v>17.97</v>
      </c>
      <c r="K1464" s="311" t="str">
        <f t="shared" ref="K1464:K1471" si="1574">IF(C1464="T12",F1464*G1464,"")</f>
        <v/>
      </c>
      <c r="L1464" s="310" t="str">
        <f t="shared" ref="L1464:L1471" si="1575">IF(C1464="T14",F1464*G1464,"")</f>
        <v/>
      </c>
      <c r="M1464" s="310" t="str">
        <f t="shared" ref="M1464:M1471" si="1576">IF(C1464="T16",G1464*F1464,"")</f>
        <v/>
      </c>
      <c r="N1464" s="311" t="str">
        <f t="shared" ref="N1464:N1471" si="1577">IF(C1464="T20",G1464*F1464,"")</f>
        <v/>
      </c>
    </row>
    <row r="1465" spans="1:14" s="294" customFormat="1">
      <c r="A1465" s="297" t="s">
        <v>1515</v>
      </c>
      <c r="B1465" s="298"/>
      <c r="C1465" s="299" t="s">
        <v>1492</v>
      </c>
      <c r="D1465" s="299">
        <v>1</v>
      </c>
      <c r="E1465" s="300">
        <v>3</v>
      </c>
      <c r="F1465" s="300">
        <f>E1465*D1465</f>
        <v>3</v>
      </c>
      <c r="G1465" s="302">
        <f>(5.65)+17*0.012*2</f>
        <v>6.06</v>
      </c>
      <c r="H1465" s="310" t="str">
        <f t="shared" si="1571"/>
        <v/>
      </c>
      <c r="I1465" s="311" t="str">
        <f t="shared" si="1572"/>
        <v/>
      </c>
      <c r="J1465" s="311" t="str">
        <f t="shared" si="1573"/>
        <v/>
      </c>
      <c r="K1465" s="311" t="str">
        <f t="shared" si="1574"/>
        <v/>
      </c>
      <c r="L1465" s="310">
        <f t="shared" si="1575"/>
        <v>18.18</v>
      </c>
      <c r="M1465" s="310" t="str">
        <f t="shared" si="1576"/>
        <v/>
      </c>
      <c r="N1465" s="311" t="str">
        <f t="shared" si="1577"/>
        <v/>
      </c>
    </row>
    <row r="1466" spans="1:14" s="294" customFormat="1">
      <c r="A1466" s="297"/>
      <c r="B1466" s="298"/>
      <c r="C1466" s="299" t="s">
        <v>1519</v>
      </c>
      <c r="D1466" s="299">
        <v>1</v>
      </c>
      <c r="E1466" s="300">
        <v>3</v>
      </c>
      <c r="F1466" s="300">
        <f>E1466*D1466</f>
        <v>3</v>
      </c>
      <c r="G1466" s="299">
        <v>5.65</v>
      </c>
      <c r="H1466" s="310" t="str">
        <f t="shared" si="1571"/>
        <v/>
      </c>
      <c r="I1466" s="311" t="str">
        <f t="shared" si="1572"/>
        <v/>
      </c>
      <c r="J1466" s="311">
        <f t="shared" si="1573"/>
        <v>16.95</v>
      </c>
      <c r="K1466" s="311" t="str">
        <f t="shared" si="1574"/>
        <v/>
      </c>
      <c r="L1466" s="310" t="str">
        <f t="shared" si="1575"/>
        <v/>
      </c>
      <c r="M1466" s="310" t="str">
        <f t="shared" si="1576"/>
        <v/>
      </c>
      <c r="N1466" s="311" t="str">
        <f t="shared" si="1577"/>
        <v/>
      </c>
    </row>
    <row r="1467" spans="1:14" s="294" customFormat="1">
      <c r="A1467" s="297" t="s">
        <v>1494</v>
      </c>
      <c r="B1467" s="301"/>
      <c r="C1467" s="299" t="s">
        <v>1496</v>
      </c>
      <c r="D1467" s="299">
        <v>1</v>
      </c>
      <c r="E1467" s="300">
        <f>17+15+17</f>
        <v>49</v>
      </c>
      <c r="F1467" s="300">
        <f t="shared" ref="F1467:F1468" si="1578">E1467*D1467</f>
        <v>49</v>
      </c>
      <c r="G1467" s="302">
        <f>(0.2+0.55)*2+17*0.008*2</f>
        <v>1.77</v>
      </c>
      <c r="H1467" s="310" t="str">
        <f t="shared" si="1571"/>
        <v/>
      </c>
      <c r="I1467" s="311">
        <f t="shared" si="1572"/>
        <v>86.73</v>
      </c>
      <c r="J1467" s="311" t="str">
        <f t="shared" si="1573"/>
        <v/>
      </c>
      <c r="K1467" s="311" t="str">
        <f t="shared" si="1574"/>
        <v/>
      </c>
      <c r="L1467" s="310" t="str">
        <f t="shared" si="1575"/>
        <v/>
      </c>
      <c r="M1467" s="310" t="str">
        <f t="shared" si="1576"/>
        <v/>
      </c>
      <c r="N1467" s="311" t="str">
        <f t="shared" si="1577"/>
        <v/>
      </c>
    </row>
    <row r="1468" spans="1:14" s="294" customFormat="1">
      <c r="A1468" s="297" t="s">
        <v>1517</v>
      </c>
      <c r="B1468" s="301"/>
      <c r="C1468" s="299" t="s">
        <v>1496</v>
      </c>
      <c r="D1468" s="299">
        <v>1</v>
      </c>
      <c r="E1468" s="300">
        <f>17+15+17</f>
        <v>49</v>
      </c>
      <c r="F1468" s="300">
        <f t="shared" si="1578"/>
        <v>49</v>
      </c>
      <c r="G1468" s="302">
        <f>(0.55*2)+17*0.008*2</f>
        <v>1.37</v>
      </c>
      <c r="H1468" s="310" t="str">
        <f t="shared" si="1571"/>
        <v/>
      </c>
      <c r="I1468" s="311">
        <f t="shared" si="1572"/>
        <v>67.13</v>
      </c>
      <c r="J1468" s="311" t="str">
        <f t="shared" si="1573"/>
        <v/>
      </c>
      <c r="K1468" s="311" t="str">
        <f t="shared" si="1574"/>
        <v/>
      </c>
      <c r="L1468" s="310" t="str">
        <f t="shared" si="1575"/>
        <v/>
      </c>
      <c r="M1468" s="310" t="str">
        <f t="shared" si="1576"/>
        <v/>
      </c>
      <c r="N1468" s="311" t="str">
        <f t="shared" si="1577"/>
        <v/>
      </c>
    </row>
    <row r="1469" spans="1:14">
      <c r="A1469" s="297" t="s">
        <v>1518</v>
      </c>
      <c r="B1469" s="254"/>
      <c r="C1469" s="299" t="s">
        <v>1492</v>
      </c>
      <c r="D1469" s="299">
        <v>1</v>
      </c>
      <c r="E1469" s="300">
        <v>3</v>
      </c>
      <c r="F1469" s="300">
        <f>E1469*D1469</f>
        <v>3</v>
      </c>
      <c r="G1469" s="302">
        <v>2</v>
      </c>
      <c r="H1469" s="310" t="str">
        <f t="shared" si="1571"/>
        <v/>
      </c>
      <c r="I1469" s="311" t="str">
        <f t="shared" si="1572"/>
        <v/>
      </c>
      <c r="J1469" s="311" t="str">
        <f t="shared" si="1573"/>
        <v/>
      </c>
      <c r="K1469" s="311" t="str">
        <f t="shared" si="1574"/>
        <v/>
      </c>
      <c r="L1469" s="310">
        <f t="shared" si="1575"/>
        <v>6</v>
      </c>
      <c r="M1469" s="310" t="str">
        <f t="shared" si="1576"/>
        <v/>
      </c>
      <c r="N1469" s="311" t="str">
        <f t="shared" si="1577"/>
        <v/>
      </c>
    </row>
    <row r="1470" spans="1:14">
      <c r="A1470" s="297" t="s">
        <v>1520</v>
      </c>
      <c r="B1470" s="254"/>
      <c r="C1470" s="299" t="s">
        <v>1492</v>
      </c>
      <c r="D1470" s="299">
        <v>1</v>
      </c>
      <c r="E1470" s="300">
        <v>3</v>
      </c>
      <c r="F1470" s="300">
        <f>E1470*D1470</f>
        <v>3</v>
      </c>
      <c r="G1470" s="302">
        <v>3.2</v>
      </c>
      <c r="H1470" s="310" t="str">
        <f t="shared" si="1571"/>
        <v/>
      </c>
      <c r="I1470" s="311" t="str">
        <f t="shared" si="1572"/>
        <v/>
      </c>
      <c r="J1470" s="311" t="str">
        <f t="shared" si="1573"/>
        <v/>
      </c>
      <c r="K1470" s="311" t="str">
        <f t="shared" si="1574"/>
        <v/>
      </c>
      <c r="L1470" s="310">
        <f t="shared" si="1575"/>
        <v>9.6</v>
      </c>
      <c r="M1470" s="310" t="str">
        <f t="shared" si="1576"/>
        <v/>
      </c>
      <c r="N1470" s="311" t="str">
        <f t="shared" si="1577"/>
        <v/>
      </c>
    </row>
    <row r="1471" spans="1:14">
      <c r="A1471" s="297"/>
      <c r="B1471" s="254"/>
      <c r="C1471" s="299" t="s">
        <v>1492</v>
      </c>
      <c r="D1471" s="299">
        <v>1</v>
      </c>
      <c r="E1471" s="300">
        <v>3</v>
      </c>
      <c r="F1471" s="300">
        <f>E1471*D1471</f>
        <v>3</v>
      </c>
      <c r="G1471" s="302">
        <v>5.15</v>
      </c>
      <c r="H1471" s="310" t="str">
        <f t="shared" si="1571"/>
        <v/>
      </c>
      <c r="I1471" s="311" t="str">
        <f t="shared" si="1572"/>
        <v/>
      </c>
      <c r="J1471" s="311" t="str">
        <f t="shared" si="1573"/>
        <v/>
      </c>
      <c r="K1471" s="311" t="str">
        <f t="shared" si="1574"/>
        <v/>
      </c>
      <c r="L1471" s="310">
        <f t="shared" si="1575"/>
        <v>15.45</v>
      </c>
      <c r="M1471" s="310" t="str">
        <f t="shared" si="1576"/>
        <v/>
      </c>
      <c r="N1471" s="311" t="str">
        <f t="shared" si="1577"/>
        <v/>
      </c>
    </row>
    <row r="1472" spans="1:14" ht="16.5">
      <c r="A1472" s="303"/>
      <c r="B1472" s="254"/>
      <c r="C1472" s="299"/>
      <c r="D1472" s="299"/>
      <c r="E1472" s="300"/>
      <c r="F1472" s="300"/>
      <c r="G1472" s="302"/>
      <c r="H1472" s="310"/>
      <c r="I1472" s="311"/>
      <c r="J1472" s="311"/>
      <c r="K1472" s="311"/>
      <c r="L1472" s="310"/>
      <c r="M1472" s="310"/>
      <c r="N1472" s="311"/>
    </row>
    <row r="1473" spans="1:14" ht="16.5">
      <c r="A1473" s="303" t="s">
        <v>1392</v>
      </c>
      <c r="B1473" s="254"/>
      <c r="C1473" s="299"/>
      <c r="D1473" s="299"/>
      <c r="E1473" s="300"/>
      <c r="F1473" s="300"/>
      <c r="G1473" s="302"/>
      <c r="H1473" s="310"/>
      <c r="I1473" s="311"/>
      <c r="J1473" s="311"/>
      <c r="K1473" s="311"/>
      <c r="L1473" s="310"/>
      <c r="M1473" s="310"/>
      <c r="N1473" s="311"/>
    </row>
    <row r="1474" spans="1:14" s="294" customFormat="1">
      <c r="A1474" s="297" t="s">
        <v>1515</v>
      </c>
      <c r="B1474" s="298"/>
      <c r="C1474" s="299" t="s">
        <v>1519</v>
      </c>
      <c r="D1474" s="299">
        <v>1</v>
      </c>
      <c r="E1474" s="300">
        <v>3</v>
      </c>
      <c r="F1474" s="300">
        <f>E1474*D1474</f>
        <v>3</v>
      </c>
      <c r="G1474" s="299">
        <f>(1.9)+17*0.01*2</f>
        <v>2.2400000000000002</v>
      </c>
      <c r="H1474" s="310" t="str">
        <f t="shared" ref="H1474:H1479" si="1579">IF(C1474="T6",G1474*F1474,"")</f>
        <v/>
      </c>
      <c r="I1474" s="311" t="str">
        <f t="shared" ref="I1474:I1479" si="1580">IF(C1474="T8",F1474*G1474,"")</f>
        <v/>
      </c>
      <c r="J1474" s="311">
        <f t="shared" ref="J1474:J1479" si="1581">IF(C1474="T10",F1474*G1474,"")</f>
        <v>6.72</v>
      </c>
      <c r="K1474" s="311" t="str">
        <f t="shared" ref="K1474:K1479" si="1582">IF(C1474="T12",F1474*G1474,"")</f>
        <v/>
      </c>
      <c r="L1474" s="310" t="str">
        <f t="shared" ref="L1474:L1479" si="1583">IF(C1474="T14",F1474*G1474,"")</f>
        <v/>
      </c>
      <c r="M1474" s="310" t="str">
        <f t="shared" ref="M1474:M1479" si="1584">IF(C1474="T16",G1474*F1474,"")</f>
        <v/>
      </c>
      <c r="N1474" s="311" t="str">
        <f t="shared" ref="N1474:N1479" si="1585">IF(C1474="T20",G1474*F1474,"")</f>
        <v/>
      </c>
    </row>
    <row r="1475" spans="1:14" s="294" customFormat="1">
      <c r="A1475" s="297" t="s">
        <v>1515</v>
      </c>
      <c r="B1475" s="298"/>
      <c r="C1475" s="299" t="s">
        <v>1516</v>
      </c>
      <c r="D1475" s="299">
        <v>1</v>
      </c>
      <c r="E1475" s="300">
        <v>3</v>
      </c>
      <c r="F1475" s="300">
        <f>E1475*D1475</f>
        <v>3</v>
      </c>
      <c r="G1475" s="302">
        <f>(1.9)+17*0.012*2</f>
        <v>2.31</v>
      </c>
      <c r="H1475" s="310" t="str">
        <f t="shared" si="1579"/>
        <v/>
      </c>
      <c r="I1475" s="311" t="str">
        <f t="shared" si="1580"/>
        <v/>
      </c>
      <c r="J1475" s="311" t="str">
        <f t="shared" si="1581"/>
        <v/>
      </c>
      <c r="K1475" s="311">
        <f t="shared" si="1582"/>
        <v>6.93</v>
      </c>
      <c r="L1475" s="310" t="str">
        <f t="shared" si="1583"/>
        <v/>
      </c>
      <c r="M1475" s="310" t="str">
        <f t="shared" si="1584"/>
        <v/>
      </c>
      <c r="N1475" s="311" t="str">
        <f t="shared" si="1585"/>
        <v/>
      </c>
    </row>
    <row r="1476" spans="1:14" s="294" customFormat="1">
      <c r="A1476" s="297" t="s">
        <v>1494</v>
      </c>
      <c r="B1476" s="301"/>
      <c r="C1476" s="299" t="s">
        <v>1496</v>
      </c>
      <c r="D1476" s="299">
        <v>1</v>
      </c>
      <c r="E1476" s="300">
        <f>6+7+6</f>
        <v>19</v>
      </c>
      <c r="F1476" s="300">
        <f t="shared" ref="F1476:F1477" si="1586">E1476*D1476</f>
        <v>19</v>
      </c>
      <c r="G1476" s="302">
        <f>(0.2+0.45)*2+17*0.008*2</f>
        <v>1.57</v>
      </c>
      <c r="H1476" s="310" t="str">
        <f t="shared" si="1579"/>
        <v/>
      </c>
      <c r="I1476" s="311">
        <f t="shared" si="1580"/>
        <v>29.83</v>
      </c>
      <c r="J1476" s="311" t="str">
        <f t="shared" si="1581"/>
        <v/>
      </c>
      <c r="K1476" s="311" t="str">
        <f t="shared" si="1582"/>
        <v/>
      </c>
      <c r="L1476" s="310" t="str">
        <f t="shared" si="1583"/>
        <v/>
      </c>
      <c r="M1476" s="310" t="str">
        <f t="shared" si="1584"/>
        <v/>
      </c>
      <c r="N1476" s="311" t="str">
        <f t="shared" si="1585"/>
        <v/>
      </c>
    </row>
    <row r="1477" spans="1:14" s="294" customFormat="1">
      <c r="A1477" s="297" t="s">
        <v>1517</v>
      </c>
      <c r="B1477" s="301"/>
      <c r="C1477" s="299" t="s">
        <v>1496</v>
      </c>
      <c r="D1477" s="299">
        <v>1</v>
      </c>
      <c r="E1477" s="300">
        <f>6+7+6</f>
        <v>19</v>
      </c>
      <c r="F1477" s="300">
        <f t="shared" si="1586"/>
        <v>19</v>
      </c>
      <c r="G1477" s="302">
        <f>(0.45*2)+17*0.008*2</f>
        <v>1.17</v>
      </c>
      <c r="H1477" s="310" t="str">
        <f t="shared" si="1579"/>
        <v/>
      </c>
      <c r="I1477" s="311">
        <f t="shared" si="1580"/>
        <v>22.23</v>
      </c>
      <c r="J1477" s="311" t="str">
        <f t="shared" si="1581"/>
        <v/>
      </c>
      <c r="K1477" s="311" t="str">
        <f t="shared" si="1582"/>
        <v/>
      </c>
      <c r="L1477" s="310" t="str">
        <f t="shared" si="1583"/>
        <v/>
      </c>
      <c r="M1477" s="310" t="str">
        <f t="shared" si="1584"/>
        <v/>
      </c>
      <c r="N1477" s="311" t="str">
        <f t="shared" si="1585"/>
        <v/>
      </c>
    </row>
    <row r="1478" spans="1:14">
      <c r="A1478" s="297" t="s">
        <v>1520</v>
      </c>
      <c r="B1478" s="254"/>
      <c r="C1478" s="299" t="s">
        <v>1492</v>
      </c>
      <c r="D1478" s="299">
        <v>1</v>
      </c>
      <c r="E1478" s="300">
        <v>3</v>
      </c>
      <c r="F1478" s="300">
        <f>E1478*D1478</f>
        <v>3</v>
      </c>
      <c r="G1478" s="302">
        <v>3.2</v>
      </c>
      <c r="H1478" s="310" t="str">
        <f t="shared" si="1579"/>
        <v/>
      </c>
      <c r="I1478" s="311" t="str">
        <f t="shared" si="1580"/>
        <v/>
      </c>
      <c r="J1478" s="311" t="str">
        <f t="shared" si="1581"/>
        <v/>
      </c>
      <c r="K1478" s="311" t="str">
        <f t="shared" si="1582"/>
        <v/>
      </c>
      <c r="L1478" s="310">
        <f t="shared" si="1583"/>
        <v>9.6</v>
      </c>
      <c r="M1478" s="310" t="str">
        <f t="shared" si="1584"/>
        <v/>
      </c>
      <c r="N1478" s="311" t="str">
        <f t="shared" si="1585"/>
        <v/>
      </c>
    </row>
    <row r="1479" spans="1:14">
      <c r="A1479" s="297" t="s">
        <v>1520</v>
      </c>
      <c r="B1479" s="254"/>
      <c r="C1479" s="299" t="s">
        <v>1516</v>
      </c>
      <c r="D1479" s="299">
        <v>1</v>
      </c>
      <c r="E1479" s="300">
        <v>3</v>
      </c>
      <c r="F1479" s="300">
        <f>E1479*D1479</f>
        <v>3</v>
      </c>
      <c r="G1479" s="302">
        <v>2</v>
      </c>
      <c r="H1479" s="310" t="str">
        <f t="shared" si="1579"/>
        <v/>
      </c>
      <c r="I1479" s="311" t="str">
        <f t="shared" si="1580"/>
        <v/>
      </c>
      <c r="J1479" s="311" t="str">
        <f t="shared" si="1581"/>
        <v/>
      </c>
      <c r="K1479" s="311">
        <f t="shared" si="1582"/>
        <v>6</v>
      </c>
      <c r="L1479" s="310" t="str">
        <f t="shared" si="1583"/>
        <v/>
      </c>
      <c r="M1479" s="310" t="str">
        <f t="shared" si="1584"/>
        <v/>
      </c>
      <c r="N1479" s="311" t="str">
        <f t="shared" si="1585"/>
        <v/>
      </c>
    </row>
    <row r="1480" spans="1:14" ht="16.5">
      <c r="A1480" s="303"/>
      <c r="B1480" s="254"/>
      <c r="C1480" s="299"/>
      <c r="D1480" s="299"/>
      <c r="E1480" s="300"/>
      <c r="F1480" s="300"/>
      <c r="G1480" s="302"/>
      <c r="H1480" s="310"/>
      <c r="I1480" s="311"/>
      <c r="J1480" s="311"/>
      <c r="K1480" s="311"/>
      <c r="L1480" s="310"/>
      <c r="M1480" s="310"/>
      <c r="N1480" s="311"/>
    </row>
    <row r="1481" spans="1:14" ht="16.5">
      <c r="A1481" s="303" t="s">
        <v>1393</v>
      </c>
      <c r="B1481" s="254"/>
      <c r="C1481" s="299"/>
      <c r="D1481" s="299"/>
      <c r="E1481" s="300"/>
      <c r="F1481" s="300"/>
      <c r="G1481" s="302"/>
      <c r="H1481" s="310"/>
      <c r="I1481" s="311"/>
      <c r="J1481" s="311"/>
      <c r="K1481" s="311"/>
      <c r="L1481" s="310"/>
      <c r="M1481" s="310"/>
      <c r="N1481" s="311"/>
    </row>
    <row r="1482" spans="1:14" s="294" customFormat="1">
      <c r="A1482" s="297" t="s">
        <v>1515</v>
      </c>
      <c r="B1482" s="298"/>
      <c r="C1482" s="299" t="s">
        <v>1519</v>
      </c>
      <c r="D1482" s="299">
        <v>1</v>
      </c>
      <c r="E1482" s="300">
        <v>3</v>
      </c>
      <c r="F1482" s="300">
        <f>E1482*D1482</f>
        <v>3</v>
      </c>
      <c r="G1482" s="299">
        <f>(1.55)+17*0.01*2</f>
        <v>1.89</v>
      </c>
      <c r="H1482" s="310" t="str">
        <f t="shared" ref="H1482:H1487" si="1587">IF(C1482="T6",G1482*F1482,"")</f>
        <v/>
      </c>
      <c r="I1482" s="311" t="str">
        <f t="shared" ref="I1482:I1487" si="1588">IF(C1482="T8",F1482*G1482,"")</f>
        <v/>
      </c>
      <c r="J1482" s="311">
        <f t="shared" ref="J1482:J1487" si="1589">IF(C1482="T10",F1482*G1482,"")</f>
        <v>5.67</v>
      </c>
      <c r="K1482" s="311" t="str">
        <f t="shared" ref="K1482:K1487" si="1590">IF(C1482="T12",F1482*G1482,"")</f>
        <v/>
      </c>
      <c r="L1482" s="310" t="str">
        <f t="shared" ref="L1482:L1487" si="1591">IF(C1482="T14",F1482*G1482,"")</f>
        <v/>
      </c>
      <c r="M1482" s="310" t="str">
        <f t="shared" ref="M1482:M1487" si="1592">IF(C1482="T16",G1482*F1482,"")</f>
        <v/>
      </c>
      <c r="N1482" s="311" t="str">
        <f t="shared" ref="N1482:N1487" si="1593">IF(C1482="T20",G1482*F1482,"")</f>
        <v/>
      </c>
    </row>
    <row r="1483" spans="1:14" s="294" customFormat="1">
      <c r="A1483" s="297" t="s">
        <v>1515</v>
      </c>
      <c r="B1483" s="298"/>
      <c r="C1483" s="299" t="s">
        <v>1516</v>
      </c>
      <c r="D1483" s="299">
        <v>1</v>
      </c>
      <c r="E1483" s="300">
        <v>3</v>
      </c>
      <c r="F1483" s="300">
        <f>E1483*D1483</f>
        <v>3</v>
      </c>
      <c r="G1483" s="302">
        <f>(1.55)+17*0.012*2</f>
        <v>1.96</v>
      </c>
      <c r="H1483" s="310" t="str">
        <f t="shared" si="1587"/>
        <v/>
      </c>
      <c r="I1483" s="311" t="str">
        <f t="shared" si="1588"/>
        <v/>
      </c>
      <c r="J1483" s="311" t="str">
        <f t="shared" si="1589"/>
        <v/>
      </c>
      <c r="K1483" s="311">
        <f t="shared" si="1590"/>
        <v>5.88</v>
      </c>
      <c r="L1483" s="310" t="str">
        <f t="shared" si="1591"/>
        <v/>
      </c>
      <c r="M1483" s="310" t="str">
        <f t="shared" si="1592"/>
        <v/>
      </c>
      <c r="N1483" s="311" t="str">
        <f t="shared" si="1593"/>
        <v/>
      </c>
    </row>
    <row r="1484" spans="1:14" s="294" customFormat="1">
      <c r="A1484" s="297" t="s">
        <v>1494</v>
      </c>
      <c r="B1484" s="301"/>
      <c r="C1484" s="299" t="s">
        <v>1496</v>
      </c>
      <c r="D1484" s="299">
        <v>1</v>
      </c>
      <c r="E1484" s="300">
        <f>5*3</f>
        <v>15</v>
      </c>
      <c r="F1484" s="300">
        <f t="shared" ref="F1484:F1485" si="1594">E1484*D1484</f>
        <v>15</v>
      </c>
      <c r="G1484" s="302">
        <f>(0.2+0.25)*2+17*0.008*2</f>
        <v>1.17</v>
      </c>
      <c r="H1484" s="310" t="str">
        <f t="shared" si="1587"/>
        <v/>
      </c>
      <c r="I1484" s="311">
        <f t="shared" si="1588"/>
        <v>17.55</v>
      </c>
      <c r="J1484" s="311" t="str">
        <f t="shared" si="1589"/>
        <v/>
      </c>
      <c r="K1484" s="311" t="str">
        <f t="shared" si="1590"/>
        <v/>
      </c>
      <c r="L1484" s="310" t="str">
        <f t="shared" si="1591"/>
        <v/>
      </c>
      <c r="M1484" s="310" t="str">
        <f t="shared" si="1592"/>
        <v/>
      </c>
      <c r="N1484" s="311" t="str">
        <f t="shared" si="1593"/>
        <v/>
      </c>
    </row>
    <row r="1485" spans="1:14" s="294" customFormat="1">
      <c r="A1485" s="297" t="s">
        <v>1517</v>
      </c>
      <c r="B1485" s="301"/>
      <c r="C1485" s="299" t="s">
        <v>1496</v>
      </c>
      <c r="D1485" s="299">
        <v>1</v>
      </c>
      <c r="E1485" s="300">
        <v>15</v>
      </c>
      <c r="F1485" s="300">
        <f t="shared" si="1594"/>
        <v>15</v>
      </c>
      <c r="G1485" s="302">
        <f>(0.25*2)+17*0.008*2</f>
        <v>0.77</v>
      </c>
      <c r="H1485" s="310" t="str">
        <f t="shared" si="1587"/>
        <v/>
      </c>
      <c r="I1485" s="311">
        <f t="shared" si="1588"/>
        <v>11.55</v>
      </c>
      <c r="J1485" s="311" t="str">
        <f t="shared" si="1589"/>
        <v/>
      </c>
      <c r="K1485" s="311" t="str">
        <f t="shared" si="1590"/>
        <v/>
      </c>
      <c r="L1485" s="310" t="str">
        <f t="shared" si="1591"/>
        <v/>
      </c>
      <c r="M1485" s="310" t="str">
        <f t="shared" si="1592"/>
        <v/>
      </c>
      <c r="N1485" s="311" t="str">
        <f t="shared" si="1593"/>
        <v/>
      </c>
    </row>
    <row r="1486" spans="1:14">
      <c r="A1486" s="297" t="s">
        <v>1520</v>
      </c>
      <c r="B1486" s="254"/>
      <c r="C1486" s="299" t="s">
        <v>1516</v>
      </c>
      <c r="D1486" s="299">
        <v>1</v>
      </c>
      <c r="E1486" s="300">
        <v>3</v>
      </c>
      <c r="F1486" s="300">
        <f>E1486*D1486</f>
        <v>3</v>
      </c>
      <c r="G1486" s="302">
        <v>2</v>
      </c>
      <c r="H1486" s="310" t="str">
        <f t="shared" si="1587"/>
        <v/>
      </c>
      <c r="I1486" s="311" t="str">
        <f t="shared" si="1588"/>
        <v/>
      </c>
      <c r="J1486" s="311" t="str">
        <f t="shared" si="1589"/>
        <v/>
      </c>
      <c r="K1486" s="311">
        <f t="shared" si="1590"/>
        <v>6</v>
      </c>
      <c r="L1486" s="310" t="str">
        <f t="shared" si="1591"/>
        <v/>
      </c>
      <c r="M1486" s="310" t="str">
        <f t="shared" si="1592"/>
        <v/>
      </c>
      <c r="N1486" s="311" t="str">
        <f t="shared" si="1593"/>
        <v/>
      </c>
    </row>
    <row r="1487" spans="1:14">
      <c r="A1487" s="297" t="s">
        <v>1520</v>
      </c>
      <c r="B1487" s="254"/>
      <c r="C1487" s="299" t="s">
        <v>1516</v>
      </c>
      <c r="D1487" s="299">
        <v>1</v>
      </c>
      <c r="E1487" s="300">
        <v>3</v>
      </c>
      <c r="F1487" s="300">
        <f>E1487*D1487</f>
        <v>3</v>
      </c>
      <c r="G1487" s="302">
        <v>2.0499999999999998</v>
      </c>
      <c r="H1487" s="310" t="str">
        <f t="shared" si="1587"/>
        <v/>
      </c>
      <c r="I1487" s="311" t="str">
        <f t="shared" si="1588"/>
        <v/>
      </c>
      <c r="J1487" s="311" t="str">
        <f t="shared" si="1589"/>
        <v/>
      </c>
      <c r="K1487" s="311">
        <f t="shared" si="1590"/>
        <v>6.15</v>
      </c>
      <c r="L1487" s="310" t="str">
        <f t="shared" si="1591"/>
        <v/>
      </c>
      <c r="M1487" s="310" t="str">
        <f t="shared" si="1592"/>
        <v/>
      </c>
      <c r="N1487" s="311" t="str">
        <f t="shared" si="1593"/>
        <v/>
      </c>
    </row>
    <row r="1488" spans="1:14" ht="16.5">
      <c r="A1488" s="303"/>
      <c r="B1488" s="254"/>
      <c r="C1488" s="299"/>
      <c r="D1488" s="299"/>
      <c r="E1488" s="300"/>
      <c r="F1488" s="300"/>
      <c r="G1488" s="302"/>
      <c r="H1488" s="310"/>
      <c r="I1488" s="311"/>
      <c r="J1488" s="311"/>
      <c r="K1488" s="311"/>
      <c r="L1488" s="310"/>
      <c r="M1488" s="310"/>
      <c r="N1488" s="311"/>
    </row>
    <row r="1489" spans="1:14" ht="16.5">
      <c r="A1489" s="303" t="s">
        <v>1394</v>
      </c>
      <c r="B1489" s="254"/>
      <c r="C1489" s="299"/>
      <c r="D1489" s="299"/>
      <c r="E1489" s="300"/>
      <c r="F1489" s="300"/>
      <c r="G1489" s="302"/>
      <c r="H1489" s="310"/>
      <c r="I1489" s="311"/>
      <c r="J1489" s="311"/>
      <c r="K1489" s="311"/>
      <c r="L1489" s="310"/>
      <c r="M1489" s="310"/>
      <c r="N1489" s="311"/>
    </row>
    <row r="1490" spans="1:14" s="294" customFormat="1">
      <c r="A1490" s="297" t="s">
        <v>1515</v>
      </c>
      <c r="B1490" s="298"/>
      <c r="C1490" s="299" t="s">
        <v>1519</v>
      </c>
      <c r="D1490" s="299">
        <v>1</v>
      </c>
      <c r="E1490" s="300">
        <v>3</v>
      </c>
      <c r="F1490" s="300">
        <f>E1490*D1490</f>
        <v>3</v>
      </c>
      <c r="G1490" s="299">
        <f>(1.65)+17*0.01*2</f>
        <v>1.99</v>
      </c>
      <c r="H1490" s="310" t="str">
        <f t="shared" ref="H1490:H1495" si="1595">IF(C1490="T6",G1490*F1490,"")</f>
        <v/>
      </c>
      <c r="I1490" s="311" t="str">
        <f t="shared" ref="I1490:I1495" si="1596">IF(C1490="T8",F1490*G1490,"")</f>
        <v/>
      </c>
      <c r="J1490" s="311">
        <f t="shared" ref="J1490:J1495" si="1597">IF(C1490="T10",F1490*G1490,"")</f>
        <v>5.97</v>
      </c>
      <c r="K1490" s="311" t="str">
        <f t="shared" ref="K1490:K1495" si="1598">IF(C1490="T12",F1490*G1490,"")</f>
        <v/>
      </c>
      <c r="L1490" s="310" t="str">
        <f t="shared" ref="L1490:L1495" si="1599">IF(C1490="T14",F1490*G1490,"")</f>
        <v/>
      </c>
      <c r="M1490" s="310" t="str">
        <f t="shared" ref="M1490:M1495" si="1600">IF(C1490="T16",G1490*F1490,"")</f>
        <v/>
      </c>
      <c r="N1490" s="311" t="str">
        <f t="shared" ref="N1490:N1495" si="1601">IF(C1490="T20",G1490*F1490,"")</f>
        <v/>
      </c>
    </row>
    <row r="1491" spans="1:14" s="294" customFormat="1">
      <c r="A1491" s="297" t="s">
        <v>1515</v>
      </c>
      <c r="B1491" s="298"/>
      <c r="C1491" s="299" t="s">
        <v>1516</v>
      </c>
      <c r="D1491" s="299">
        <v>1</v>
      </c>
      <c r="E1491" s="300">
        <v>3</v>
      </c>
      <c r="F1491" s="300">
        <f>E1491*D1491</f>
        <v>3</v>
      </c>
      <c r="G1491" s="302">
        <f>(1.65)+17*0.012*2</f>
        <v>2.06</v>
      </c>
      <c r="H1491" s="310" t="str">
        <f t="shared" si="1595"/>
        <v/>
      </c>
      <c r="I1491" s="311" t="str">
        <f t="shared" si="1596"/>
        <v/>
      </c>
      <c r="J1491" s="311" t="str">
        <f t="shared" si="1597"/>
        <v/>
      </c>
      <c r="K1491" s="311">
        <f t="shared" si="1598"/>
        <v>6.18</v>
      </c>
      <c r="L1491" s="310" t="str">
        <f t="shared" si="1599"/>
        <v/>
      </c>
      <c r="M1491" s="310" t="str">
        <f t="shared" si="1600"/>
        <v/>
      </c>
      <c r="N1491" s="311" t="str">
        <f t="shared" si="1601"/>
        <v/>
      </c>
    </row>
    <row r="1492" spans="1:14" s="294" customFormat="1">
      <c r="A1492" s="297" t="s">
        <v>1494</v>
      </c>
      <c r="B1492" s="301"/>
      <c r="C1492" s="299" t="s">
        <v>1496</v>
      </c>
      <c r="D1492" s="299">
        <v>1</v>
      </c>
      <c r="E1492" s="300">
        <f>6*3</f>
        <v>18</v>
      </c>
      <c r="F1492" s="300">
        <f t="shared" ref="F1492:F1493" si="1602">E1492*D1492</f>
        <v>18</v>
      </c>
      <c r="G1492" s="302">
        <f>(0.2+0.25)*2+17*0.008*2</f>
        <v>1.17</v>
      </c>
      <c r="H1492" s="310" t="str">
        <f t="shared" si="1595"/>
        <v/>
      </c>
      <c r="I1492" s="311">
        <f t="shared" si="1596"/>
        <v>21.06</v>
      </c>
      <c r="J1492" s="311" t="str">
        <f t="shared" si="1597"/>
        <v/>
      </c>
      <c r="K1492" s="311" t="str">
        <f t="shared" si="1598"/>
        <v/>
      </c>
      <c r="L1492" s="310" t="str">
        <f t="shared" si="1599"/>
        <v/>
      </c>
      <c r="M1492" s="310" t="str">
        <f t="shared" si="1600"/>
        <v/>
      </c>
      <c r="N1492" s="311" t="str">
        <f t="shared" si="1601"/>
        <v/>
      </c>
    </row>
    <row r="1493" spans="1:14" s="294" customFormat="1">
      <c r="A1493" s="297" t="s">
        <v>1517</v>
      </c>
      <c r="B1493" s="301"/>
      <c r="C1493" s="299" t="s">
        <v>1496</v>
      </c>
      <c r="D1493" s="299">
        <v>1</v>
      </c>
      <c r="E1493" s="300">
        <v>18</v>
      </c>
      <c r="F1493" s="300">
        <f t="shared" si="1602"/>
        <v>18</v>
      </c>
      <c r="G1493" s="302">
        <f>(0.25*2)+17*0.008*2</f>
        <v>0.77</v>
      </c>
      <c r="H1493" s="310" t="str">
        <f t="shared" si="1595"/>
        <v/>
      </c>
      <c r="I1493" s="311">
        <f t="shared" si="1596"/>
        <v>13.86</v>
      </c>
      <c r="J1493" s="311" t="str">
        <f t="shared" si="1597"/>
        <v/>
      </c>
      <c r="K1493" s="311" t="str">
        <f t="shared" si="1598"/>
        <v/>
      </c>
      <c r="L1493" s="310" t="str">
        <f t="shared" si="1599"/>
        <v/>
      </c>
      <c r="M1493" s="310" t="str">
        <f t="shared" si="1600"/>
        <v/>
      </c>
      <c r="N1493" s="311" t="str">
        <f t="shared" si="1601"/>
        <v/>
      </c>
    </row>
    <row r="1494" spans="1:14">
      <c r="A1494" s="297" t="s">
        <v>1520</v>
      </c>
      <c r="B1494" s="254"/>
      <c r="C1494" s="299" t="s">
        <v>1516</v>
      </c>
      <c r="D1494" s="299">
        <v>1</v>
      </c>
      <c r="E1494" s="300">
        <v>3</v>
      </c>
      <c r="F1494" s="300">
        <f>E1494*D1494</f>
        <v>3</v>
      </c>
      <c r="G1494" s="302">
        <v>2</v>
      </c>
      <c r="H1494" s="310" t="str">
        <f t="shared" si="1595"/>
        <v/>
      </c>
      <c r="I1494" s="311" t="str">
        <f t="shared" si="1596"/>
        <v/>
      </c>
      <c r="J1494" s="311" t="str">
        <f t="shared" si="1597"/>
        <v/>
      </c>
      <c r="K1494" s="311">
        <f t="shared" si="1598"/>
        <v>6</v>
      </c>
      <c r="L1494" s="310" t="str">
        <f t="shared" si="1599"/>
        <v/>
      </c>
      <c r="M1494" s="310" t="str">
        <f t="shared" si="1600"/>
        <v/>
      </c>
      <c r="N1494" s="311" t="str">
        <f t="shared" si="1601"/>
        <v/>
      </c>
    </row>
    <row r="1495" spans="1:14">
      <c r="A1495" s="297" t="s">
        <v>1520</v>
      </c>
      <c r="B1495" s="254"/>
      <c r="C1495" s="299" t="s">
        <v>1492</v>
      </c>
      <c r="D1495" s="299">
        <v>1</v>
      </c>
      <c r="E1495" s="300">
        <v>3</v>
      </c>
      <c r="F1495" s="300">
        <f>E1495*D1495</f>
        <v>3</v>
      </c>
      <c r="G1495" s="302">
        <v>3.4</v>
      </c>
      <c r="H1495" s="310" t="str">
        <f t="shared" si="1595"/>
        <v/>
      </c>
      <c r="I1495" s="311" t="str">
        <f t="shared" si="1596"/>
        <v/>
      </c>
      <c r="J1495" s="311" t="str">
        <f t="shared" si="1597"/>
        <v/>
      </c>
      <c r="K1495" s="311" t="str">
        <f t="shared" si="1598"/>
        <v/>
      </c>
      <c r="L1495" s="310">
        <f t="shared" si="1599"/>
        <v>10.199999999999999</v>
      </c>
      <c r="M1495" s="310" t="str">
        <f t="shared" si="1600"/>
        <v/>
      </c>
      <c r="N1495" s="311" t="str">
        <f t="shared" si="1601"/>
        <v/>
      </c>
    </row>
    <row r="1496" spans="1:14" ht="16.5">
      <c r="A1496" s="303"/>
      <c r="B1496" s="254"/>
      <c r="C1496" s="299"/>
      <c r="D1496" s="299"/>
      <c r="E1496" s="300"/>
      <c r="F1496" s="300"/>
      <c r="G1496" s="302"/>
      <c r="H1496" s="310"/>
      <c r="I1496" s="311"/>
      <c r="J1496" s="311"/>
      <c r="K1496" s="311"/>
      <c r="L1496" s="310"/>
      <c r="M1496" s="310"/>
      <c r="N1496" s="311"/>
    </row>
    <row r="1497" spans="1:14" ht="16.5">
      <c r="A1497" s="303" t="s">
        <v>1395</v>
      </c>
      <c r="B1497" s="254"/>
      <c r="C1497" s="299"/>
      <c r="D1497" s="299"/>
      <c r="E1497" s="300"/>
      <c r="F1497" s="300"/>
      <c r="G1497" s="302"/>
      <c r="H1497" s="310"/>
      <c r="I1497" s="311"/>
      <c r="J1497" s="311"/>
      <c r="K1497" s="311"/>
      <c r="L1497" s="310"/>
      <c r="M1497" s="310"/>
      <c r="N1497" s="311"/>
    </row>
    <row r="1498" spans="1:14" s="294" customFormat="1">
      <c r="A1498" s="297" t="s">
        <v>1515</v>
      </c>
      <c r="B1498" s="298"/>
      <c r="C1498" s="299" t="s">
        <v>1519</v>
      </c>
      <c r="D1498" s="299">
        <v>1</v>
      </c>
      <c r="E1498" s="300">
        <v>3</v>
      </c>
      <c r="F1498" s="300">
        <f>E1498*D1498</f>
        <v>3</v>
      </c>
      <c r="G1498" s="299">
        <f>(4.75)+17*0.01*2</f>
        <v>5.09</v>
      </c>
      <c r="H1498" s="310" t="str">
        <f t="shared" ref="H1498:H1502" si="1603">IF(C1498="T6",G1498*F1498,"")</f>
        <v/>
      </c>
      <c r="I1498" s="311" t="str">
        <f t="shared" ref="I1498:I1502" si="1604">IF(C1498="T8",F1498*G1498,"")</f>
        <v/>
      </c>
      <c r="J1498" s="311">
        <f t="shared" ref="J1498:J1502" si="1605">IF(C1498="T10",F1498*G1498,"")</f>
        <v>15.27</v>
      </c>
      <c r="K1498" s="311" t="str">
        <f t="shared" ref="K1498:K1502" si="1606">IF(C1498="T12",F1498*G1498,"")</f>
        <v/>
      </c>
      <c r="L1498" s="310" t="str">
        <f t="shared" ref="L1498:L1502" si="1607">IF(C1498="T14",F1498*G1498,"")</f>
        <v/>
      </c>
      <c r="M1498" s="310" t="str">
        <f t="shared" ref="M1498:M1502" si="1608">IF(C1498="T16",G1498*F1498,"")</f>
        <v/>
      </c>
      <c r="N1498" s="311" t="str">
        <f t="shared" ref="N1498:N1502" si="1609">IF(C1498="T20",G1498*F1498,"")</f>
        <v/>
      </c>
    </row>
    <row r="1499" spans="1:14" s="294" customFormat="1">
      <c r="A1499" s="297" t="s">
        <v>1515</v>
      </c>
      <c r="B1499" s="298"/>
      <c r="C1499" s="299" t="s">
        <v>1492</v>
      </c>
      <c r="D1499" s="299">
        <v>1</v>
      </c>
      <c r="E1499" s="300">
        <v>3</v>
      </c>
      <c r="F1499" s="300">
        <f>E1499*D1499</f>
        <v>3</v>
      </c>
      <c r="G1499" s="302">
        <f>(4.75)+17*0.014*2</f>
        <v>5.23</v>
      </c>
      <c r="H1499" s="310" t="str">
        <f t="shared" si="1603"/>
        <v/>
      </c>
      <c r="I1499" s="311" t="str">
        <f t="shared" si="1604"/>
        <v/>
      </c>
      <c r="J1499" s="311" t="str">
        <f t="shared" si="1605"/>
        <v/>
      </c>
      <c r="K1499" s="311" t="str">
        <f t="shared" si="1606"/>
        <v/>
      </c>
      <c r="L1499" s="310">
        <f t="shared" si="1607"/>
        <v>15.69</v>
      </c>
      <c r="M1499" s="310" t="str">
        <f t="shared" si="1608"/>
        <v/>
      </c>
      <c r="N1499" s="311" t="str">
        <f t="shared" si="1609"/>
        <v/>
      </c>
    </row>
    <row r="1500" spans="1:14" s="294" customFormat="1">
      <c r="A1500" s="297" t="s">
        <v>1494</v>
      </c>
      <c r="B1500" s="301"/>
      <c r="C1500" s="299" t="s">
        <v>1496</v>
      </c>
      <c r="D1500" s="299">
        <v>1</v>
      </c>
      <c r="E1500" s="300">
        <f>13+14+13</f>
        <v>40</v>
      </c>
      <c r="F1500" s="300">
        <f t="shared" ref="F1500:F1501" si="1610">E1500*D1500</f>
        <v>40</v>
      </c>
      <c r="G1500" s="302">
        <f>(0.2+0.35)*2+17*0.008*2</f>
        <v>1.37</v>
      </c>
      <c r="H1500" s="310" t="str">
        <f t="shared" si="1603"/>
        <v/>
      </c>
      <c r="I1500" s="311">
        <f t="shared" si="1604"/>
        <v>54.8</v>
      </c>
      <c r="J1500" s="311" t="str">
        <f t="shared" si="1605"/>
        <v/>
      </c>
      <c r="K1500" s="311" t="str">
        <f t="shared" si="1606"/>
        <v/>
      </c>
      <c r="L1500" s="310" t="str">
        <f t="shared" si="1607"/>
        <v/>
      </c>
      <c r="M1500" s="310" t="str">
        <f t="shared" si="1608"/>
        <v/>
      </c>
      <c r="N1500" s="311" t="str">
        <f t="shared" si="1609"/>
        <v/>
      </c>
    </row>
    <row r="1501" spans="1:14" s="294" customFormat="1">
      <c r="A1501" s="297" t="s">
        <v>1517</v>
      </c>
      <c r="B1501" s="301"/>
      <c r="C1501" s="299" t="s">
        <v>1496</v>
      </c>
      <c r="D1501" s="299">
        <v>1</v>
      </c>
      <c r="E1501" s="300">
        <v>40</v>
      </c>
      <c r="F1501" s="300">
        <f t="shared" si="1610"/>
        <v>40</v>
      </c>
      <c r="G1501" s="302">
        <f>(0.35*2)+17*0.008*2</f>
        <v>0.97</v>
      </c>
      <c r="H1501" s="310" t="str">
        <f t="shared" si="1603"/>
        <v/>
      </c>
      <c r="I1501" s="311">
        <f t="shared" si="1604"/>
        <v>38.799999999999997</v>
      </c>
      <c r="J1501" s="311" t="str">
        <f t="shared" si="1605"/>
        <v/>
      </c>
      <c r="K1501" s="311" t="str">
        <f t="shared" si="1606"/>
        <v/>
      </c>
      <c r="L1501" s="310" t="str">
        <f t="shared" si="1607"/>
        <v/>
      </c>
      <c r="M1501" s="310" t="str">
        <f t="shared" si="1608"/>
        <v/>
      </c>
      <c r="N1501" s="311" t="str">
        <f t="shared" si="1609"/>
        <v/>
      </c>
    </row>
    <row r="1502" spans="1:14">
      <c r="A1502" s="297" t="s">
        <v>1520</v>
      </c>
      <c r="B1502" s="254"/>
      <c r="C1502" s="299" t="s">
        <v>1492</v>
      </c>
      <c r="D1502" s="299">
        <v>1</v>
      </c>
      <c r="E1502" s="300">
        <v>3</v>
      </c>
      <c r="F1502" s="300">
        <f>E1502*D1502</f>
        <v>3</v>
      </c>
      <c r="G1502" s="302">
        <v>2.9</v>
      </c>
      <c r="H1502" s="310" t="str">
        <f t="shared" si="1603"/>
        <v/>
      </c>
      <c r="I1502" s="311" t="str">
        <f t="shared" si="1604"/>
        <v/>
      </c>
      <c r="J1502" s="311" t="str">
        <f t="shared" si="1605"/>
        <v/>
      </c>
      <c r="K1502" s="311" t="str">
        <f t="shared" si="1606"/>
        <v/>
      </c>
      <c r="L1502" s="310">
        <f t="shared" si="1607"/>
        <v>8.6999999999999993</v>
      </c>
      <c r="M1502" s="310" t="str">
        <f t="shared" si="1608"/>
        <v/>
      </c>
      <c r="N1502" s="311" t="str">
        <f t="shared" si="1609"/>
        <v/>
      </c>
    </row>
    <row r="1503" spans="1:14" ht="16.5">
      <c r="A1503" s="303"/>
      <c r="B1503" s="254"/>
      <c r="C1503" s="299"/>
      <c r="D1503" s="299"/>
      <c r="E1503" s="300"/>
      <c r="F1503" s="300"/>
      <c r="G1503" s="302"/>
      <c r="H1503" s="310"/>
      <c r="I1503" s="311"/>
      <c r="J1503" s="311"/>
      <c r="K1503" s="311"/>
      <c r="L1503" s="310"/>
      <c r="M1503" s="310"/>
      <c r="N1503" s="311"/>
    </row>
    <row r="1504" spans="1:14" ht="16.5">
      <c r="A1504" s="303" t="s">
        <v>1396</v>
      </c>
      <c r="B1504" s="254"/>
      <c r="C1504" s="299"/>
      <c r="D1504" s="299"/>
      <c r="E1504" s="300"/>
      <c r="F1504" s="300"/>
      <c r="G1504" s="302"/>
      <c r="H1504" s="310"/>
      <c r="I1504" s="311"/>
      <c r="J1504" s="311"/>
      <c r="K1504" s="311"/>
      <c r="L1504" s="310"/>
      <c r="M1504" s="310"/>
      <c r="N1504" s="311"/>
    </row>
    <row r="1505" spans="1:14" s="294" customFormat="1">
      <c r="A1505" s="297" t="s">
        <v>1515</v>
      </c>
      <c r="B1505" s="298"/>
      <c r="C1505" s="299" t="s">
        <v>1519</v>
      </c>
      <c r="D1505" s="299">
        <v>1</v>
      </c>
      <c r="E1505" s="300">
        <v>3</v>
      </c>
      <c r="F1505" s="300">
        <f>E1505*D1505</f>
        <v>3</v>
      </c>
      <c r="G1505" s="299">
        <f>(2.45)+17*0.01*2</f>
        <v>2.79</v>
      </c>
      <c r="H1505" s="310" t="str">
        <f t="shared" ref="H1505:H1509" si="1611">IF(C1505="T6",G1505*F1505,"")</f>
        <v/>
      </c>
      <c r="I1505" s="311" t="str">
        <f t="shared" ref="I1505:I1509" si="1612">IF(C1505="T8",F1505*G1505,"")</f>
        <v/>
      </c>
      <c r="J1505" s="311">
        <f t="shared" ref="J1505:J1509" si="1613">IF(C1505="T10",F1505*G1505,"")</f>
        <v>8.3699999999999992</v>
      </c>
      <c r="K1505" s="311" t="str">
        <f t="shared" ref="K1505:K1509" si="1614">IF(C1505="T12",F1505*G1505,"")</f>
        <v/>
      </c>
      <c r="L1505" s="310" t="str">
        <f t="shared" ref="L1505:L1509" si="1615">IF(C1505="T14",F1505*G1505,"")</f>
        <v/>
      </c>
      <c r="M1505" s="310" t="str">
        <f t="shared" ref="M1505:M1509" si="1616">IF(C1505="T16",G1505*F1505,"")</f>
        <v/>
      </c>
      <c r="N1505" s="311" t="str">
        <f t="shared" ref="N1505:N1509" si="1617">IF(C1505="T20",G1505*F1505,"")</f>
        <v/>
      </c>
    </row>
    <row r="1506" spans="1:14" s="294" customFormat="1">
      <c r="A1506" s="297" t="s">
        <v>1515</v>
      </c>
      <c r="B1506" s="298"/>
      <c r="C1506" s="299" t="s">
        <v>1516</v>
      </c>
      <c r="D1506" s="299">
        <v>1</v>
      </c>
      <c r="E1506" s="300">
        <v>3</v>
      </c>
      <c r="F1506" s="300">
        <f>E1506*D1506</f>
        <v>3</v>
      </c>
      <c r="G1506" s="302">
        <f>(2.45)+17*0.012*2</f>
        <v>2.86</v>
      </c>
      <c r="H1506" s="310" t="str">
        <f t="shared" si="1611"/>
        <v/>
      </c>
      <c r="I1506" s="311" t="str">
        <f t="shared" si="1612"/>
        <v/>
      </c>
      <c r="J1506" s="311" t="str">
        <f t="shared" si="1613"/>
        <v/>
      </c>
      <c r="K1506" s="311">
        <f t="shared" si="1614"/>
        <v>8.58</v>
      </c>
      <c r="L1506" s="310" t="str">
        <f t="shared" si="1615"/>
        <v/>
      </c>
      <c r="M1506" s="310" t="str">
        <f t="shared" si="1616"/>
        <v/>
      </c>
      <c r="N1506" s="311" t="str">
        <f t="shared" si="1617"/>
        <v/>
      </c>
    </row>
    <row r="1507" spans="1:14" s="294" customFormat="1">
      <c r="A1507" s="297" t="s">
        <v>1494</v>
      </c>
      <c r="B1507" s="301"/>
      <c r="C1507" s="299" t="s">
        <v>1496</v>
      </c>
      <c r="D1507" s="299">
        <v>1</v>
      </c>
      <c r="E1507" s="300">
        <f>13+14+13</f>
        <v>40</v>
      </c>
      <c r="F1507" s="300">
        <f t="shared" ref="F1507:F1508" si="1618">E1507*D1507</f>
        <v>40</v>
      </c>
      <c r="G1507" s="302">
        <f>(0.2+0.25)*2+17*0.008*2</f>
        <v>1.17</v>
      </c>
      <c r="H1507" s="310" t="str">
        <f t="shared" si="1611"/>
        <v/>
      </c>
      <c r="I1507" s="311">
        <f t="shared" si="1612"/>
        <v>46.8</v>
      </c>
      <c r="J1507" s="311" t="str">
        <f t="shared" si="1613"/>
        <v/>
      </c>
      <c r="K1507" s="311" t="str">
        <f t="shared" si="1614"/>
        <v/>
      </c>
      <c r="L1507" s="310" t="str">
        <f t="shared" si="1615"/>
        <v/>
      </c>
      <c r="M1507" s="310" t="str">
        <f t="shared" si="1616"/>
        <v/>
      </c>
      <c r="N1507" s="311" t="str">
        <f t="shared" si="1617"/>
        <v/>
      </c>
    </row>
    <row r="1508" spans="1:14" s="294" customFormat="1">
      <c r="A1508" s="297" t="s">
        <v>1517</v>
      </c>
      <c r="B1508" s="301"/>
      <c r="C1508" s="299" t="s">
        <v>1496</v>
      </c>
      <c r="D1508" s="299">
        <v>1</v>
      </c>
      <c r="E1508" s="300">
        <v>40</v>
      </c>
      <c r="F1508" s="300">
        <f t="shared" si="1618"/>
        <v>40</v>
      </c>
      <c r="G1508" s="302">
        <f>(0.25*2)+17*0.008*2</f>
        <v>0.77</v>
      </c>
      <c r="H1508" s="310" t="str">
        <f t="shared" si="1611"/>
        <v/>
      </c>
      <c r="I1508" s="311">
        <f t="shared" si="1612"/>
        <v>30.8</v>
      </c>
      <c r="J1508" s="311" t="str">
        <f t="shared" si="1613"/>
        <v/>
      </c>
      <c r="K1508" s="311" t="str">
        <f t="shared" si="1614"/>
        <v/>
      </c>
      <c r="L1508" s="310" t="str">
        <f t="shared" si="1615"/>
        <v/>
      </c>
      <c r="M1508" s="310" t="str">
        <f t="shared" si="1616"/>
        <v/>
      </c>
      <c r="N1508" s="311" t="str">
        <f t="shared" si="1617"/>
        <v/>
      </c>
    </row>
    <row r="1509" spans="1:14">
      <c r="A1509" s="297" t="s">
        <v>1520</v>
      </c>
      <c r="B1509" s="254"/>
      <c r="C1509" s="299" t="s">
        <v>1492</v>
      </c>
      <c r="D1509" s="299">
        <v>1</v>
      </c>
      <c r="E1509" s="300">
        <v>3</v>
      </c>
      <c r="F1509" s="300">
        <f>E1509*D1509</f>
        <v>3</v>
      </c>
      <c r="G1509" s="302">
        <v>3</v>
      </c>
      <c r="H1509" s="310" t="str">
        <f t="shared" si="1611"/>
        <v/>
      </c>
      <c r="I1509" s="311" t="str">
        <f t="shared" si="1612"/>
        <v/>
      </c>
      <c r="J1509" s="311" t="str">
        <f t="shared" si="1613"/>
        <v/>
      </c>
      <c r="K1509" s="311" t="str">
        <f t="shared" si="1614"/>
        <v/>
      </c>
      <c r="L1509" s="310">
        <f t="shared" si="1615"/>
        <v>9</v>
      </c>
      <c r="M1509" s="310" t="str">
        <f t="shared" si="1616"/>
        <v/>
      </c>
      <c r="N1509" s="311" t="str">
        <f t="shared" si="1617"/>
        <v/>
      </c>
    </row>
    <row r="1510" spans="1:14" ht="16.5">
      <c r="A1510" s="303"/>
      <c r="B1510" s="254"/>
      <c r="C1510" s="299" t="s">
        <v>1519</v>
      </c>
      <c r="D1510" s="299">
        <v>1</v>
      </c>
      <c r="E1510" s="300">
        <v>3</v>
      </c>
      <c r="F1510" s="300">
        <f>E1510*D1510</f>
        <v>3</v>
      </c>
      <c r="G1510" s="302">
        <v>1.7</v>
      </c>
      <c r="H1510" s="310" t="str">
        <f t="shared" ref="H1510" si="1619">IF(C1510="T6",G1510*F1510,"")</f>
        <v/>
      </c>
      <c r="I1510" s="311" t="str">
        <f t="shared" ref="I1510" si="1620">IF(C1510="T8",F1510*G1510,"")</f>
        <v/>
      </c>
      <c r="J1510" s="311">
        <f t="shared" ref="J1510" si="1621">IF(C1510="T10",F1510*G1510,"")</f>
        <v>5.0999999999999996</v>
      </c>
      <c r="K1510" s="311" t="str">
        <f t="shared" ref="K1510" si="1622">IF(C1510="T12",F1510*G1510,"")</f>
        <v/>
      </c>
      <c r="L1510" s="310" t="str">
        <f t="shared" ref="L1510" si="1623">IF(C1510="T14",F1510*G1510,"")</f>
        <v/>
      </c>
      <c r="M1510" s="310" t="str">
        <f t="shared" ref="M1510" si="1624">IF(C1510="T16",G1510*F1510,"")</f>
        <v/>
      </c>
      <c r="N1510" s="311" t="str">
        <f t="shared" ref="N1510" si="1625">IF(C1510="T20",G1510*F1510,"")</f>
        <v/>
      </c>
    </row>
    <row r="1511" spans="1:14" ht="16.5">
      <c r="A1511" s="303"/>
      <c r="B1511" s="254"/>
      <c r="C1511" s="299"/>
      <c r="D1511" s="299"/>
      <c r="E1511" s="300"/>
      <c r="F1511" s="300"/>
      <c r="G1511" s="302"/>
      <c r="H1511" s="310"/>
      <c r="I1511" s="311"/>
      <c r="J1511" s="311"/>
      <c r="K1511" s="311"/>
      <c r="L1511" s="310"/>
      <c r="M1511" s="310"/>
      <c r="N1511" s="311"/>
    </row>
    <row r="1512" spans="1:14" ht="16.5">
      <c r="A1512" s="303" t="s">
        <v>1397</v>
      </c>
      <c r="B1512" s="254"/>
      <c r="C1512" s="299"/>
      <c r="D1512" s="299"/>
      <c r="E1512" s="300"/>
      <c r="F1512" s="300"/>
      <c r="G1512" s="302"/>
      <c r="H1512" s="310"/>
      <c r="I1512" s="311"/>
      <c r="J1512" s="311"/>
      <c r="K1512" s="311"/>
      <c r="L1512" s="310"/>
      <c r="M1512" s="310"/>
      <c r="N1512" s="311"/>
    </row>
    <row r="1513" spans="1:14" s="294" customFormat="1">
      <c r="A1513" s="297" t="s">
        <v>1515</v>
      </c>
      <c r="B1513" s="298"/>
      <c r="C1513" s="299" t="s">
        <v>1519</v>
      </c>
      <c r="D1513" s="299">
        <v>1</v>
      </c>
      <c r="E1513" s="300">
        <v>3</v>
      </c>
      <c r="F1513" s="300">
        <f>E1513*D1513</f>
        <v>3</v>
      </c>
      <c r="G1513" s="299">
        <f>(5.65)+17*0.01*2</f>
        <v>5.99</v>
      </c>
      <c r="H1513" s="310" t="str">
        <f t="shared" ref="H1513:H1520" si="1626">IF(C1513="T6",G1513*F1513,"")</f>
        <v/>
      </c>
      <c r="I1513" s="311" t="str">
        <f t="shared" ref="I1513:I1520" si="1627">IF(C1513="T8",F1513*G1513,"")</f>
        <v/>
      </c>
      <c r="J1513" s="311">
        <f t="shared" ref="J1513:J1520" si="1628">IF(C1513="T10",F1513*G1513,"")</f>
        <v>17.97</v>
      </c>
      <c r="K1513" s="311" t="str">
        <f t="shared" ref="K1513:K1520" si="1629">IF(C1513="T12",F1513*G1513,"")</f>
        <v/>
      </c>
      <c r="L1513" s="310" t="str">
        <f t="shared" ref="L1513:L1520" si="1630">IF(C1513="T14",F1513*G1513,"")</f>
        <v/>
      </c>
      <c r="M1513" s="310" t="str">
        <f t="shared" ref="M1513:M1520" si="1631">IF(C1513="T16",G1513*F1513,"")</f>
        <v/>
      </c>
      <c r="N1513" s="311" t="str">
        <f t="shared" ref="N1513:N1520" si="1632">IF(C1513="T20",G1513*F1513,"")</f>
        <v/>
      </c>
    </row>
    <row r="1514" spans="1:14" s="294" customFormat="1">
      <c r="A1514" s="297" t="s">
        <v>1515</v>
      </c>
      <c r="B1514" s="298"/>
      <c r="C1514" s="299" t="s">
        <v>1492</v>
      </c>
      <c r="D1514" s="299">
        <v>1</v>
      </c>
      <c r="E1514" s="300">
        <v>3</v>
      </c>
      <c r="F1514" s="300">
        <f>E1514*D1514</f>
        <v>3</v>
      </c>
      <c r="G1514" s="302">
        <f>(5.65)+17*0.014*2</f>
        <v>6.13</v>
      </c>
      <c r="H1514" s="310" t="str">
        <f t="shared" si="1626"/>
        <v/>
      </c>
      <c r="I1514" s="311" t="str">
        <f t="shared" si="1627"/>
        <v/>
      </c>
      <c r="J1514" s="311" t="str">
        <f t="shared" si="1628"/>
        <v/>
      </c>
      <c r="K1514" s="311" t="str">
        <f t="shared" si="1629"/>
        <v/>
      </c>
      <c r="L1514" s="310">
        <f t="shared" si="1630"/>
        <v>18.39</v>
      </c>
      <c r="M1514" s="310" t="str">
        <f t="shared" si="1631"/>
        <v/>
      </c>
      <c r="N1514" s="311" t="str">
        <f t="shared" si="1632"/>
        <v/>
      </c>
    </row>
    <row r="1515" spans="1:14" s="294" customFormat="1">
      <c r="A1515" s="297"/>
      <c r="B1515" s="298"/>
      <c r="C1515" s="299" t="s">
        <v>1519</v>
      </c>
      <c r="D1515" s="299">
        <v>1</v>
      </c>
      <c r="E1515" s="300">
        <v>3</v>
      </c>
      <c r="F1515" s="300">
        <f>E1515*D1515</f>
        <v>3</v>
      </c>
      <c r="G1515" s="299">
        <v>5.65</v>
      </c>
      <c r="H1515" s="310" t="str">
        <f t="shared" ref="H1515" si="1633">IF(C1515="T6",G1515*F1515,"")</f>
        <v/>
      </c>
      <c r="I1515" s="311" t="str">
        <f t="shared" ref="I1515" si="1634">IF(C1515="T8",F1515*G1515,"")</f>
        <v/>
      </c>
      <c r="J1515" s="311">
        <f t="shared" ref="J1515" si="1635">IF(C1515="T10",F1515*G1515,"")</f>
        <v>16.95</v>
      </c>
      <c r="K1515" s="311" t="str">
        <f t="shared" ref="K1515" si="1636">IF(C1515="T12",F1515*G1515,"")</f>
        <v/>
      </c>
      <c r="L1515" s="310" t="str">
        <f t="shared" ref="L1515" si="1637">IF(C1515="T14",F1515*G1515,"")</f>
        <v/>
      </c>
      <c r="M1515" s="310" t="str">
        <f t="shared" ref="M1515" si="1638">IF(C1515="T16",G1515*F1515,"")</f>
        <v/>
      </c>
      <c r="N1515" s="311" t="str">
        <f t="shared" ref="N1515" si="1639">IF(C1515="T20",G1515*F1515,"")</f>
        <v/>
      </c>
    </row>
    <row r="1516" spans="1:14" s="294" customFormat="1">
      <c r="A1516" s="297" t="s">
        <v>1494</v>
      </c>
      <c r="B1516" s="301"/>
      <c r="C1516" s="299" t="s">
        <v>1496</v>
      </c>
      <c r="D1516" s="299">
        <v>1</v>
      </c>
      <c r="E1516" s="300">
        <f>17+15+17</f>
        <v>49</v>
      </c>
      <c r="F1516" s="300">
        <f t="shared" ref="F1516:F1517" si="1640">E1516*D1516</f>
        <v>49</v>
      </c>
      <c r="G1516" s="302">
        <f>(0.2+0.45)*2+17*0.008*2</f>
        <v>1.57</v>
      </c>
      <c r="H1516" s="310" t="str">
        <f t="shared" si="1626"/>
        <v/>
      </c>
      <c r="I1516" s="311">
        <f t="shared" si="1627"/>
        <v>76.930000000000007</v>
      </c>
      <c r="J1516" s="311" t="str">
        <f t="shared" si="1628"/>
        <v/>
      </c>
      <c r="K1516" s="311" t="str">
        <f t="shared" si="1629"/>
        <v/>
      </c>
      <c r="L1516" s="310" t="str">
        <f t="shared" si="1630"/>
        <v/>
      </c>
      <c r="M1516" s="310" t="str">
        <f t="shared" si="1631"/>
        <v/>
      </c>
      <c r="N1516" s="311" t="str">
        <f t="shared" si="1632"/>
        <v/>
      </c>
    </row>
    <row r="1517" spans="1:14" s="294" customFormat="1">
      <c r="A1517" s="297" t="s">
        <v>1517</v>
      </c>
      <c r="B1517" s="301"/>
      <c r="C1517" s="299" t="s">
        <v>1496</v>
      </c>
      <c r="D1517" s="299">
        <v>1</v>
      </c>
      <c r="E1517" s="300">
        <f>17+15+17</f>
        <v>49</v>
      </c>
      <c r="F1517" s="300">
        <f t="shared" si="1640"/>
        <v>49</v>
      </c>
      <c r="G1517" s="302">
        <f>(0.45*2)+17*0.008*2</f>
        <v>1.17</v>
      </c>
      <c r="H1517" s="310" t="str">
        <f t="shared" si="1626"/>
        <v/>
      </c>
      <c r="I1517" s="311">
        <f t="shared" si="1627"/>
        <v>57.33</v>
      </c>
      <c r="J1517" s="311" t="str">
        <f t="shared" si="1628"/>
        <v/>
      </c>
      <c r="K1517" s="311" t="str">
        <f t="shared" si="1629"/>
        <v/>
      </c>
      <c r="L1517" s="310" t="str">
        <f t="shared" si="1630"/>
        <v/>
      </c>
      <c r="M1517" s="310" t="str">
        <f t="shared" si="1631"/>
        <v/>
      </c>
      <c r="N1517" s="311" t="str">
        <f t="shared" si="1632"/>
        <v/>
      </c>
    </row>
    <row r="1518" spans="1:14">
      <c r="A1518" s="297" t="s">
        <v>1518</v>
      </c>
      <c r="B1518" s="254"/>
      <c r="C1518" s="299" t="s">
        <v>1492</v>
      </c>
      <c r="D1518" s="299">
        <v>1</v>
      </c>
      <c r="E1518" s="300">
        <v>3</v>
      </c>
      <c r="F1518" s="300">
        <f>E1518*D1518</f>
        <v>3</v>
      </c>
      <c r="G1518" s="302">
        <v>2</v>
      </c>
      <c r="H1518" s="310" t="str">
        <f t="shared" ref="H1518" si="1641">IF(C1518="T6",G1518*F1518,"")</f>
        <v/>
      </c>
      <c r="I1518" s="311" t="str">
        <f t="shared" ref="I1518" si="1642">IF(C1518="T8",F1518*G1518,"")</f>
        <v/>
      </c>
      <c r="J1518" s="311" t="str">
        <f t="shared" ref="J1518" si="1643">IF(C1518="T10",F1518*G1518,"")</f>
        <v/>
      </c>
      <c r="K1518" s="311" t="str">
        <f t="shared" ref="K1518" si="1644">IF(C1518="T12",F1518*G1518,"")</f>
        <v/>
      </c>
      <c r="L1518" s="310">
        <f t="shared" ref="L1518" si="1645">IF(C1518="T14",F1518*G1518,"")</f>
        <v>6</v>
      </c>
      <c r="M1518" s="310" t="str">
        <f t="shared" ref="M1518" si="1646">IF(C1518="T16",G1518*F1518,"")</f>
        <v/>
      </c>
      <c r="N1518" s="311" t="str">
        <f t="shared" ref="N1518" si="1647">IF(C1518="T20",G1518*F1518,"")</f>
        <v/>
      </c>
    </row>
    <row r="1519" spans="1:14">
      <c r="A1519" s="297" t="s">
        <v>1520</v>
      </c>
      <c r="B1519" s="254"/>
      <c r="C1519" s="299" t="s">
        <v>1492</v>
      </c>
      <c r="D1519" s="299">
        <v>1</v>
      </c>
      <c r="E1519" s="300">
        <v>3</v>
      </c>
      <c r="F1519" s="300">
        <f>E1519*D1519</f>
        <v>3</v>
      </c>
      <c r="G1519" s="302">
        <v>3.2</v>
      </c>
      <c r="H1519" s="310" t="str">
        <f t="shared" si="1626"/>
        <v/>
      </c>
      <c r="I1519" s="311" t="str">
        <f t="shared" si="1627"/>
        <v/>
      </c>
      <c r="J1519" s="311" t="str">
        <f t="shared" si="1628"/>
        <v/>
      </c>
      <c r="K1519" s="311" t="str">
        <f t="shared" si="1629"/>
        <v/>
      </c>
      <c r="L1519" s="310">
        <f t="shared" si="1630"/>
        <v>9.6</v>
      </c>
      <c r="M1519" s="310" t="str">
        <f t="shared" si="1631"/>
        <v/>
      </c>
      <c r="N1519" s="311" t="str">
        <f t="shared" si="1632"/>
        <v/>
      </c>
    </row>
    <row r="1520" spans="1:14">
      <c r="A1520" s="297" t="s">
        <v>1520</v>
      </c>
      <c r="B1520" s="254"/>
      <c r="C1520" s="299" t="s">
        <v>1492</v>
      </c>
      <c r="D1520" s="299">
        <v>1</v>
      </c>
      <c r="E1520" s="300">
        <v>3</v>
      </c>
      <c r="F1520" s="300">
        <f>E1520*D1520</f>
        <v>3</v>
      </c>
      <c r="G1520" s="302">
        <v>5.15</v>
      </c>
      <c r="H1520" s="310" t="str">
        <f t="shared" si="1626"/>
        <v/>
      </c>
      <c r="I1520" s="311" t="str">
        <f t="shared" si="1627"/>
        <v/>
      </c>
      <c r="J1520" s="311" t="str">
        <f t="shared" si="1628"/>
        <v/>
      </c>
      <c r="K1520" s="311" t="str">
        <f t="shared" si="1629"/>
        <v/>
      </c>
      <c r="L1520" s="310">
        <f t="shared" si="1630"/>
        <v>15.45</v>
      </c>
      <c r="M1520" s="310" t="str">
        <f t="shared" si="1631"/>
        <v/>
      </c>
      <c r="N1520" s="311" t="str">
        <f t="shared" si="1632"/>
        <v/>
      </c>
    </row>
    <row r="1521" spans="1:14" ht="16.5">
      <c r="A1521" s="303"/>
      <c r="B1521" s="254"/>
      <c r="C1521" s="299"/>
      <c r="D1521" s="299"/>
      <c r="E1521" s="300"/>
      <c r="F1521" s="300"/>
      <c r="G1521" s="302"/>
      <c r="H1521" s="310"/>
      <c r="I1521" s="311"/>
      <c r="J1521" s="311"/>
      <c r="K1521" s="311"/>
      <c r="L1521" s="310"/>
      <c r="M1521" s="310"/>
      <c r="N1521" s="311"/>
    </row>
    <row r="1522" spans="1:14" ht="16.5">
      <c r="A1522" s="303" t="s">
        <v>1398</v>
      </c>
      <c r="B1522" s="254"/>
      <c r="C1522" s="299"/>
      <c r="D1522" s="299"/>
      <c r="E1522" s="300"/>
      <c r="F1522" s="300"/>
      <c r="G1522" s="302"/>
      <c r="H1522" s="310"/>
      <c r="I1522" s="311"/>
      <c r="J1522" s="311"/>
      <c r="K1522" s="311"/>
      <c r="L1522" s="310"/>
      <c r="M1522" s="310"/>
      <c r="N1522" s="311"/>
    </row>
    <row r="1523" spans="1:14" s="294" customFormat="1">
      <c r="A1523" s="297" t="s">
        <v>1515</v>
      </c>
      <c r="B1523" s="298"/>
      <c r="C1523" s="299" t="s">
        <v>1519</v>
      </c>
      <c r="D1523" s="299">
        <v>1</v>
      </c>
      <c r="E1523" s="300">
        <v>3</v>
      </c>
      <c r="F1523" s="300">
        <f>E1523*D1523</f>
        <v>3</v>
      </c>
      <c r="G1523" s="299">
        <f>(3.6)+17*0.01*2</f>
        <v>3.94</v>
      </c>
      <c r="H1523" s="310" t="str">
        <f t="shared" ref="H1523:H1527" si="1648">IF(C1523="T6",G1523*F1523,"")</f>
        <v/>
      </c>
      <c r="I1523" s="311" t="str">
        <f t="shared" ref="I1523:I1527" si="1649">IF(C1523="T8",F1523*G1523,"")</f>
        <v/>
      </c>
      <c r="J1523" s="311">
        <f t="shared" ref="J1523:J1527" si="1650">IF(C1523="T10",F1523*G1523,"")</f>
        <v>11.82</v>
      </c>
      <c r="K1523" s="311" t="str">
        <f t="shared" ref="K1523:K1527" si="1651">IF(C1523="T12",F1523*G1523,"")</f>
        <v/>
      </c>
      <c r="L1523" s="310" t="str">
        <f t="shared" ref="L1523:L1527" si="1652">IF(C1523="T14",F1523*G1523,"")</f>
        <v/>
      </c>
      <c r="M1523" s="310" t="str">
        <f t="shared" ref="M1523:M1527" si="1653">IF(C1523="T16",G1523*F1523,"")</f>
        <v/>
      </c>
      <c r="N1523" s="311" t="str">
        <f t="shared" ref="N1523:N1527" si="1654">IF(C1523="T20",G1523*F1523,"")</f>
        <v/>
      </c>
    </row>
    <row r="1524" spans="1:14" s="294" customFormat="1">
      <c r="A1524" s="297" t="s">
        <v>1515</v>
      </c>
      <c r="B1524" s="298"/>
      <c r="C1524" s="299" t="s">
        <v>1492</v>
      </c>
      <c r="D1524" s="299">
        <v>1</v>
      </c>
      <c r="E1524" s="300">
        <v>3</v>
      </c>
      <c r="F1524" s="300">
        <f>E1524*D1524</f>
        <v>3</v>
      </c>
      <c r="G1524" s="302">
        <f>(3.6)+17*0.014*2</f>
        <v>4.08</v>
      </c>
      <c r="H1524" s="310" t="str">
        <f t="shared" si="1648"/>
        <v/>
      </c>
      <c r="I1524" s="311" t="str">
        <f t="shared" si="1649"/>
        <v/>
      </c>
      <c r="J1524" s="311" t="str">
        <f t="shared" si="1650"/>
        <v/>
      </c>
      <c r="K1524" s="311" t="str">
        <f t="shared" si="1651"/>
        <v/>
      </c>
      <c r="L1524" s="310">
        <f t="shared" si="1652"/>
        <v>12.24</v>
      </c>
      <c r="M1524" s="310" t="str">
        <f t="shared" si="1653"/>
        <v/>
      </c>
      <c r="N1524" s="311" t="str">
        <f t="shared" si="1654"/>
        <v/>
      </c>
    </row>
    <row r="1525" spans="1:14" s="294" customFormat="1">
      <c r="A1525" s="297" t="s">
        <v>1494</v>
      </c>
      <c r="B1525" s="301"/>
      <c r="C1525" s="299" t="s">
        <v>1496</v>
      </c>
      <c r="D1525" s="299">
        <v>1</v>
      </c>
      <c r="E1525" s="300">
        <f>12+12+13</f>
        <v>37</v>
      </c>
      <c r="F1525" s="300">
        <f t="shared" ref="F1525:F1526" si="1655">E1525*D1525</f>
        <v>37</v>
      </c>
      <c r="G1525" s="302">
        <f>(0.2+0.25)*2+17*0.008*2</f>
        <v>1.17</v>
      </c>
      <c r="H1525" s="310" t="str">
        <f t="shared" si="1648"/>
        <v/>
      </c>
      <c r="I1525" s="311">
        <f t="shared" si="1649"/>
        <v>43.29</v>
      </c>
      <c r="J1525" s="311" t="str">
        <f t="shared" si="1650"/>
        <v/>
      </c>
      <c r="K1525" s="311" t="str">
        <f t="shared" si="1651"/>
        <v/>
      </c>
      <c r="L1525" s="310" t="str">
        <f t="shared" si="1652"/>
        <v/>
      </c>
      <c r="M1525" s="310" t="str">
        <f t="shared" si="1653"/>
        <v/>
      </c>
      <c r="N1525" s="311" t="str">
        <f t="shared" si="1654"/>
        <v/>
      </c>
    </row>
    <row r="1526" spans="1:14" s="294" customFormat="1">
      <c r="A1526" s="297" t="s">
        <v>1517</v>
      </c>
      <c r="B1526" s="301"/>
      <c r="C1526" s="299" t="s">
        <v>1496</v>
      </c>
      <c r="D1526" s="299">
        <v>1</v>
      </c>
      <c r="E1526" s="300">
        <f>12+12+13</f>
        <v>37</v>
      </c>
      <c r="F1526" s="300">
        <f t="shared" si="1655"/>
        <v>37</v>
      </c>
      <c r="G1526" s="302">
        <f>(0.25*2)+17*0.008*2</f>
        <v>0.77</v>
      </c>
      <c r="H1526" s="310" t="str">
        <f t="shared" si="1648"/>
        <v/>
      </c>
      <c r="I1526" s="311">
        <f t="shared" si="1649"/>
        <v>28.49</v>
      </c>
      <c r="J1526" s="311" t="str">
        <f t="shared" si="1650"/>
        <v/>
      </c>
      <c r="K1526" s="311" t="str">
        <f t="shared" si="1651"/>
        <v/>
      </c>
      <c r="L1526" s="310" t="str">
        <f t="shared" si="1652"/>
        <v/>
      </c>
      <c r="M1526" s="310" t="str">
        <f t="shared" si="1653"/>
        <v/>
      </c>
      <c r="N1526" s="311" t="str">
        <f t="shared" si="1654"/>
        <v/>
      </c>
    </row>
    <row r="1527" spans="1:14">
      <c r="A1527" s="297" t="s">
        <v>1520</v>
      </c>
      <c r="B1527" s="254"/>
      <c r="C1527" s="299" t="s">
        <v>1492</v>
      </c>
      <c r="D1527" s="299">
        <v>1</v>
      </c>
      <c r="E1527" s="300">
        <v>6</v>
      </c>
      <c r="F1527" s="300">
        <f>E1527*D1527</f>
        <v>6</v>
      </c>
      <c r="G1527" s="302">
        <v>2.7</v>
      </c>
      <c r="H1527" s="310" t="str">
        <f t="shared" si="1648"/>
        <v/>
      </c>
      <c r="I1527" s="311" t="str">
        <f t="shared" si="1649"/>
        <v/>
      </c>
      <c r="J1527" s="311" t="str">
        <f t="shared" si="1650"/>
        <v/>
      </c>
      <c r="K1527" s="311" t="str">
        <f t="shared" si="1651"/>
        <v/>
      </c>
      <c r="L1527" s="310">
        <f t="shared" si="1652"/>
        <v>16.2</v>
      </c>
      <c r="M1527" s="310" t="str">
        <f t="shared" si="1653"/>
        <v/>
      </c>
      <c r="N1527" s="311" t="str">
        <f t="shared" si="1654"/>
        <v/>
      </c>
    </row>
    <row r="1528" spans="1:14" ht="16.5">
      <c r="A1528" s="303"/>
      <c r="B1528" s="254"/>
      <c r="C1528" s="299"/>
      <c r="D1528" s="299"/>
      <c r="E1528" s="300"/>
      <c r="F1528" s="300"/>
      <c r="G1528" s="302"/>
      <c r="H1528" s="310"/>
      <c r="I1528" s="311"/>
      <c r="J1528" s="311"/>
      <c r="K1528" s="311"/>
      <c r="L1528" s="310"/>
      <c r="M1528" s="310"/>
      <c r="N1528" s="311"/>
    </row>
    <row r="1529" spans="1:14" ht="16.5">
      <c r="A1529" s="303" t="s">
        <v>1399</v>
      </c>
      <c r="B1529" s="254"/>
      <c r="C1529" s="299"/>
      <c r="D1529" s="299"/>
      <c r="E1529" s="300"/>
      <c r="F1529" s="300"/>
      <c r="G1529" s="302"/>
      <c r="H1529" s="310"/>
      <c r="I1529" s="311"/>
      <c r="J1529" s="311"/>
      <c r="K1529" s="311"/>
      <c r="L1529" s="310"/>
      <c r="M1529" s="310"/>
      <c r="N1529" s="311"/>
    </row>
    <row r="1530" spans="1:14" s="294" customFormat="1">
      <c r="A1530" s="297" t="s">
        <v>1515</v>
      </c>
      <c r="B1530" s="298"/>
      <c r="C1530" s="299" t="s">
        <v>1519</v>
      </c>
      <c r="D1530" s="299">
        <v>1</v>
      </c>
      <c r="E1530" s="300">
        <v>3</v>
      </c>
      <c r="F1530" s="300">
        <f>E1530*D1530</f>
        <v>3</v>
      </c>
      <c r="G1530" s="299">
        <f>(1.65)+17*0.01*2</f>
        <v>1.99</v>
      </c>
      <c r="H1530" s="310" t="str">
        <f t="shared" ref="H1530:H1534" si="1656">IF(C1530="T6",G1530*F1530,"")</f>
        <v/>
      </c>
      <c r="I1530" s="311" t="str">
        <f t="shared" ref="I1530:I1534" si="1657">IF(C1530="T8",F1530*G1530,"")</f>
        <v/>
      </c>
      <c r="J1530" s="311">
        <f t="shared" ref="J1530:J1534" si="1658">IF(C1530="T10",F1530*G1530,"")</f>
        <v>5.97</v>
      </c>
      <c r="K1530" s="311" t="str">
        <f t="shared" ref="K1530:K1534" si="1659">IF(C1530="T12",F1530*G1530,"")</f>
        <v/>
      </c>
      <c r="L1530" s="310" t="str">
        <f t="shared" ref="L1530:L1534" si="1660">IF(C1530="T14",F1530*G1530,"")</f>
        <v/>
      </c>
      <c r="M1530" s="310" t="str">
        <f t="shared" ref="M1530:M1534" si="1661">IF(C1530="T16",G1530*F1530,"")</f>
        <v/>
      </c>
      <c r="N1530" s="311" t="str">
        <f t="shared" ref="N1530:N1534" si="1662">IF(C1530="T20",G1530*F1530,"")</f>
        <v/>
      </c>
    </row>
    <row r="1531" spans="1:14" s="294" customFormat="1">
      <c r="A1531" s="297" t="s">
        <v>1515</v>
      </c>
      <c r="B1531" s="298"/>
      <c r="C1531" s="299" t="s">
        <v>1516</v>
      </c>
      <c r="D1531" s="299">
        <v>1</v>
      </c>
      <c r="E1531" s="300">
        <v>3</v>
      </c>
      <c r="F1531" s="300">
        <f>E1531*D1531</f>
        <v>3</v>
      </c>
      <c r="G1531" s="302">
        <f>(1.65)+17*0.014*2</f>
        <v>2.13</v>
      </c>
      <c r="H1531" s="310" t="str">
        <f t="shared" si="1656"/>
        <v/>
      </c>
      <c r="I1531" s="311" t="str">
        <f t="shared" si="1657"/>
        <v/>
      </c>
      <c r="J1531" s="311" t="str">
        <f t="shared" si="1658"/>
        <v/>
      </c>
      <c r="K1531" s="311">
        <f t="shared" si="1659"/>
        <v>6.39</v>
      </c>
      <c r="L1531" s="310" t="str">
        <f t="shared" si="1660"/>
        <v/>
      </c>
      <c r="M1531" s="310" t="str">
        <f t="shared" si="1661"/>
        <v/>
      </c>
      <c r="N1531" s="311" t="str">
        <f t="shared" si="1662"/>
        <v/>
      </c>
    </row>
    <row r="1532" spans="1:14" s="294" customFormat="1">
      <c r="A1532" s="297" t="s">
        <v>1494</v>
      </c>
      <c r="B1532" s="301"/>
      <c r="C1532" s="299" t="s">
        <v>1496</v>
      </c>
      <c r="D1532" s="299">
        <v>1</v>
      </c>
      <c r="E1532" s="300">
        <f>6*3</f>
        <v>18</v>
      </c>
      <c r="F1532" s="300">
        <f t="shared" ref="F1532:F1533" si="1663">E1532*D1532</f>
        <v>18</v>
      </c>
      <c r="G1532" s="302">
        <f>(0.2+0.25)*2+17*0.008*2</f>
        <v>1.17</v>
      </c>
      <c r="H1532" s="310" t="str">
        <f t="shared" si="1656"/>
        <v/>
      </c>
      <c r="I1532" s="311">
        <f t="shared" si="1657"/>
        <v>21.06</v>
      </c>
      <c r="J1532" s="311" t="str">
        <f t="shared" si="1658"/>
        <v/>
      </c>
      <c r="K1532" s="311" t="str">
        <f t="shared" si="1659"/>
        <v/>
      </c>
      <c r="L1532" s="310" t="str">
        <f t="shared" si="1660"/>
        <v/>
      </c>
      <c r="M1532" s="310" t="str">
        <f t="shared" si="1661"/>
        <v/>
      </c>
      <c r="N1532" s="311" t="str">
        <f t="shared" si="1662"/>
        <v/>
      </c>
    </row>
    <row r="1533" spans="1:14" s="294" customFormat="1">
      <c r="A1533" s="297" t="s">
        <v>1517</v>
      </c>
      <c r="B1533" s="301"/>
      <c r="C1533" s="299" t="s">
        <v>1496</v>
      </c>
      <c r="D1533" s="299">
        <v>1</v>
      </c>
      <c r="E1533" s="300">
        <v>18</v>
      </c>
      <c r="F1533" s="300">
        <f t="shared" si="1663"/>
        <v>18</v>
      </c>
      <c r="G1533" s="302">
        <f>(0.25*2)+17*0.008*2</f>
        <v>0.77</v>
      </c>
      <c r="H1533" s="310" t="str">
        <f t="shared" si="1656"/>
        <v/>
      </c>
      <c r="I1533" s="311">
        <f t="shared" si="1657"/>
        <v>13.86</v>
      </c>
      <c r="J1533" s="311" t="str">
        <f t="shared" si="1658"/>
        <v/>
      </c>
      <c r="K1533" s="311" t="str">
        <f t="shared" si="1659"/>
        <v/>
      </c>
      <c r="L1533" s="310" t="str">
        <f t="shared" si="1660"/>
        <v/>
      </c>
      <c r="M1533" s="310" t="str">
        <f t="shared" si="1661"/>
        <v/>
      </c>
      <c r="N1533" s="311" t="str">
        <f t="shared" si="1662"/>
        <v/>
      </c>
    </row>
    <row r="1534" spans="1:14">
      <c r="A1534" s="297" t="s">
        <v>1520</v>
      </c>
      <c r="B1534" s="254"/>
      <c r="C1534" s="299" t="s">
        <v>1492</v>
      </c>
      <c r="D1534" s="299">
        <v>1</v>
      </c>
      <c r="E1534" s="300">
        <v>3</v>
      </c>
      <c r="F1534" s="300">
        <f>E1534*D1534</f>
        <v>3</v>
      </c>
      <c r="G1534" s="302">
        <v>3.4</v>
      </c>
      <c r="H1534" s="310" t="str">
        <f t="shared" si="1656"/>
        <v/>
      </c>
      <c r="I1534" s="311" t="str">
        <f t="shared" si="1657"/>
        <v/>
      </c>
      <c r="J1534" s="311" t="str">
        <f t="shared" si="1658"/>
        <v/>
      </c>
      <c r="K1534" s="311" t="str">
        <f t="shared" si="1659"/>
        <v/>
      </c>
      <c r="L1534" s="310">
        <f t="shared" si="1660"/>
        <v>10.199999999999999</v>
      </c>
      <c r="M1534" s="310" t="str">
        <f t="shared" si="1661"/>
        <v/>
      </c>
      <c r="N1534" s="311" t="str">
        <f t="shared" si="1662"/>
        <v/>
      </c>
    </row>
    <row r="1535" spans="1:14">
      <c r="A1535" s="297"/>
      <c r="B1535" s="254"/>
      <c r="C1535" s="299" t="s">
        <v>1516</v>
      </c>
      <c r="D1535" s="299">
        <v>1</v>
      </c>
      <c r="E1535" s="300">
        <v>3</v>
      </c>
      <c r="F1535" s="300">
        <f>E1535*D1535</f>
        <v>3</v>
      </c>
      <c r="G1535" s="302">
        <v>2</v>
      </c>
      <c r="H1535" s="310" t="str">
        <f t="shared" ref="H1535" si="1664">IF(C1535="T6",G1535*F1535,"")</f>
        <v/>
      </c>
      <c r="I1535" s="311" t="str">
        <f t="shared" ref="I1535" si="1665">IF(C1535="T8",F1535*G1535,"")</f>
        <v/>
      </c>
      <c r="J1535" s="311" t="str">
        <f t="shared" ref="J1535" si="1666">IF(C1535="T10",F1535*G1535,"")</f>
        <v/>
      </c>
      <c r="K1535" s="311">
        <f t="shared" ref="K1535" si="1667">IF(C1535="T12",F1535*G1535,"")</f>
        <v>6</v>
      </c>
      <c r="L1535" s="310" t="str">
        <f t="shared" ref="L1535" si="1668">IF(C1535="T14",F1535*G1535,"")</f>
        <v/>
      </c>
      <c r="M1535" s="310" t="str">
        <f t="shared" ref="M1535" si="1669">IF(C1535="T16",G1535*F1535,"")</f>
        <v/>
      </c>
      <c r="N1535" s="311" t="str">
        <f t="shared" ref="N1535" si="1670">IF(C1535="T20",G1535*F1535,"")</f>
        <v/>
      </c>
    </row>
    <row r="1536" spans="1:14" ht="16.5">
      <c r="A1536" s="303"/>
      <c r="B1536" s="254"/>
      <c r="C1536" s="299"/>
      <c r="D1536" s="299"/>
      <c r="E1536" s="300"/>
      <c r="F1536" s="300"/>
      <c r="G1536" s="302"/>
      <c r="H1536" s="310"/>
      <c r="I1536" s="311"/>
      <c r="J1536" s="311"/>
      <c r="K1536" s="311"/>
      <c r="L1536" s="310"/>
      <c r="M1536" s="310"/>
      <c r="N1536" s="311"/>
    </row>
    <row r="1537" spans="1:14" ht="16.5">
      <c r="A1537" s="303" t="s">
        <v>1400</v>
      </c>
      <c r="B1537" s="254"/>
      <c r="C1537" s="299"/>
      <c r="D1537" s="299"/>
      <c r="E1537" s="300"/>
      <c r="F1537" s="300"/>
      <c r="G1537" s="302"/>
      <c r="H1537" s="310"/>
      <c r="I1537" s="311"/>
      <c r="J1537" s="311"/>
      <c r="K1537" s="311"/>
      <c r="L1537" s="310"/>
      <c r="M1537" s="310"/>
      <c r="N1537" s="311"/>
    </row>
    <row r="1538" spans="1:14" s="294" customFormat="1">
      <c r="A1538" s="297" t="s">
        <v>1515</v>
      </c>
      <c r="B1538" s="298"/>
      <c r="C1538" s="299" t="s">
        <v>1519</v>
      </c>
      <c r="D1538" s="299">
        <v>1</v>
      </c>
      <c r="E1538" s="300">
        <v>3</v>
      </c>
      <c r="F1538" s="300">
        <f>E1538*D1538</f>
        <v>3</v>
      </c>
      <c r="G1538" s="299">
        <f>(4.75)+17*0.01*2</f>
        <v>5.09</v>
      </c>
      <c r="H1538" s="310" t="str">
        <f t="shared" ref="H1538:H1542" si="1671">IF(C1538="T6",G1538*F1538,"")</f>
        <v/>
      </c>
      <c r="I1538" s="311" t="str">
        <f t="shared" ref="I1538:I1542" si="1672">IF(C1538="T8",F1538*G1538,"")</f>
        <v/>
      </c>
      <c r="J1538" s="311">
        <f t="shared" ref="J1538:J1542" si="1673">IF(C1538="T10",F1538*G1538,"")</f>
        <v>15.27</v>
      </c>
      <c r="K1538" s="311" t="str">
        <f t="shared" ref="K1538:K1542" si="1674">IF(C1538="T12",F1538*G1538,"")</f>
        <v/>
      </c>
      <c r="L1538" s="310" t="str">
        <f t="shared" ref="L1538:L1542" si="1675">IF(C1538="T14",F1538*G1538,"")</f>
        <v/>
      </c>
      <c r="M1538" s="310" t="str">
        <f t="shared" ref="M1538:M1542" si="1676">IF(C1538="T16",G1538*F1538,"")</f>
        <v/>
      </c>
      <c r="N1538" s="311" t="str">
        <f t="shared" ref="N1538:N1542" si="1677">IF(C1538="T20",G1538*F1538,"")</f>
        <v/>
      </c>
    </row>
    <row r="1539" spans="1:14" s="294" customFormat="1">
      <c r="A1539" s="297" t="s">
        <v>1515</v>
      </c>
      <c r="B1539" s="298"/>
      <c r="C1539" s="299" t="s">
        <v>1492</v>
      </c>
      <c r="D1539" s="299">
        <v>1</v>
      </c>
      <c r="E1539" s="300">
        <v>3</v>
      </c>
      <c r="F1539" s="300">
        <f>E1539*D1539</f>
        <v>3</v>
      </c>
      <c r="G1539" s="302">
        <f>(4.75)+17*0.014*2</f>
        <v>5.23</v>
      </c>
      <c r="H1539" s="310" t="str">
        <f t="shared" si="1671"/>
        <v/>
      </c>
      <c r="I1539" s="311" t="str">
        <f t="shared" si="1672"/>
        <v/>
      </c>
      <c r="J1539" s="311" t="str">
        <f t="shared" si="1673"/>
        <v/>
      </c>
      <c r="K1539" s="311" t="str">
        <f t="shared" si="1674"/>
        <v/>
      </c>
      <c r="L1539" s="310">
        <f t="shared" si="1675"/>
        <v>15.69</v>
      </c>
      <c r="M1539" s="310" t="str">
        <f t="shared" si="1676"/>
        <v/>
      </c>
      <c r="N1539" s="311" t="str">
        <f t="shared" si="1677"/>
        <v/>
      </c>
    </row>
    <row r="1540" spans="1:14" s="294" customFormat="1">
      <c r="A1540" s="297" t="s">
        <v>1494</v>
      </c>
      <c r="B1540" s="301"/>
      <c r="C1540" s="299" t="s">
        <v>1496</v>
      </c>
      <c r="D1540" s="299">
        <v>1</v>
      </c>
      <c r="E1540" s="300">
        <f>13+14+13</f>
        <v>40</v>
      </c>
      <c r="F1540" s="300">
        <f t="shared" ref="F1540:F1541" si="1678">E1540*D1540</f>
        <v>40</v>
      </c>
      <c r="G1540" s="302">
        <f>(0.2+0.35)*2+17*0.008*2</f>
        <v>1.37</v>
      </c>
      <c r="H1540" s="310" t="str">
        <f t="shared" si="1671"/>
        <v/>
      </c>
      <c r="I1540" s="311">
        <f t="shared" si="1672"/>
        <v>54.8</v>
      </c>
      <c r="J1540" s="311" t="str">
        <f t="shared" si="1673"/>
        <v/>
      </c>
      <c r="K1540" s="311" t="str">
        <f t="shared" si="1674"/>
        <v/>
      </c>
      <c r="L1540" s="310" t="str">
        <f t="shared" si="1675"/>
        <v/>
      </c>
      <c r="M1540" s="310" t="str">
        <f t="shared" si="1676"/>
        <v/>
      </c>
      <c r="N1540" s="311" t="str">
        <f t="shared" si="1677"/>
        <v/>
      </c>
    </row>
    <row r="1541" spans="1:14" s="294" customFormat="1">
      <c r="A1541" s="297" t="s">
        <v>1517</v>
      </c>
      <c r="B1541" s="301"/>
      <c r="C1541" s="299" t="s">
        <v>1496</v>
      </c>
      <c r="D1541" s="299">
        <v>1</v>
      </c>
      <c r="E1541" s="300">
        <f>13+14+13</f>
        <v>40</v>
      </c>
      <c r="F1541" s="300">
        <f t="shared" si="1678"/>
        <v>40</v>
      </c>
      <c r="G1541" s="302">
        <f>(0.35*2)+17*0.008*2</f>
        <v>0.97</v>
      </c>
      <c r="H1541" s="310" t="str">
        <f t="shared" si="1671"/>
        <v/>
      </c>
      <c r="I1541" s="311">
        <f t="shared" si="1672"/>
        <v>38.799999999999997</v>
      </c>
      <c r="J1541" s="311" t="str">
        <f t="shared" si="1673"/>
        <v/>
      </c>
      <c r="K1541" s="311" t="str">
        <f t="shared" si="1674"/>
        <v/>
      </c>
      <c r="L1541" s="310" t="str">
        <f t="shared" si="1675"/>
        <v/>
      </c>
      <c r="M1541" s="310" t="str">
        <f t="shared" si="1676"/>
        <v/>
      </c>
      <c r="N1541" s="311" t="str">
        <f t="shared" si="1677"/>
        <v/>
      </c>
    </row>
    <row r="1542" spans="1:14">
      <c r="A1542" s="297" t="s">
        <v>1520</v>
      </c>
      <c r="B1542" s="254"/>
      <c r="C1542" s="299" t="s">
        <v>1492</v>
      </c>
      <c r="D1542" s="299">
        <v>1</v>
      </c>
      <c r="E1542" s="300">
        <v>3</v>
      </c>
      <c r="F1542" s="300">
        <f>E1542*D1542</f>
        <v>3</v>
      </c>
      <c r="G1542" s="302">
        <v>2.9</v>
      </c>
      <c r="H1542" s="310" t="str">
        <f t="shared" si="1671"/>
        <v/>
      </c>
      <c r="I1542" s="311" t="str">
        <f t="shared" si="1672"/>
        <v/>
      </c>
      <c r="J1542" s="311" t="str">
        <f t="shared" si="1673"/>
        <v/>
      </c>
      <c r="K1542" s="311" t="str">
        <f t="shared" si="1674"/>
        <v/>
      </c>
      <c r="L1542" s="310">
        <f t="shared" si="1675"/>
        <v>8.6999999999999993</v>
      </c>
      <c r="M1542" s="310" t="str">
        <f t="shared" si="1676"/>
        <v/>
      </c>
      <c r="N1542" s="311" t="str">
        <f t="shared" si="1677"/>
        <v/>
      </c>
    </row>
    <row r="1543" spans="1:14">
      <c r="A1543" s="253"/>
      <c r="B1543" s="254"/>
      <c r="C1543" s="299"/>
      <c r="D1543" s="299"/>
      <c r="E1543" s="300"/>
      <c r="F1543" s="300"/>
      <c r="G1543" s="302"/>
      <c r="H1543" s="310"/>
      <c r="I1543" s="311"/>
      <c r="J1543" s="311"/>
      <c r="K1543" s="311"/>
      <c r="L1543" s="310"/>
      <c r="M1543" s="310"/>
      <c r="N1543" s="311"/>
    </row>
    <row r="1544" spans="1:14" ht="16.5">
      <c r="A1544" s="303" t="s">
        <v>1401</v>
      </c>
      <c r="B1544" s="254"/>
      <c r="C1544" s="299"/>
      <c r="D1544" s="299"/>
      <c r="E1544" s="300"/>
      <c r="F1544" s="300"/>
      <c r="G1544" s="302"/>
      <c r="H1544" s="310"/>
      <c r="I1544" s="311"/>
      <c r="J1544" s="311"/>
      <c r="K1544" s="311"/>
      <c r="L1544" s="310"/>
      <c r="M1544" s="310"/>
      <c r="N1544" s="311"/>
    </row>
    <row r="1545" spans="1:14" s="294" customFormat="1">
      <c r="A1545" s="297" t="s">
        <v>1515</v>
      </c>
      <c r="B1545" s="298"/>
      <c r="C1545" s="299" t="s">
        <v>1519</v>
      </c>
      <c r="D1545" s="299">
        <v>1</v>
      </c>
      <c r="E1545" s="300">
        <v>3</v>
      </c>
      <c r="F1545" s="300">
        <f>E1545*D1545</f>
        <v>3</v>
      </c>
      <c r="G1545" s="299">
        <f>(5.65)+17*0.01*2</f>
        <v>5.99</v>
      </c>
      <c r="H1545" s="310" t="str">
        <f t="shared" ref="H1545:H1552" si="1679">IF(C1545="T6",G1545*F1545,"")</f>
        <v/>
      </c>
      <c r="I1545" s="311" t="str">
        <f t="shared" ref="I1545:I1552" si="1680">IF(C1545="T8",F1545*G1545,"")</f>
        <v/>
      </c>
      <c r="J1545" s="311">
        <f t="shared" ref="J1545:J1552" si="1681">IF(C1545="T10",F1545*G1545,"")</f>
        <v>17.97</v>
      </c>
      <c r="K1545" s="311" t="str">
        <f t="shared" ref="K1545:K1552" si="1682">IF(C1545="T12",F1545*G1545,"")</f>
        <v/>
      </c>
      <c r="L1545" s="310" t="str">
        <f t="shared" ref="L1545:L1552" si="1683">IF(C1545="T14",F1545*G1545,"")</f>
        <v/>
      </c>
      <c r="M1545" s="310" t="str">
        <f t="shared" ref="M1545:M1552" si="1684">IF(C1545="T16",G1545*F1545,"")</f>
        <v/>
      </c>
      <c r="N1545" s="311" t="str">
        <f t="shared" ref="N1545:N1552" si="1685">IF(C1545="T20",G1545*F1545,"")</f>
        <v/>
      </c>
    </row>
    <row r="1546" spans="1:14" s="294" customFormat="1">
      <c r="A1546" s="297" t="s">
        <v>1515</v>
      </c>
      <c r="B1546" s="298"/>
      <c r="C1546" s="299" t="s">
        <v>1516</v>
      </c>
      <c r="D1546" s="299">
        <v>1</v>
      </c>
      <c r="E1546" s="300">
        <v>3</v>
      </c>
      <c r="F1546" s="300">
        <f>E1546*D1546</f>
        <v>3</v>
      </c>
      <c r="G1546" s="302">
        <f>(5.65)+17*0.012*2</f>
        <v>6.06</v>
      </c>
      <c r="H1546" s="310" t="str">
        <f t="shared" si="1679"/>
        <v/>
      </c>
      <c r="I1546" s="311" t="str">
        <f t="shared" si="1680"/>
        <v/>
      </c>
      <c r="J1546" s="311" t="str">
        <f t="shared" si="1681"/>
        <v/>
      </c>
      <c r="K1546" s="311">
        <f t="shared" si="1682"/>
        <v>18.18</v>
      </c>
      <c r="L1546" s="310" t="str">
        <f t="shared" si="1683"/>
        <v/>
      </c>
      <c r="M1546" s="310" t="str">
        <f t="shared" si="1684"/>
        <v/>
      </c>
      <c r="N1546" s="311" t="str">
        <f t="shared" si="1685"/>
        <v/>
      </c>
    </row>
    <row r="1547" spans="1:14" s="294" customFormat="1">
      <c r="A1547" s="297"/>
      <c r="B1547" s="298"/>
      <c r="C1547" s="299" t="s">
        <v>1519</v>
      </c>
      <c r="D1547" s="299">
        <v>1</v>
      </c>
      <c r="E1547" s="300">
        <v>3</v>
      </c>
      <c r="F1547" s="300">
        <f>E1547*D1547</f>
        <v>3</v>
      </c>
      <c r="G1547" s="299">
        <v>5.65</v>
      </c>
      <c r="H1547" s="310" t="str">
        <f t="shared" si="1679"/>
        <v/>
      </c>
      <c r="I1547" s="311" t="str">
        <f t="shared" si="1680"/>
        <v/>
      </c>
      <c r="J1547" s="311">
        <f t="shared" si="1681"/>
        <v>16.95</v>
      </c>
      <c r="K1547" s="311" t="str">
        <f t="shared" si="1682"/>
        <v/>
      </c>
      <c r="L1547" s="310" t="str">
        <f t="shared" si="1683"/>
        <v/>
      </c>
      <c r="M1547" s="310" t="str">
        <f t="shared" si="1684"/>
        <v/>
      </c>
      <c r="N1547" s="311" t="str">
        <f t="shared" si="1685"/>
        <v/>
      </c>
    </row>
    <row r="1548" spans="1:14" s="294" customFormat="1">
      <c r="A1548" s="297" t="s">
        <v>1494</v>
      </c>
      <c r="B1548" s="301"/>
      <c r="C1548" s="299" t="s">
        <v>1496</v>
      </c>
      <c r="D1548" s="299">
        <v>1</v>
      </c>
      <c r="E1548" s="300">
        <f>17+15+17</f>
        <v>49</v>
      </c>
      <c r="F1548" s="300">
        <f t="shared" ref="F1548:F1549" si="1686">E1548*D1548</f>
        <v>49</v>
      </c>
      <c r="G1548" s="302">
        <f>(0.2+0.45)*2+17*0.008*2</f>
        <v>1.57</v>
      </c>
      <c r="H1548" s="310" t="str">
        <f t="shared" si="1679"/>
        <v/>
      </c>
      <c r="I1548" s="311">
        <f t="shared" si="1680"/>
        <v>76.930000000000007</v>
      </c>
      <c r="J1548" s="311" t="str">
        <f t="shared" si="1681"/>
        <v/>
      </c>
      <c r="K1548" s="311" t="str">
        <f t="shared" si="1682"/>
        <v/>
      </c>
      <c r="L1548" s="310" t="str">
        <f t="shared" si="1683"/>
        <v/>
      </c>
      <c r="M1548" s="310" t="str">
        <f t="shared" si="1684"/>
        <v/>
      </c>
      <c r="N1548" s="311" t="str">
        <f t="shared" si="1685"/>
        <v/>
      </c>
    </row>
    <row r="1549" spans="1:14" s="294" customFormat="1">
      <c r="A1549" s="297" t="s">
        <v>1517</v>
      </c>
      <c r="B1549" s="301"/>
      <c r="C1549" s="299" t="s">
        <v>1496</v>
      </c>
      <c r="D1549" s="299">
        <v>1</v>
      </c>
      <c r="E1549" s="300">
        <f>17+15+17</f>
        <v>49</v>
      </c>
      <c r="F1549" s="300">
        <f t="shared" si="1686"/>
        <v>49</v>
      </c>
      <c r="G1549" s="302">
        <f>(0.45*2)+17*0.008*2</f>
        <v>1.17</v>
      </c>
      <c r="H1549" s="310" t="str">
        <f t="shared" si="1679"/>
        <v/>
      </c>
      <c r="I1549" s="311">
        <f t="shared" si="1680"/>
        <v>57.33</v>
      </c>
      <c r="J1549" s="311" t="str">
        <f t="shared" si="1681"/>
        <v/>
      </c>
      <c r="K1549" s="311" t="str">
        <f t="shared" si="1682"/>
        <v/>
      </c>
      <c r="L1549" s="310" t="str">
        <f t="shared" si="1683"/>
        <v/>
      </c>
      <c r="M1549" s="310" t="str">
        <f t="shared" si="1684"/>
        <v/>
      </c>
      <c r="N1549" s="311" t="str">
        <f t="shared" si="1685"/>
        <v/>
      </c>
    </row>
    <row r="1550" spans="1:14">
      <c r="A1550" s="297" t="s">
        <v>1518</v>
      </c>
      <c r="B1550" s="254"/>
      <c r="C1550" s="299" t="s">
        <v>1492</v>
      </c>
      <c r="D1550" s="299">
        <v>1</v>
      </c>
      <c r="E1550" s="300">
        <v>3</v>
      </c>
      <c r="F1550" s="300">
        <f>E1550*D1550</f>
        <v>3</v>
      </c>
      <c r="G1550" s="302">
        <v>2</v>
      </c>
      <c r="H1550" s="310" t="str">
        <f t="shared" si="1679"/>
        <v/>
      </c>
      <c r="I1550" s="311" t="str">
        <f t="shared" si="1680"/>
        <v/>
      </c>
      <c r="J1550" s="311" t="str">
        <f t="shared" si="1681"/>
        <v/>
      </c>
      <c r="K1550" s="311" t="str">
        <f t="shared" si="1682"/>
        <v/>
      </c>
      <c r="L1550" s="310">
        <f t="shared" si="1683"/>
        <v>6</v>
      </c>
      <c r="M1550" s="310" t="str">
        <f t="shared" si="1684"/>
        <v/>
      </c>
      <c r="N1550" s="311" t="str">
        <f t="shared" si="1685"/>
        <v/>
      </c>
    </row>
    <row r="1551" spans="1:14">
      <c r="A1551" s="297" t="s">
        <v>1520</v>
      </c>
      <c r="B1551" s="254"/>
      <c r="C1551" s="299" t="s">
        <v>1492</v>
      </c>
      <c r="D1551" s="299">
        <v>1</v>
      </c>
      <c r="E1551" s="300">
        <v>3</v>
      </c>
      <c r="F1551" s="300">
        <f>E1551*D1551</f>
        <v>3</v>
      </c>
      <c r="G1551" s="302">
        <v>3.2</v>
      </c>
      <c r="H1551" s="310" t="str">
        <f t="shared" si="1679"/>
        <v/>
      </c>
      <c r="I1551" s="311" t="str">
        <f t="shared" si="1680"/>
        <v/>
      </c>
      <c r="J1551" s="311" t="str">
        <f t="shared" si="1681"/>
        <v/>
      </c>
      <c r="K1551" s="311" t="str">
        <f t="shared" si="1682"/>
        <v/>
      </c>
      <c r="L1551" s="310">
        <f t="shared" si="1683"/>
        <v>9.6</v>
      </c>
      <c r="M1551" s="310" t="str">
        <f t="shared" si="1684"/>
        <v/>
      </c>
      <c r="N1551" s="311" t="str">
        <f t="shared" si="1685"/>
        <v/>
      </c>
    </row>
    <row r="1552" spans="1:14">
      <c r="A1552" s="297" t="s">
        <v>1520</v>
      </c>
      <c r="B1552" s="254"/>
      <c r="C1552" s="299" t="s">
        <v>1492</v>
      </c>
      <c r="D1552" s="299">
        <v>1</v>
      </c>
      <c r="E1552" s="300">
        <v>3</v>
      </c>
      <c r="F1552" s="300">
        <f>E1552*D1552</f>
        <v>3</v>
      </c>
      <c r="G1552" s="302">
        <v>5.15</v>
      </c>
      <c r="H1552" s="310" t="str">
        <f t="shared" si="1679"/>
        <v/>
      </c>
      <c r="I1552" s="311" t="str">
        <f t="shared" si="1680"/>
        <v/>
      </c>
      <c r="J1552" s="311" t="str">
        <f t="shared" si="1681"/>
        <v/>
      </c>
      <c r="K1552" s="311" t="str">
        <f t="shared" si="1682"/>
        <v/>
      </c>
      <c r="L1552" s="310">
        <f t="shared" si="1683"/>
        <v>15.45</v>
      </c>
      <c r="M1552" s="310" t="str">
        <f t="shared" si="1684"/>
        <v/>
      </c>
      <c r="N1552" s="311" t="str">
        <f t="shared" si="1685"/>
        <v/>
      </c>
    </row>
    <row r="1553" spans="1:14" ht="16.5">
      <c r="A1553" s="303"/>
      <c r="B1553" s="254"/>
      <c r="C1553" s="299"/>
      <c r="D1553" s="299"/>
      <c r="E1553" s="300"/>
      <c r="F1553" s="300"/>
      <c r="G1553" s="302"/>
      <c r="H1553" s="310"/>
      <c r="I1553" s="311"/>
      <c r="J1553" s="311"/>
      <c r="K1553" s="311"/>
      <c r="L1553" s="310"/>
      <c r="M1553" s="310"/>
      <c r="N1553" s="311"/>
    </row>
    <row r="1554" spans="1:14" ht="16.5">
      <c r="A1554" s="303" t="s">
        <v>1402</v>
      </c>
      <c r="B1554" s="254"/>
      <c r="C1554" s="299"/>
      <c r="D1554" s="299"/>
      <c r="E1554" s="300"/>
      <c r="F1554" s="300"/>
      <c r="G1554" s="302"/>
      <c r="H1554" s="310"/>
      <c r="I1554" s="311"/>
      <c r="J1554" s="311"/>
      <c r="K1554" s="311"/>
      <c r="L1554" s="310"/>
      <c r="M1554" s="310"/>
      <c r="N1554" s="311"/>
    </row>
    <row r="1555" spans="1:14" s="294" customFormat="1">
      <c r="A1555" s="297" t="s">
        <v>1515</v>
      </c>
      <c r="B1555" s="298"/>
      <c r="C1555" s="299" t="s">
        <v>1519</v>
      </c>
      <c r="D1555" s="299">
        <v>1</v>
      </c>
      <c r="E1555" s="300">
        <v>3</v>
      </c>
      <c r="F1555" s="300">
        <f>E1555*D1555</f>
        <v>3</v>
      </c>
      <c r="G1555" s="299">
        <f>(2.75)+17*0.01*2</f>
        <v>3.09</v>
      </c>
      <c r="H1555" s="310" t="str">
        <f t="shared" ref="H1555:H1560" si="1687">IF(C1555="T6",G1555*F1555,"")</f>
        <v/>
      </c>
      <c r="I1555" s="311" t="str">
        <f t="shared" ref="I1555:I1560" si="1688">IF(C1555="T8",F1555*G1555,"")</f>
        <v/>
      </c>
      <c r="J1555" s="311">
        <f t="shared" ref="J1555:J1560" si="1689">IF(C1555="T10",F1555*G1555,"")</f>
        <v>9.27</v>
      </c>
      <c r="K1555" s="311" t="str">
        <f t="shared" ref="K1555:K1560" si="1690">IF(C1555="T12",F1555*G1555,"")</f>
        <v/>
      </c>
      <c r="L1555" s="310" t="str">
        <f t="shared" ref="L1555:L1560" si="1691">IF(C1555="T14",F1555*G1555,"")</f>
        <v/>
      </c>
      <c r="M1555" s="310" t="str">
        <f t="shared" ref="M1555:M1560" si="1692">IF(C1555="T16",G1555*F1555,"")</f>
        <v/>
      </c>
      <c r="N1555" s="311" t="str">
        <f t="shared" ref="N1555:N1560" si="1693">IF(C1555="T20",G1555*F1555,"")</f>
        <v/>
      </c>
    </row>
    <row r="1556" spans="1:14" s="294" customFormat="1">
      <c r="A1556" s="297" t="s">
        <v>1515</v>
      </c>
      <c r="B1556" s="298"/>
      <c r="C1556" s="299" t="s">
        <v>1492</v>
      </c>
      <c r="D1556" s="299">
        <v>1</v>
      </c>
      <c r="E1556" s="300">
        <v>3</v>
      </c>
      <c r="F1556" s="300">
        <f>E1556*D1556</f>
        <v>3</v>
      </c>
      <c r="G1556" s="302">
        <f>(2.75)+17*0.014*2</f>
        <v>3.23</v>
      </c>
      <c r="H1556" s="310" t="str">
        <f t="shared" si="1687"/>
        <v/>
      </c>
      <c r="I1556" s="311" t="str">
        <f t="shared" si="1688"/>
        <v/>
      </c>
      <c r="J1556" s="311" t="str">
        <f t="shared" si="1689"/>
        <v/>
      </c>
      <c r="K1556" s="311" t="str">
        <f t="shared" si="1690"/>
        <v/>
      </c>
      <c r="L1556" s="310">
        <f t="shared" si="1691"/>
        <v>9.69</v>
      </c>
      <c r="M1556" s="310" t="str">
        <f t="shared" si="1692"/>
        <v/>
      </c>
      <c r="N1556" s="311" t="str">
        <f t="shared" si="1693"/>
        <v/>
      </c>
    </row>
    <row r="1557" spans="1:14" s="294" customFormat="1">
      <c r="A1557" s="297" t="s">
        <v>1494</v>
      </c>
      <c r="B1557" s="301"/>
      <c r="C1557" s="299" t="s">
        <v>1496</v>
      </c>
      <c r="D1557" s="299">
        <v>1</v>
      </c>
      <c r="E1557" s="300">
        <f>9+10+9</f>
        <v>28</v>
      </c>
      <c r="F1557" s="300">
        <f t="shared" ref="F1557:F1558" si="1694">E1557*D1557</f>
        <v>28</v>
      </c>
      <c r="G1557" s="302">
        <f>(0.2+0.25)*2+17*0.008*2</f>
        <v>1.17</v>
      </c>
      <c r="H1557" s="310" t="str">
        <f t="shared" si="1687"/>
        <v/>
      </c>
      <c r="I1557" s="311">
        <f t="shared" si="1688"/>
        <v>32.76</v>
      </c>
      <c r="J1557" s="311" t="str">
        <f t="shared" si="1689"/>
        <v/>
      </c>
      <c r="K1557" s="311" t="str">
        <f t="shared" si="1690"/>
        <v/>
      </c>
      <c r="L1557" s="310" t="str">
        <f t="shared" si="1691"/>
        <v/>
      </c>
      <c r="M1557" s="310" t="str">
        <f t="shared" si="1692"/>
        <v/>
      </c>
      <c r="N1557" s="311" t="str">
        <f t="shared" si="1693"/>
        <v/>
      </c>
    </row>
    <row r="1558" spans="1:14" s="294" customFormat="1">
      <c r="A1558" s="297" t="s">
        <v>1517</v>
      </c>
      <c r="B1558" s="301"/>
      <c r="C1558" s="299" t="s">
        <v>1496</v>
      </c>
      <c r="D1558" s="299">
        <v>1</v>
      </c>
      <c r="E1558" s="300">
        <f>9+10+9</f>
        <v>28</v>
      </c>
      <c r="F1558" s="300">
        <f t="shared" si="1694"/>
        <v>28</v>
      </c>
      <c r="G1558" s="302">
        <f>(0.25*2)+17*0.008*2</f>
        <v>0.77</v>
      </c>
      <c r="H1558" s="310" t="str">
        <f t="shared" si="1687"/>
        <v/>
      </c>
      <c r="I1558" s="311">
        <f t="shared" si="1688"/>
        <v>21.56</v>
      </c>
      <c r="J1558" s="311" t="str">
        <f t="shared" si="1689"/>
        <v/>
      </c>
      <c r="K1558" s="311" t="str">
        <f t="shared" si="1690"/>
        <v/>
      </c>
      <c r="L1558" s="310" t="str">
        <f t="shared" si="1691"/>
        <v/>
      </c>
      <c r="M1558" s="310" t="str">
        <f t="shared" si="1692"/>
        <v/>
      </c>
      <c r="N1558" s="311" t="str">
        <f t="shared" si="1693"/>
        <v/>
      </c>
    </row>
    <row r="1559" spans="1:14">
      <c r="A1559" s="297" t="s">
        <v>1520</v>
      </c>
      <c r="B1559" s="254"/>
      <c r="C1559" s="299" t="s">
        <v>1492</v>
      </c>
      <c r="D1559" s="299">
        <v>1</v>
      </c>
      <c r="E1559" s="300">
        <v>3</v>
      </c>
      <c r="F1559" s="300">
        <f>E1559*D1559</f>
        <v>3</v>
      </c>
      <c r="G1559" s="302">
        <v>3.5</v>
      </c>
      <c r="H1559" s="310" t="str">
        <f t="shared" si="1687"/>
        <v/>
      </c>
      <c r="I1559" s="311" t="str">
        <f t="shared" si="1688"/>
        <v/>
      </c>
      <c r="J1559" s="311" t="str">
        <f t="shared" si="1689"/>
        <v/>
      </c>
      <c r="K1559" s="311" t="str">
        <f t="shared" si="1690"/>
        <v/>
      </c>
      <c r="L1559" s="310">
        <f t="shared" si="1691"/>
        <v>10.5</v>
      </c>
      <c r="M1559" s="310" t="str">
        <f t="shared" si="1692"/>
        <v/>
      </c>
      <c r="N1559" s="311" t="str">
        <f t="shared" si="1693"/>
        <v/>
      </c>
    </row>
    <row r="1560" spans="1:14" ht="16.5">
      <c r="A1560" s="303"/>
      <c r="B1560" s="254"/>
      <c r="C1560" s="299" t="s">
        <v>1516</v>
      </c>
      <c r="D1560" s="299">
        <v>1</v>
      </c>
      <c r="E1560" s="300">
        <v>3</v>
      </c>
      <c r="F1560" s="300">
        <f>E1560*D1560</f>
        <v>3</v>
      </c>
      <c r="G1560" s="302">
        <v>1</v>
      </c>
      <c r="H1560" s="310" t="str">
        <f t="shared" si="1687"/>
        <v/>
      </c>
      <c r="I1560" s="311" t="str">
        <f t="shared" si="1688"/>
        <v/>
      </c>
      <c r="J1560" s="311" t="str">
        <f t="shared" si="1689"/>
        <v/>
      </c>
      <c r="K1560" s="311">
        <f t="shared" si="1690"/>
        <v>3</v>
      </c>
      <c r="L1560" s="310" t="str">
        <f t="shared" si="1691"/>
        <v/>
      </c>
      <c r="M1560" s="310" t="str">
        <f t="shared" si="1692"/>
        <v/>
      </c>
      <c r="N1560" s="311" t="str">
        <f t="shared" si="1693"/>
        <v/>
      </c>
    </row>
    <row r="1561" spans="1:14" ht="16.5">
      <c r="A1561" s="303"/>
      <c r="B1561" s="254"/>
      <c r="C1561" s="299"/>
      <c r="D1561" s="299"/>
      <c r="E1561" s="300"/>
      <c r="F1561" s="300"/>
      <c r="G1561" s="302"/>
      <c r="H1561" s="310"/>
      <c r="I1561" s="311"/>
      <c r="J1561" s="311"/>
      <c r="K1561" s="311"/>
      <c r="L1561" s="310"/>
      <c r="M1561" s="310"/>
      <c r="N1561" s="311"/>
    </row>
    <row r="1562" spans="1:14" ht="16.5">
      <c r="A1562" s="303" t="s">
        <v>1403</v>
      </c>
      <c r="B1562" s="254"/>
      <c r="C1562" s="299"/>
      <c r="D1562" s="299"/>
      <c r="E1562" s="300"/>
      <c r="F1562" s="300"/>
      <c r="G1562" s="302"/>
      <c r="H1562" s="310"/>
      <c r="I1562" s="311"/>
      <c r="J1562" s="311"/>
      <c r="K1562" s="311"/>
      <c r="L1562" s="310"/>
      <c r="M1562" s="310"/>
      <c r="N1562" s="311"/>
    </row>
    <row r="1563" spans="1:14" s="294" customFormat="1">
      <c r="A1563" s="297" t="s">
        <v>1515</v>
      </c>
      <c r="B1563" s="298"/>
      <c r="C1563" s="299" t="s">
        <v>1519</v>
      </c>
      <c r="D1563" s="299">
        <v>1</v>
      </c>
      <c r="E1563" s="300">
        <v>3</v>
      </c>
      <c r="F1563" s="300">
        <f>E1563*D1563</f>
        <v>3</v>
      </c>
      <c r="G1563" s="299">
        <f>(6.2)+17*0.01*2</f>
        <v>6.54</v>
      </c>
      <c r="H1563" s="310" t="str">
        <f t="shared" ref="H1563:H1570" si="1695">IF(C1563="T6",G1563*F1563,"")</f>
        <v/>
      </c>
      <c r="I1563" s="311" t="str">
        <f t="shared" ref="I1563:I1570" si="1696">IF(C1563="T8",F1563*G1563,"")</f>
        <v/>
      </c>
      <c r="J1563" s="311">
        <f t="shared" ref="J1563:J1570" si="1697">IF(C1563="T10",F1563*G1563,"")</f>
        <v>19.62</v>
      </c>
      <c r="K1563" s="311" t="str">
        <f t="shared" ref="K1563:K1570" si="1698">IF(C1563="T12",F1563*G1563,"")</f>
        <v/>
      </c>
      <c r="L1563" s="310" t="str">
        <f t="shared" ref="L1563:L1570" si="1699">IF(C1563="T14",F1563*G1563,"")</f>
        <v/>
      </c>
      <c r="M1563" s="310" t="str">
        <f t="shared" ref="M1563:M1570" si="1700">IF(C1563="T16",G1563*F1563,"")</f>
        <v/>
      </c>
      <c r="N1563" s="311" t="str">
        <f t="shared" ref="N1563:N1570" si="1701">IF(C1563="T20",G1563*F1563,"")</f>
        <v/>
      </c>
    </row>
    <row r="1564" spans="1:14" s="294" customFormat="1">
      <c r="A1564" s="297" t="s">
        <v>1515</v>
      </c>
      <c r="B1564" s="298"/>
      <c r="C1564" s="299" t="s">
        <v>1492</v>
      </c>
      <c r="D1564" s="299">
        <v>1</v>
      </c>
      <c r="E1564" s="300">
        <v>3</v>
      </c>
      <c r="F1564" s="300">
        <f>E1564*D1564</f>
        <v>3</v>
      </c>
      <c r="G1564" s="302">
        <f>(6.2)+17*0.014*2</f>
        <v>6.68</v>
      </c>
      <c r="H1564" s="310" t="str">
        <f t="shared" si="1695"/>
        <v/>
      </c>
      <c r="I1564" s="311" t="str">
        <f t="shared" si="1696"/>
        <v/>
      </c>
      <c r="J1564" s="311" t="str">
        <f t="shared" si="1697"/>
        <v/>
      </c>
      <c r="K1564" s="311" t="str">
        <f t="shared" si="1698"/>
        <v/>
      </c>
      <c r="L1564" s="310">
        <f t="shared" si="1699"/>
        <v>20.04</v>
      </c>
      <c r="M1564" s="310" t="str">
        <f t="shared" si="1700"/>
        <v/>
      </c>
      <c r="N1564" s="311" t="str">
        <f t="shared" si="1701"/>
        <v/>
      </c>
    </row>
    <row r="1565" spans="1:14" s="294" customFormat="1">
      <c r="A1565" s="297"/>
      <c r="B1565" s="298"/>
      <c r="C1565" s="299" t="s">
        <v>1516</v>
      </c>
      <c r="D1565" s="299">
        <v>1</v>
      </c>
      <c r="E1565" s="300">
        <v>3</v>
      </c>
      <c r="F1565" s="300">
        <f>E1565*D1565</f>
        <v>3</v>
      </c>
      <c r="G1565" s="299">
        <v>6.2</v>
      </c>
      <c r="H1565" s="310" t="str">
        <f t="shared" si="1695"/>
        <v/>
      </c>
      <c r="I1565" s="311" t="str">
        <f t="shared" si="1696"/>
        <v/>
      </c>
      <c r="J1565" s="311" t="str">
        <f t="shared" si="1697"/>
        <v/>
      </c>
      <c r="K1565" s="311">
        <f t="shared" si="1698"/>
        <v>18.600000000000001</v>
      </c>
      <c r="L1565" s="310" t="str">
        <f t="shared" si="1699"/>
        <v/>
      </c>
      <c r="M1565" s="310" t="str">
        <f t="shared" si="1700"/>
        <v/>
      </c>
      <c r="N1565" s="311" t="str">
        <f t="shared" si="1701"/>
        <v/>
      </c>
    </row>
    <row r="1566" spans="1:14" s="294" customFormat="1">
      <c r="A1566" s="297" t="s">
        <v>1494</v>
      </c>
      <c r="B1566" s="301"/>
      <c r="C1566" s="299" t="s">
        <v>1496</v>
      </c>
      <c r="D1566" s="299">
        <v>1</v>
      </c>
      <c r="E1566" s="300">
        <f>18+20+18</f>
        <v>56</v>
      </c>
      <c r="F1566" s="300">
        <f t="shared" ref="F1566:F1567" si="1702">E1566*D1566</f>
        <v>56</v>
      </c>
      <c r="G1566" s="302">
        <f>(0.2+0.45)*2+17*0.008*2</f>
        <v>1.57</v>
      </c>
      <c r="H1566" s="310" t="str">
        <f t="shared" si="1695"/>
        <v/>
      </c>
      <c r="I1566" s="311">
        <f t="shared" si="1696"/>
        <v>87.92</v>
      </c>
      <c r="J1566" s="311" t="str">
        <f t="shared" si="1697"/>
        <v/>
      </c>
      <c r="K1566" s="311" t="str">
        <f t="shared" si="1698"/>
        <v/>
      </c>
      <c r="L1566" s="310" t="str">
        <f t="shared" si="1699"/>
        <v/>
      </c>
      <c r="M1566" s="310" t="str">
        <f t="shared" si="1700"/>
        <v/>
      </c>
      <c r="N1566" s="311" t="str">
        <f t="shared" si="1701"/>
        <v/>
      </c>
    </row>
    <row r="1567" spans="1:14" s="294" customFormat="1">
      <c r="A1567" s="297" t="s">
        <v>1517</v>
      </c>
      <c r="B1567" s="301"/>
      <c r="C1567" s="299" t="s">
        <v>1496</v>
      </c>
      <c r="D1567" s="299">
        <v>1</v>
      </c>
      <c r="E1567" s="300">
        <f>18+20+18</f>
        <v>56</v>
      </c>
      <c r="F1567" s="300">
        <f t="shared" si="1702"/>
        <v>56</v>
      </c>
      <c r="G1567" s="302">
        <f>(0.45*2)+17*0.008*2</f>
        <v>1.17</v>
      </c>
      <c r="H1567" s="310" t="str">
        <f t="shared" si="1695"/>
        <v/>
      </c>
      <c r="I1567" s="311">
        <f t="shared" si="1696"/>
        <v>65.52</v>
      </c>
      <c r="J1567" s="311" t="str">
        <f t="shared" si="1697"/>
        <v/>
      </c>
      <c r="K1567" s="311" t="str">
        <f t="shared" si="1698"/>
        <v/>
      </c>
      <c r="L1567" s="310" t="str">
        <f t="shared" si="1699"/>
        <v/>
      </c>
      <c r="M1567" s="310" t="str">
        <f t="shared" si="1700"/>
        <v/>
      </c>
      <c r="N1567" s="311" t="str">
        <f t="shared" si="1701"/>
        <v/>
      </c>
    </row>
    <row r="1568" spans="1:14">
      <c r="A1568" s="297" t="s">
        <v>1518</v>
      </c>
      <c r="B1568" s="254"/>
      <c r="C1568" s="299" t="s">
        <v>1492</v>
      </c>
      <c r="D1568" s="299">
        <v>1</v>
      </c>
      <c r="E1568" s="300">
        <v>6</v>
      </c>
      <c r="F1568" s="300">
        <f>E1568*D1568</f>
        <v>6</v>
      </c>
      <c r="G1568" s="302">
        <v>2.6</v>
      </c>
      <c r="H1568" s="310" t="str">
        <f t="shared" si="1695"/>
        <v/>
      </c>
      <c r="I1568" s="311" t="str">
        <f t="shared" si="1696"/>
        <v/>
      </c>
      <c r="J1568" s="311" t="str">
        <f t="shared" si="1697"/>
        <v/>
      </c>
      <c r="K1568" s="311" t="str">
        <f t="shared" si="1698"/>
        <v/>
      </c>
      <c r="L1568" s="310">
        <f t="shared" si="1699"/>
        <v>15.6</v>
      </c>
      <c r="M1568" s="310" t="str">
        <f t="shared" si="1700"/>
        <v/>
      </c>
      <c r="N1568" s="311" t="str">
        <f t="shared" si="1701"/>
        <v/>
      </c>
    </row>
    <row r="1569" spans="1:14">
      <c r="A1569" s="297" t="s">
        <v>1520</v>
      </c>
      <c r="B1569" s="254"/>
      <c r="C1569" s="299" t="s">
        <v>1492</v>
      </c>
      <c r="D1569" s="299">
        <v>1</v>
      </c>
      <c r="E1569" s="300">
        <v>6</v>
      </c>
      <c r="F1569" s="300">
        <f>E1569*D1569</f>
        <v>6</v>
      </c>
      <c r="G1569" s="302">
        <v>3.5</v>
      </c>
      <c r="H1569" s="310" t="str">
        <f t="shared" si="1695"/>
        <v/>
      </c>
      <c r="I1569" s="311" t="str">
        <f t="shared" si="1696"/>
        <v/>
      </c>
      <c r="J1569" s="311" t="str">
        <f t="shared" si="1697"/>
        <v/>
      </c>
      <c r="K1569" s="311" t="str">
        <f t="shared" si="1698"/>
        <v/>
      </c>
      <c r="L1569" s="310">
        <f t="shared" si="1699"/>
        <v>21</v>
      </c>
      <c r="M1569" s="310" t="str">
        <f t="shared" si="1700"/>
        <v/>
      </c>
      <c r="N1569" s="311" t="str">
        <f t="shared" si="1701"/>
        <v/>
      </c>
    </row>
    <row r="1570" spans="1:14">
      <c r="A1570" s="297" t="s">
        <v>1520</v>
      </c>
      <c r="B1570" s="254"/>
      <c r="C1570" s="299" t="s">
        <v>1492</v>
      </c>
      <c r="D1570" s="299">
        <v>1</v>
      </c>
      <c r="E1570" s="300">
        <v>3</v>
      </c>
      <c r="F1570" s="300">
        <f>E1570*D1570</f>
        <v>3</v>
      </c>
      <c r="G1570" s="302">
        <v>5.8</v>
      </c>
      <c r="H1570" s="310" t="str">
        <f t="shared" si="1695"/>
        <v/>
      </c>
      <c r="I1570" s="311" t="str">
        <f t="shared" si="1696"/>
        <v/>
      </c>
      <c r="J1570" s="311" t="str">
        <f t="shared" si="1697"/>
        <v/>
      </c>
      <c r="K1570" s="311" t="str">
        <f t="shared" si="1698"/>
        <v/>
      </c>
      <c r="L1570" s="310">
        <f t="shared" si="1699"/>
        <v>17.399999999999999</v>
      </c>
      <c r="M1570" s="310" t="str">
        <f t="shared" si="1700"/>
        <v/>
      </c>
      <c r="N1570" s="311" t="str">
        <f t="shared" si="1701"/>
        <v/>
      </c>
    </row>
    <row r="1571" spans="1:14" ht="16.5">
      <c r="A1571" s="303"/>
      <c r="B1571" s="254"/>
      <c r="C1571" s="299"/>
      <c r="D1571" s="299"/>
      <c r="E1571" s="300"/>
      <c r="F1571" s="300"/>
      <c r="G1571" s="302"/>
      <c r="H1571" s="310"/>
      <c r="I1571" s="311"/>
      <c r="J1571" s="311"/>
      <c r="K1571" s="311"/>
      <c r="L1571" s="310"/>
      <c r="M1571" s="310"/>
      <c r="N1571" s="311"/>
    </row>
    <row r="1572" spans="1:14" ht="16.5">
      <c r="A1572" s="303" t="s">
        <v>1404</v>
      </c>
      <c r="B1572" s="254"/>
      <c r="C1572" s="299"/>
      <c r="D1572" s="299"/>
      <c r="E1572" s="300"/>
      <c r="F1572" s="300"/>
      <c r="G1572" s="302"/>
      <c r="H1572" s="310"/>
      <c r="I1572" s="311"/>
      <c r="J1572" s="311"/>
      <c r="K1572" s="311"/>
      <c r="L1572" s="310"/>
      <c r="M1572" s="310"/>
      <c r="N1572" s="311"/>
    </row>
    <row r="1573" spans="1:14" s="294" customFormat="1">
      <c r="A1573" s="297" t="s">
        <v>1515</v>
      </c>
      <c r="B1573" s="298"/>
      <c r="C1573" s="299" t="s">
        <v>1519</v>
      </c>
      <c r="D1573" s="299">
        <v>1</v>
      </c>
      <c r="E1573" s="300">
        <v>3</v>
      </c>
      <c r="F1573" s="300">
        <f>E1573*D1573</f>
        <v>3</v>
      </c>
      <c r="G1573" s="299">
        <f>(2.75)+17*0.01*2</f>
        <v>3.09</v>
      </c>
      <c r="H1573" s="310" t="str">
        <f t="shared" ref="H1573:H1578" si="1703">IF(C1573="T6",G1573*F1573,"")</f>
        <v/>
      </c>
      <c r="I1573" s="311" t="str">
        <f t="shared" ref="I1573:I1578" si="1704">IF(C1573="T8",F1573*G1573,"")</f>
        <v/>
      </c>
      <c r="J1573" s="311">
        <f t="shared" ref="J1573:J1578" si="1705">IF(C1573="T10",F1573*G1573,"")</f>
        <v>9.27</v>
      </c>
      <c r="K1573" s="311" t="str">
        <f t="shared" ref="K1573:K1578" si="1706">IF(C1573="T12",F1573*G1573,"")</f>
        <v/>
      </c>
      <c r="L1573" s="310" t="str">
        <f t="shared" ref="L1573:L1578" si="1707">IF(C1573="T14",F1573*G1573,"")</f>
        <v/>
      </c>
      <c r="M1573" s="310" t="str">
        <f t="shared" ref="M1573:M1578" si="1708">IF(C1573="T16",G1573*F1573,"")</f>
        <v/>
      </c>
      <c r="N1573" s="311" t="str">
        <f t="shared" ref="N1573:N1578" si="1709">IF(C1573="T20",G1573*F1573,"")</f>
        <v/>
      </c>
    </row>
    <row r="1574" spans="1:14" s="294" customFormat="1">
      <c r="A1574" s="297" t="s">
        <v>1515</v>
      </c>
      <c r="B1574" s="298"/>
      <c r="C1574" s="299" t="s">
        <v>1492</v>
      </c>
      <c r="D1574" s="299">
        <v>1</v>
      </c>
      <c r="E1574" s="300">
        <v>3</v>
      </c>
      <c r="F1574" s="300">
        <f>E1574*D1574</f>
        <v>3</v>
      </c>
      <c r="G1574" s="302">
        <f>(2.75)+17*0.014*2</f>
        <v>3.23</v>
      </c>
      <c r="H1574" s="310" t="str">
        <f t="shared" si="1703"/>
        <v/>
      </c>
      <c r="I1574" s="311" t="str">
        <f t="shared" si="1704"/>
        <v/>
      </c>
      <c r="J1574" s="311" t="str">
        <f t="shared" si="1705"/>
        <v/>
      </c>
      <c r="K1574" s="311" t="str">
        <f t="shared" si="1706"/>
        <v/>
      </c>
      <c r="L1574" s="310">
        <f t="shared" si="1707"/>
        <v>9.69</v>
      </c>
      <c r="M1574" s="310" t="str">
        <f t="shared" si="1708"/>
        <v/>
      </c>
      <c r="N1574" s="311" t="str">
        <f t="shared" si="1709"/>
        <v/>
      </c>
    </row>
    <row r="1575" spans="1:14" s="294" customFormat="1">
      <c r="A1575" s="297" t="s">
        <v>1494</v>
      </c>
      <c r="B1575" s="301"/>
      <c r="C1575" s="299" t="s">
        <v>1496</v>
      </c>
      <c r="D1575" s="299">
        <v>1</v>
      </c>
      <c r="E1575" s="300">
        <f>9+10+9</f>
        <v>28</v>
      </c>
      <c r="F1575" s="300">
        <f t="shared" ref="F1575:F1576" si="1710">E1575*D1575</f>
        <v>28</v>
      </c>
      <c r="G1575" s="302">
        <f>(0.2+0.25)*2+17*0.008*2</f>
        <v>1.17</v>
      </c>
      <c r="H1575" s="310" t="str">
        <f t="shared" si="1703"/>
        <v/>
      </c>
      <c r="I1575" s="311">
        <f t="shared" si="1704"/>
        <v>32.76</v>
      </c>
      <c r="J1575" s="311" t="str">
        <f t="shared" si="1705"/>
        <v/>
      </c>
      <c r="K1575" s="311" t="str">
        <f t="shared" si="1706"/>
        <v/>
      </c>
      <c r="L1575" s="310" t="str">
        <f t="shared" si="1707"/>
        <v/>
      </c>
      <c r="M1575" s="310" t="str">
        <f t="shared" si="1708"/>
        <v/>
      </c>
      <c r="N1575" s="311" t="str">
        <f t="shared" si="1709"/>
        <v/>
      </c>
    </row>
    <row r="1576" spans="1:14" s="294" customFormat="1">
      <c r="A1576" s="297" t="s">
        <v>1517</v>
      </c>
      <c r="B1576" s="301"/>
      <c r="C1576" s="299" t="s">
        <v>1496</v>
      </c>
      <c r="D1576" s="299">
        <v>1</v>
      </c>
      <c r="E1576" s="300">
        <f>9+10+9</f>
        <v>28</v>
      </c>
      <c r="F1576" s="300">
        <f t="shared" si="1710"/>
        <v>28</v>
      </c>
      <c r="G1576" s="302">
        <f>(0.25*2)+17*0.008*2</f>
        <v>0.77</v>
      </c>
      <c r="H1576" s="310" t="str">
        <f t="shared" si="1703"/>
        <v/>
      </c>
      <c r="I1576" s="311">
        <f t="shared" si="1704"/>
        <v>21.56</v>
      </c>
      <c r="J1576" s="311" t="str">
        <f t="shared" si="1705"/>
        <v/>
      </c>
      <c r="K1576" s="311" t="str">
        <f t="shared" si="1706"/>
        <v/>
      </c>
      <c r="L1576" s="310" t="str">
        <f t="shared" si="1707"/>
        <v/>
      </c>
      <c r="M1576" s="310" t="str">
        <f t="shared" si="1708"/>
        <v/>
      </c>
      <c r="N1576" s="311" t="str">
        <f t="shared" si="1709"/>
        <v/>
      </c>
    </row>
    <row r="1577" spans="1:14">
      <c r="A1577" s="297" t="s">
        <v>1520</v>
      </c>
      <c r="B1577" s="254"/>
      <c r="C1577" s="299" t="s">
        <v>1492</v>
      </c>
      <c r="D1577" s="299">
        <v>1</v>
      </c>
      <c r="E1577" s="300">
        <v>3</v>
      </c>
      <c r="F1577" s="300">
        <f>E1577*D1577</f>
        <v>3</v>
      </c>
      <c r="G1577" s="302">
        <v>3.5</v>
      </c>
      <c r="H1577" s="310" t="str">
        <f t="shared" si="1703"/>
        <v/>
      </c>
      <c r="I1577" s="311" t="str">
        <f t="shared" si="1704"/>
        <v/>
      </c>
      <c r="J1577" s="311" t="str">
        <f t="shared" si="1705"/>
        <v/>
      </c>
      <c r="K1577" s="311" t="str">
        <f t="shared" si="1706"/>
        <v/>
      </c>
      <c r="L1577" s="310">
        <f t="shared" si="1707"/>
        <v>10.5</v>
      </c>
      <c r="M1577" s="310" t="str">
        <f t="shared" si="1708"/>
        <v/>
      </c>
      <c r="N1577" s="311" t="str">
        <f t="shared" si="1709"/>
        <v/>
      </c>
    </row>
    <row r="1578" spans="1:14" ht="16.5">
      <c r="A1578" s="303"/>
      <c r="B1578" s="254"/>
      <c r="C1578" s="299" t="s">
        <v>1516</v>
      </c>
      <c r="D1578" s="299">
        <v>1</v>
      </c>
      <c r="E1578" s="300">
        <v>3</v>
      </c>
      <c r="F1578" s="300">
        <f>E1578*D1578</f>
        <v>3</v>
      </c>
      <c r="G1578" s="302">
        <v>1</v>
      </c>
      <c r="H1578" s="310" t="str">
        <f t="shared" si="1703"/>
        <v/>
      </c>
      <c r="I1578" s="311" t="str">
        <f t="shared" si="1704"/>
        <v/>
      </c>
      <c r="J1578" s="311" t="str">
        <f t="shared" si="1705"/>
        <v/>
      </c>
      <c r="K1578" s="311">
        <f t="shared" si="1706"/>
        <v>3</v>
      </c>
      <c r="L1578" s="310" t="str">
        <f t="shared" si="1707"/>
        <v/>
      </c>
      <c r="M1578" s="310" t="str">
        <f t="shared" si="1708"/>
        <v/>
      </c>
      <c r="N1578" s="311" t="str">
        <f t="shared" si="1709"/>
        <v/>
      </c>
    </row>
    <row r="1579" spans="1:14" ht="16.5">
      <c r="A1579" s="303"/>
      <c r="B1579" s="254"/>
      <c r="C1579" s="299"/>
      <c r="D1579" s="299"/>
      <c r="E1579" s="300"/>
      <c r="F1579" s="300"/>
      <c r="G1579" s="302"/>
      <c r="H1579" s="310"/>
      <c r="I1579" s="311"/>
      <c r="J1579" s="311"/>
      <c r="K1579" s="311"/>
      <c r="L1579" s="310"/>
      <c r="M1579" s="310"/>
      <c r="N1579" s="311"/>
    </row>
    <row r="1580" spans="1:14" ht="16.5">
      <c r="A1580" s="303" t="s">
        <v>1405</v>
      </c>
      <c r="B1580" s="254"/>
      <c r="C1580" s="299"/>
      <c r="D1580" s="299"/>
      <c r="E1580" s="300"/>
      <c r="F1580" s="300"/>
      <c r="G1580" s="302"/>
      <c r="H1580" s="310"/>
      <c r="I1580" s="311"/>
      <c r="J1580" s="311"/>
      <c r="K1580" s="311"/>
      <c r="L1580" s="310"/>
      <c r="M1580" s="310"/>
      <c r="N1580" s="311"/>
    </row>
    <row r="1581" spans="1:14" s="294" customFormat="1">
      <c r="A1581" s="297" t="s">
        <v>1515</v>
      </c>
      <c r="B1581" s="298"/>
      <c r="C1581" s="299" t="s">
        <v>1519</v>
      </c>
      <c r="D1581" s="299">
        <v>1</v>
      </c>
      <c r="E1581" s="300">
        <v>3</v>
      </c>
      <c r="F1581" s="300">
        <f>E1581*D1581</f>
        <v>3</v>
      </c>
      <c r="G1581" s="299">
        <f>(2.75)+17*0.01*2</f>
        <v>3.09</v>
      </c>
      <c r="H1581" s="310" t="str">
        <f t="shared" ref="H1581:H1586" si="1711">IF(C1581="T6",G1581*F1581,"")</f>
        <v/>
      </c>
      <c r="I1581" s="311" t="str">
        <f t="shared" ref="I1581:I1586" si="1712">IF(C1581="T8",F1581*G1581,"")</f>
        <v/>
      </c>
      <c r="J1581" s="311">
        <f t="shared" ref="J1581:J1586" si="1713">IF(C1581="T10",F1581*G1581,"")</f>
        <v>9.27</v>
      </c>
      <c r="K1581" s="311" t="str">
        <f t="shared" ref="K1581:K1586" si="1714">IF(C1581="T12",F1581*G1581,"")</f>
        <v/>
      </c>
      <c r="L1581" s="310" t="str">
        <f t="shared" ref="L1581:L1586" si="1715">IF(C1581="T14",F1581*G1581,"")</f>
        <v/>
      </c>
      <c r="M1581" s="310" t="str">
        <f t="shared" ref="M1581:M1586" si="1716">IF(C1581="T16",G1581*F1581,"")</f>
        <v/>
      </c>
      <c r="N1581" s="311" t="str">
        <f t="shared" ref="N1581:N1586" si="1717">IF(C1581="T20",G1581*F1581,"")</f>
        <v/>
      </c>
    </row>
    <row r="1582" spans="1:14" s="294" customFormat="1">
      <c r="A1582" s="297" t="s">
        <v>1515</v>
      </c>
      <c r="B1582" s="298"/>
      <c r="C1582" s="299" t="s">
        <v>1492</v>
      </c>
      <c r="D1582" s="299">
        <v>1</v>
      </c>
      <c r="E1582" s="300">
        <v>3</v>
      </c>
      <c r="F1582" s="300">
        <f>E1582*D1582</f>
        <v>3</v>
      </c>
      <c r="G1582" s="302">
        <f>(2.75)+17*0.014*2</f>
        <v>3.23</v>
      </c>
      <c r="H1582" s="310" t="str">
        <f t="shared" si="1711"/>
        <v/>
      </c>
      <c r="I1582" s="311" t="str">
        <f t="shared" si="1712"/>
        <v/>
      </c>
      <c r="J1582" s="311" t="str">
        <f t="shared" si="1713"/>
        <v/>
      </c>
      <c r="K1582" s="311" t="str">
        <f t="shared" si="1714"/>
        <v/>
      </c>
      <c r="L1582" s="310">
        <f t="shared" si="1715"/>
        <v>9.69</v>
      </c>
      <c r="M1582" s="310" t="str">
        <f t="shared" si="1716"/>
        <v/>
      </c>
      <c r="N1582" s="311" t="str">
        <f t="shared" si="1717"/>
        <v/>
      </c>
    </row>
    <row r="1583" spans="1:14" s="294" customFormat="1">
      <c r="A1583" s="297" t="s">
        <v>1494</v>
      </c>
      <c r="B1583" s="301"/>
      <c r="C1583" s="299" t="s">
        <v>1496</v>
      </c>
      <c r="D1583" s="299">
        <v>1</v>
      </c>
      <c r="E1583" s="300">
        <f>9+10+9</f>
        <v>28</v>
      </c>
      <c r="F1583" s="300">
        <f t="shared" ref="F1583:F1584" si="1718">E1583*D1583</f>
        <v>28</v>
      </c>
      <c r="G1583" s="302">
        <f>(0.2+0.25)*2+17*0.008*2</f>
        <v>1.17</v>
      </c>
      <c r="H1583" s="310" t="str">
        <f t="shared" si="1711"/>
        <v/>
      </c>
      <c r="I1583" s="311">
        <f t="shared" si="1712"/>
        <v>32.76</v>
      </c>
      <c r="J1583" s="311" t="str">
        <f t="shared" si="1713"/>
        <v/>
      </c>
      <c r="K1583" s="311" t="str">
        <f t="shared" si="1714"/>
        <v/>
      </c>
      <c r="L1583" s="310" t="str">
        <f t="shared" si="1715"/>
        <v/>
      </c>
      <c r="M1583" s="310" t="str">
        <f t="shared" si="1716"/>
        <v/>
      </c>
      <c r="N1583" s="311" t="str">
        <f t="shared" si="1717"/>
        <v/>
      </c>
    </row>
    <row r="1584" spans="1:14" s="294" customFormat="1">
      <c r="A1584" s="297" t="s">
        <v>1517</v>
      </c>
      <c r="B1584" s="301"/>
      <c r="C1584" s="299" t="s">
        <v>1496</v>
      </c>
      <c r="D1584" s="299">
        <v>1</v>
      </c>
      <c r="E1584" s="300">
        <f>9+10+9</f>
        <v>28</v>
      </c>
      <c r="F1584" s="300">
        <f t="shared" si="1718"/>
        <v>28</v>
      </c>
      <c r="G1584" s="302">
        <f>(0.25*2)+17*0.008*2</f>
        <v>0.77</v>
      </c>
      <c r="H1584" s="310" t="str">
        <f t="shared" si="1711"/>
        <v/>
      </c>
      <c r="I1584" s="311">
        <f t="shared" si="1712"/>
        <v>21.56</v>
      </c>
      <c r="J1584" s="311" t="str">
        <f t="shared" si="1713"/>
        <v/>
      </c>
      <c r="K1584" s="311" t="str">
        <f t="shared" si="1714"/>
        <v/>
      </c>
      <c r="L1584" s="310" t="str">
        <f t="shared" si="1715"/>
        <v/>
      </c>
      <c r="M1584" s="310" t="str">
        <f t="shared" si="1716"/>
        <v/>
      </c>
      <c r="N1584" s="311" t="str">
        <f t="shared" si="1717"/>
        <v/>
      </c>
    </row>
    <row r="1585" spans="1:14">
      <c r="A1585" s="297" t="s">
        <v>1520</v>
      </c>
      <c r="B1585" s="254"/>
      <c r="C1585" s="299" t="s">
        <v>1492</v>
      </c>
      <c r="D1585" s="299">
        <v>1</v>
      </c>
      <c r="E1585" s="300">
        <v>3</v>
      </c>
      <c r="F1585" s="300">
        <f>E1585*D1585</f>
        <v>3</v>
      </c>
      <c r="G1585" s="302">
        <v>3.5</v>
      </c>
      <c r="H1585" s="310" t="str">
        <f t="shared" si="1711"/>
        <v/>
      </c>
      <c r="I1585" s="311" t="str">
        <f t="shared" si="1712"/>
        <v/>
      </c>
      <c r="J1585" s="311" t="str">
        <f t="shared" si="1713"/>
        <v/>
      </c>
      <c r="K1585" s="311" t="str">
        <f t="shared" si="1714"/>
        <v/>
      </c>
      <c r="L1585" s="310">
        <f t="shared" si="1715"/>
        <v>10.5</v>
      </c>
      <c r="M1585" s="310" t="str">
        <f t="shared" si="1716"/>
        <v/>
      </c>
      <c r="N1585" s="311" t="str">
        <f t="shared" si="1717"/>
        <v/>
      </c>
    </row>
    <row r="1586" spans="1:14" ht="16.5">
      <c r="A1586" s="303"/>
      <c r="B1586" s="254"/>
      <c r="C1586" s="299" t="s">
        <v>1516</v>
      </c>
      <c r="D1586" s="299">
        <v>1</v>
      </c>
      <c r="E1586" s="300">
        <v>3</v>
      </c>
      <c r="F1586" s="300">
        <f>E1586*D1586</f>
        <v>3</v>
      </c>
      <c r="G1586" s="302">
        <v>1</v>
      </c>
      <c r="H1586" s="310" t="str">
        <f t="shared" si="1711"/>
        <v/>
      </c>
      <c r="I1586" s="311" t="str">
        <f t="shared" si="1712"/>
        <v/>
      </c>
      <c r="J1586" s="311" t="str">
        <f t="shared" si="1713"/>
        <v/>
      </c>
      <c r="K1586" s="311">
        <f t="shared" si="1714"/>
        <v>3</v>
      </c>
      <c r="L1586" s="310" t="str">
        <f t="shared" si="1715"/>
        <v/>
      </c>
      <c r="M1586" s="310" t="str">
        <f t="shared" si="1716"/>
        <v/>
      </c>
      <c r="N1586" s="311" t="str">
        <f t="shared" si="1717"/>
        <v/>
      </c>
    </row>
    <row r="1587" spans="1:14">
      <c r="A1587" s="253"/>
      <c r="B1587" s="254"/>
      <c r="C1587" s="299"/>
      <c r="D1587" s="299"/>
      <c r="E1587" s="300"/>
      <c r="F1587" s="300"/>
      <c r="G1587" s="302"/>
      <c r="H1587" s="310"/>
      <c r="I1587" s="311"/>
      <c r="J1587" s="311"/>
      <c r="K1587" s="311"/>
      <c r="L1587" s="310"/>
      <c r="M1587" s="310"/>
      <c r="N1587" s="311"/>
    </row>
    <row r="1588" spans="1:14" ht="16.5">
      <c r="A1588" s="303" t="s">
        <v>1406</v>
      </c>
      <c r="B1588" s="254"/>
      <c r="C1588" s="299"/>
      <c r="D1588" s="299"/>
      <c r="E1588" s="300"/>
      <c r="F1588" s="300"/>
      <c r="G1588" s="302"/>
      <c r="H1588" s="310"/>
      <c r="I1588" s="311"/>
      <c r="J1588" s="311"/>
      <c r="K1588" s="311"/>
      <c r="L1588" s="310"/>
      <c r="M1588" s="310"/>
      <c r="N1588" s="311"/>
    </row>
    <row r="1589" spans="1:14" s="294" customFormat="1">
      <c r="A1589" s="297" t="s">
        <v>1515</v>
      </c>
      <c r="B1589" s="298"/>
      <c r="C1589" s="299" t="s">
        <v>1519</v>
      </c>
      <c r="D1589" s="299">
        <v>1</v>
      </c>
      <c r="E1589" s="300">
        <v>3</v>
      </c>
      <c r="F1589" s="300">
        <f>E1589*D1589</f>
        <v>3</v>
      </c>
      <c r="G1589" s="299">
        <f>(5.65)+17*0.01*2</f>
        <v>5.99</v>
      </c>
      <c r="H1589" s="310" t="str">
        <f t="shared" ref="H1589:H1596" si="1719">IF(C1589="T6",G1589*F1589,"")</f>
        <v/>
      </c>
      <c r="I1589" s="311" t="str">
        <f t="shared" ref="I1589:I1596" si="1720">IF(C1589="T8",F1589*G1589,"")</f>
        <v/>
      </c>
      <c r="J1589" s="311">
        <f t="shared" ref="J1589:J1596" si="1721">IF(C1589="T10",F1589*G1589,"")</f>
        <v>17.97</v>
      </c>
      <c r="K1589" s="311" t="str">
        <f t="shared" ref="K1589:K1596" si="1722">IF(C1589="T12",F1589*G1589,"")</f>
        <v/>
      </c>
      <c r="L1589" s="310" t="str">
        <f t="shared" ref="L1589:L1596" si="1723">IF(C1589="T14",F1589*G1589,"")</f>
        <v/>
      </c>
      <c r="M1589" s="310" t="str">
        <f t="shared" ref="M1589:M1596" si="1724">IF(C1589="T16",G1589*F1589,"")</f>
        <v/>
      </c>
      <c r="N1589" s="311" t="str">
        <f t="shared" ref="N1589:N1596" si="1725">IF(C1589="T20",G1589*F1589,"")</f>
        <v/>
      </c>
    </row>
    <row r="1590" spans="1:14" s="294" customFormat="1">
      <c r="A1590" s="297" t="s">
        <v>1515</v>
      </c>
      <c r="B1590" s="298"/>
      <c r="C1590" s="299" t="s">
        <v>1498</v>
      </c>
      <c r="D1590" s="299">
        <v>1</v>
      </c>
      <c r="E1590" s="300">
        <v>3</v>
      </c>
      <c r="F1590" s="300">
        <f>E1590*D1590</f>
        <v>3</v>
      </c>
      <c r="G1590" s="302">
        <f>(5.65)+17*0.016*2</f>
        <v>6.19</v>
      </c>
      <c r="H1590" s="310" t="str">
        <f t="shared" si="1719"/>
        <v/>
      </c>
      <c r="I1590" s="311" t="str">
        <f t="shared" si="1720"/>
        <v/>
      </c>
      <c r="J1590" s="311" t="str">
        <f t="shared" si="1721"/>
        <v/>
      </c>
      <c r="K1590" s="311" t="str">
        <f t="shared" si="1722"/>
        <v/>
      </c>
      <c r="L1590" s="310" t="str">
        <f t="shared" si="1723"/>
        <v/>
      </c>
      <c r="M1590" s="310">
        <f t="shared" si="1724"/>
        <v>18.57</v>
      </c>
      <c r="N1590" s="311" t="str">
        <f t="shared" si="1725"/>
        <v/>
      </c>
    </row>
    <row r="1591" spans="1:14" s="294" customFormat="1">
      <c r="A1591" s="297"/>
      <c r="B1591" s="298"/>
      <c r="C1591" s="299" t="s">
        <v>1519</v>
      </c>
      <c r="D1591" s="299">
        <v>1</v>
      </c>
      <c r="E1591" s="300">
        <v>3</v>
      </c>
      <c r="F1591" s="300">
        <f>E1591*D1591</f>
        <v>3</v>
      </c>
      <c r="G1591" s="299">
        <v>5.65</v>
      </c>
      <c r="H1591" s="310" t="str">
        <f t="shared" si="1719"/>
        <v/>
      </c>
      <c r="I1591" s="311" t="str">
        <f t="shared" si="1720"/>
        <v/>
      </c>
      <c r="J1591" s="311">
        <f t="shared" si="1721"/>
        <v>16.95</v>
      </c>
      <c r="K1591" s="311" t="str">
        <f t="shared" si="1722"/>
        <v/>
      </c>
      <c r="L1591" s="310" t="str">
        <f t="shared" si="1723"/>
        <v/>
      </c>
      <c r="M1591" s="310" t="str">
        <f t="shared" si="1724"/>
        <v/>
      </c>
      <c r="N1591" s="311" t="str">
        <f t="shared" si="1725"/>
        <v/>
      </c>
    </row>
    <row r="1592" spans="1:14" s="294" customFormat="1">
      <c r="A1592" s="297" t="s">
        <v>1494</v>
      </c>
      <c r="B1592" s="301"/>
      <c r="C1592" s="299" t="s">
        <v>1496</v>
      </c>
      <c r="D1592" s="299">
        <v>1</v>
      </c>
      <c r="E1592" s="300">
        <f>17+15+17</f>
        <v>49</v>
      </c>
      <c r="F1592" s="300">
        <f t="shared" ref="F1592:F1593" si="1726">E1592*D1592</f>
        <v>49</v>
      </c>
      <c r="G1592" s="302">
        <f>(0.2+0.5)*2+17*0.008*2</f>
        <v>1.67</v>
      </c>
      <c r="H1592" s="310" t="str">
        <f t="shared" si="1719"/>
        <v/>
      </c>
      <c r="I1592" s="311">
        <f t="shared" si="1720"/>
        <v>81.83</v>
      </c>
      <c r="J1592" s="311" t="str">
        <f t="shared" si="1721"/>
        <v/>
      </c>
      <c r="K1592" s="311" t="str">
        <f t="shared" si="1722"/>
        <v/>
      </c>
      <c r="L1592" s="310" t="str">
        <f t="shared" si="1723"/>
        <v/>
      </c>
      <c r="M1592" s="310" t="str">
        <f t="shared" si="1724"/>
        <v/>
      </c>
      <c r="N1592" s="311" t="str">
        <f t="shared" si="1725"/>
        <v/>
      </c>
    </row>
    <row r="1593" spans="1:14" s="294" customFormat="1">
      <c r="A1593" s="297" t="s">
        <v>1517</v>
      </c>
      <c r="B1593" s="301"/>
      <c r="C1593" s="299" t="s">
        <v>1496</v>
      </c>
      <c r="D1593" s="299">
        <v>1</v>
      </c>
      <c r="E1593" s="300">
        <v>49</v>
      </c>
      <c r="F1593" s="300">
        <f t="shared" si="1726"/>
        <v>49</v>
      </c>
      <c r="G1593" s="302">
        <f>(0.5*2)+17*0.008*2</f>
        <v>1.27</v>
      </c>
      <c r="H1593" s="310" t="str">
        <f t="shared" si="1719"/>
        <v/>
      </c>
      <c r="I1593" s="311">
        <f t="shared" si="1720"/>
        <v>62.23</v>
      </c>
      <c r="J1593" s="311" t="str">
        <f t="shared" si="1721"/>
        <v/>
      </c>
      <c r="K1593" s="311" t="str">
        <f t="shared" si="1722"/>
        <v/>
      </c>
      <c r="L1593" s="310" t="str">
        <f t="shared" si="1723"/>
        <v/>
      </c>
      <c r="M1593" s="310" t="str">
        <f t="shared" si="1724"/>
        <v/>
      </c>
      <c r="N1593" s="311" t="str">
        <f t="shared" si="1725"/>
        <v/>
      </c>
    </row>
    <row r="1594" spans="1:14">
      <c r="A1594" s="297" t="s">
        <v>1518</v>
      </c>
      <c r="B1594" s="254"/>
      <c r="C1594" s="299" t="s">
        <v>1492</v>
      </c>
      <c r="D1594" s="299">
        <v>1</v>
      </c>
      <c r="E1594" s="300">
        <v>3</v>
      </c>
      <c r="F1594" s="300">
        <f>E1594*D1594</f>
        <v>3</v>
      </c>
      <c r="G1594" s="302">
        <v>1.4</v>
      </c>
      <c r="H1594" s="310" t="str">
        <f t="shared" si="1719"/>
        <v/>
      </c>
      <c r="I1594" s="311" t="str">
        <f t="shared" si="1720"/>
        <v/>
      </c>
      <c r="J1594" s="311" t="str">
        <f t="shared" si="1721"/>
        <v/>
      </c>
      <c r="K1594" s="311" t="str">
        <f t="shared" si="1722"/>
        <v/>
      </c>
      <c r="L1594" s="310">
        <f t="shared" si="1723"/>
        <v>4.2</v>
      </c>
      <c r="M1594" s="310" t="str">
        <f t="shared" si="1724"/>
        <v/>
      </c>
      <c r="N1594" s="311" t="str">
        <f t="shared" si="1725"/>
        <v/>
      </c>
    </row>
    <row r="1595" spans="1:14">
      <c r="A1595" s="297" t="s">
        <v>1520</v>
      </c>
      <c r="B1595" s="254"/>
      <c r="C1595" s="299" t="s">
        <v>1492</v>
      </c>
      <c r="D1595" s="299">
        <v>1</v>
      </c>
      <c r="E1595" s="300">
        <v>3</v>
      </c>
      <c r="F1595" s="300">
        <f>E1595*D1595</f>
        <v>3</v>
      </c>
      <c r="G1595" s="302">
        <v>2.9</v>
      </c>
      <c r="H1595" s="310" t="str">
        <f t="shared" si="1719"/>
        <v/>
      </c>
      <c r="I1595" s="311" t="str">
        <f t="shared" si="1720"/>
        <v/>
      </c>
      <c r="J1595" s="311" t="str">
        <f t="shared" si="1721"/>
        <v/>
      </c>
      <c r="K1595" s="311" t="str">
        <f t="shared" si="1722"/>
        <v/>
      </c>
      <c r="L1595" s="310">
        <f t="shared" si="1723"/>
        <v>8.6999999999999993</v>
      </c>
      <c r="M1595" s="310" t="str">
        <f t="shared" si="1724"/>
        <v/>
      </c>
      <c r="N1595" s="311" t="str">
        <f t="shared" si="1725"/>
        <v/>
      </c>
    </row>
    <row r="1596" spans="1:14">
      <c r="A1596" s="297" t="s">
        <v>1520</v>
      </c>
      <c r="B1596" s="254"/>
      <c r="C1596" s="299" t="s">
        <v>1492</v>
      </c>
      <c r="D1596" s="299">
        <v>1</v>
      </c>
      <c r="E1596" s="300">
        <v>3</v>
      </c>
      <c r="F1596" s="300">
        <f>E1596*D1596</f>
        <v>3</v>
      </c>
      <c r="G1596" s="302">
        <v>5.2</v>
      </c>
      <c r="H1596" s="310" t="str">
        <f t="shared" si="1719"/>
        <v/>
      </c>
      <c r="I1596" s="311" t="str">
        <f t="shared" si="1720"/>
        <v/>
      </c>
      <c r="J1596" s="311" t="str">
        <f t="shared" si="1721"/>
        <v/>
      </c>
      <c r="K1596" s="311" t="str">
        <f t="shared" si="1722"/>
        <v/>
      </c>
      <c r="L1596" s="310">
        <f t="shared" si="1723"/>
        <v>15.6</v>
      </c>
      <c r="M1596" s="310" t="str">
        <f t="shared" si="1724"/>
        <v/>
      </c>
      <c r="N1596" s="311" t="str">
        <f t="shared" si="1725"/>
        <v/>
      </c>
    </row>
    <row r="1597" spans="1:14" ht="16.5">
      <c r="A1597" s="303"/>
      <c r="B1597" s="254"/>
      <c r="C1597" s="299"/>
      <c r="D1597" s="299"/>
      <c r="E1597" s="300"/>
      <c r="F1597" s="300"/>
      <c r="G1597" s="302"/>
      <c r="H1597" s="310"/>
      <c r="I1597" s="311"/>
      <c r="J1597" s="311"/>
      <c r="K1597" s="311"/>
      <c r="L1597" s="310"/>
      <c r="M1597" s="310"/>
      <c r="N1597" s="311"/>
    </row>
    <row r="1598" spans="1:14" ht="16.5">
      <c r="A1598" s="303" t="s">
        <v>1407</v>
      </c>
      <c r="B1598" s="254"/>
      <c r="C1598" s="299"/>
      <c r="D1598" s="299"/>
      <c r="E1598" s="300"/>
      <c r="F1598" s="300"/>
      <c r="G1598" s="302"/>
      <c r="H1598" s="310"/>
      <c r="I1598" s="311"/>
      <c r="J1598" s="311"/>
      <c r="K1598" s="311"/>
      <c r="L1598" s="310"/>
      <c r="M1598" s="310"/>
      <c r="N1598" s="311"/>
    </row>
    <row r="1599" spans="1:14" s="294" customFormat="1">
      <c r="A1599" s="297" t="s">
        <v>1515</v>
      </c>
      <c r="B1599" s="298"/>
      <c r="C1599" s="299" t="s">
        <v>1519</v>
      </c>
      <c r="D1599" s="299">
        <v>1</v>
      </c>
      <c r="E1599" s="300">
        <v>3</v>
      </c>
      <c r="F1599" s="300">
        <f>E1599*D1599</f>
        <v>3</v>
      </c>
      <c r="G1599" s="299">
        <f>(2.65)+17*0.01*2</f>
        <v>2.99</v>
      </c>
      <c r="H1599" s="310" t="str">
        <f t="shared" ref="H1599:H1605" si="1727">IF(C1599="T6",G1599*F1599,"")</f>
        <v/>
      </c>
      <c r="I1599" s="311" t="str">
        <f t="shared" ref="I1599:I1605" si="1728">IF(C1599="T8",F1599*G1599,"")</f>
        <v/>
      </c>
      <c r="J1599" s="311">
        <f t="shared" ref="J1599:J1605" si="1729">IF(C1599="T10",F1599*G1599,"")</f>
        <v>8.9700000000000006</v>
      </c>
      <c r="K1599" s="311" t="str">
        <f t="shared" ref="K1599:K1605" si="1730">IF(C1599="T12",F1599*G1599,"")</f>
        <v/>
      </c>
      <c r="L1599" s="310" t="str">
        <f t="shared" ref="L1599:L1605" si="1731">IF(C1599="T14",F1599*G1599,"")</f>
        <v/>
      </c>
      <c r="M1599" s="310" t="str">
        <f t="shared" ref="M1599:M1605" si="1732">IF(C1599="T16",G1599*F1599,"")</f>
        <v/>
      </c>
      <c r="N1599" s="311" t="str">
        <f t="shared" ref="N1599:N1605" si="1733">IF(C1599="T20",G1599*F1599,"")</f>
        <v/>
      </c>
    </row>
    <row r="1600" spans="1:14" s="294" customFormat="1">
      <c r="A1600" s="297" t="s">
        <v>1515</v>
      </c>
      <c r="B1600" s="298"/>
      <c r="C1600" s="299" t="s">
        <v>1516</v>
      </c>
      <c r="D1600" s="299">
        <v>1</v>
      </c>
      <c r="E1600" s="300">
        <v>3</v>
      </c>
      <c r="F1600" s="300">
        <f>E1600*D1600</f>
        <v>3</v>
      </c>
      <c r="G1600" s="302">
        <f>(2.65)+17*0.012*2</f>
        <v>3.06</v>
      </c>
      <c r="H1600" s="310" t="str">
        <f t="shared" si="1727"/>
        <v/>
      </c>
      <c r="I1600" s="311" t="str">
        <f t="shared" si="1728"/>
        <v/>
      </c>
      <c r="J1600" s="311" t="str">
        <f t="shared" si="1729"/>
        <v/>
      </c>
      <c r="K1600" s="311">
        <f t="shared" si="1730"/>
        <v>9.18</v>
      </c>
      <c r="L1600" s="310" t="str">
        <f t="shared" si="1731"/>
        <v/>
      </c>
      <c r="M1600" s="310" t="str">
        <f t="shared" si="1732"/>
        <v/>
      </c>
      <c r="N1600" s="311" t="str">
        <f t="shared" si="1733"/>
        <v/>
      </c>
    </row>
    <row r="1601" spans="1:14" s="294" customFormat="1">
      <c r="A1601" s="297" t="s">
        <v>1494</v>
      </c>
      <c r="B1601" s="301"/>
      <c r="C1601" s="299" t="s">
        <v>1496</v>
      </c>
      <c r="D1601" s="299">
        <v>1</v>
      </c>
      <c r="E1601" s="300">
        <f>8+10+8</f>
        <v>26</v>
      </c>
      <c r="F1601" s="300">
        <f t="shared" ref="F1601:F1602" si="1734">E1601*D1601</f>
        <v>26</v>
      </c>
      <c r="G1601" s="302">
        <f>(0.2+0.35)*2+17*0.008*2</f>
        <v>1.37</v>
      </c>
      <c r="H1601" s="310" t="str">
        <f t="shared" si="1727"/>
        <v/>
      </c>
      <c r="I1601" s="311">
        <f t="shared" si="1728"/>
        <v>35.619999999999997</v>
      </c>
      <c r="J1601" s="311" t="str">
        <f t="shared" si="1729"/>
        <v/>
      </c>
      <c r="K1601" s="311" t="str">
        <f t="shared" si="1730"/>
        <v/>
      </c>
      <c r="L1601" s="310" t="str">
        <f t="shared" si="1731"/>
        <v/>
      </c>
      <c r="M1601" s="310" t="str">
        <f t="shared" si="1732"/>
        <v/>
      </c>
      <c r="N1601" s="311" t="str">
        <f t="shared" si="1733"/>
        <v/>
      </c>
    </row>
    <row r="1602" spans="1:14" s="294" customFormat="1">
      <c r="A1602" s="297" t="s">
        <v>1517</v>
      </c>
      <c r="B1602" s="301"/>
      <c r="C1602" s="299" t="s">
        <v>1496</v>
      </c>
      <c r="D1602" s="299">
        <v>1</v>
      </c>
      <c r="E1602" s="300">
        <v>26</v>
      </c>
      <c r="F1602" s="300">
        <f t="shared" si="1734"/>
        <v>26</v>
      </c>
      <c r="G1602" s="302">
        <f>(0.35*2)+17*0.008*2</f>
        <v>0.97</v>
      </c>
      <c r="H1602" s="310" t="str">
        <f t="shared" si="1727"/>
        <v/>
      </c>
      <c r="I1602" s="311">
        <f t="shared" si="1728"/>
        <v>25.22</v>
      </c>
      <c r="J1602" s="311" t="str">
        <f t="shared" si="1729"/>
        <v/>
      </c>
      <c r="K1602" s="311" t="str">
        <f t="shared" si="1730"/>
        <v/>
      </c>
      <c r="L1602" s="310" t="str">
        <f t="shared" si="1731"/>
        <v/>
      </c>
      <c r="M1602" s="310" t="str">
        <f t="shared" si="1732"/>
        <v/>
      </c>
      <c r="N1602" s="311" t="str">
        <f t="shared" si="1733"/>
        <v/>
      </c>
    </row>
    <row r="1603" spans="1:14">
      <c r="A1603" s="297" t="s">
        <v>1520</v>
      </c>
      <c r="B1603" s="254"/>
      <c r="C1603" s="299" t="s">
        <v>1492</v>
      </c>
      <c r="D1603" s="299">
        <v>1</v>
      </c>
      <c r="E1603" s="300">
        <v>3</v>
      </c>
      <c r="F1603" s="300">
        <f>E1603*D1603</f>
        <v>3</v>
      </c>
      <c r="G1603" s="302">
        <v>2.9</v>
      </c>
      <c r="H1603" s="310" t="str">
        <f t="shared" si="1727"/>
        <v/>
      </c>
      <c r="I1603" s="311" t="str">
        <f t="shared" si="1728"/>
        <v/>
      </c>
      <c r="J1603" s="311" t="str">
        <f t="shared" si="1729"/>
        <v/>
      </c>
      <c r="K1603" s="311" t="str">
        <f t="shared" si="1730"/>
        <v/>
      </c>
      <c r="L1603" s="310">
        <f t="shared" si="1731"/>
        <v>8.6999999999999993</v>
      </c>
      <c r="M1603" s="310" t="str">
        <f t="shared" si="1732"/>
        <v/>
      </c>
      <c r="N1603" s="311" t="str">
        <f t="shared" si="1733"/>
        <v/>
      </c>
    </row>
    <row r="1604" spans="1:14">
      <c r="A1604" s="297"/>
      <c r="B1604" s="254"/>
      <c r="C1604" s="299" t="s">
        <v>1492</v>
      </c>
      <c r="D1604" s="299">
        <v>1</v>
      </c>
      <c r="E1604" s="300">
        <v>6</v>
      </c>
      <c r="F1604" s="300">
        <f>E1604*D1604</f>
        <v>6</v>
      </c>
      <c r="G1604" s="302">
        <v>3.2</v>
      </c>
      <c r="H1604" s="310" t="str">
        <f t="shared" ref="H1604" si="1735">IF(C1604="T6",G1604*F1604,"")</f>
        <v/>
      </c>
      <c r="I1604" s="311" t="str">
        <f t="shared" ref="I1604" si="1736">IF(C1604="T8",F1604*G1604,"")</f>
        <v/>
      </c>
      <c r="J1604" s="311" t="str">
        <f t="shared" ref="J1604" si="1737">IF(C1604="T10",F1604*G1604,"")</f>
        <v/>
      </c>
      <c r="K1604" s="311" t="str">
        <f t="shared" ref="K1604" si="1738">IF(C1604="T12",F1604*G1604,"")</f>
        <v/>
      </c>
      <c r="L1604" s="310">
        <f t="shared" ref="L1604" si="1739">IF(C1604="T14",F1604*G1604,"")</f>
        <v>19.2</v>
      </c>
      <c r="M1604" s="310" t="str">
        <f t="shared" ref="M1604" si="1740">IF(C1604="T16",G1604*F1604,"")</f>
        <v/>
      </c>
      <c r="N1604" s="311" t="str">
        <f t="shared" ref="N1604" si="1741">IF(C1604="T20",G1604*F1604,"")</f>
        <v/>
      </c>
    </row>
    <row r="1605" spans="1:14" ht="16.5">
      <c r="A1605" s="303"/>
      <c r="B1605" s="254"/>
      <c r="C1605" s="299" t="s">
        <v>1519</v>
      </c>
      <c r="D1605" s="299">
        <v>1</v>
      </c>
      <c r="E1605" s="300">
        <v>3</v>
      </c>
      <c r="F1605" s="300">
        <f>E1605*D1605</f>
        <v>3</v>
      </c>
      <c r="G1605" s="302">
        <v>2.15</v>
      </c>
      <c r="H1605" s="310" t="str">
        <f t="shared" si="1727"/>
        <v/>
      </c>
      <c r="I1605" s="311" t="str">
        <f t="shared" si="1728"/>
        <v/>
      </c>
      <c r="J1605" s="311">
        <f t="shared" si="1729"/>
        <v>6.45</v>
      </c>
      <c r="K1605" s="311" t="str">
        <f t="shared" si="1730"/>
        <v/>
      </c>
      <c r="L1605" s="310" t="str">
        <f t="shared" si="1731"/>
        <v/>
      </c>
      <c r="M1605" s="310" t="str">
        <f t="shared" si="1732"/>
        <v/>
      </c>
      <c r="N1605" s="311" t="str">
        <f t="shared" si="1733"/>
        <v/>
      </c>
    </row>
    <row r="1606" spans="1:14" ht="16.5">
      <c r="A1606" s="303"/>
      <c r="B1606" s="254"/>
      <c r="C1606" s="299"/>
      <c r="D1606" s="299"/>
      <c r="E1606" s="300"/>
      <c r="F1606" s="300"/>
      <c r="G1606" s="302"/>
      <c r="H1606" s="310"/>
      <c r="I1606" s="311"/>
      <c r="J1606" s="311"/>
      <c r="K1606" s="311"/>
      <c r="L1606" s="310"/>
      <c r="M1606" s="310"/>
      <c r="N1606" s="311"/>
    </row>
    <row r="1607" spans="1:14" ht="16.5">
      <c r="A1607" s="303" t="s">
        <v>1408</v>
      </c>
      <c r="B1607" s="254"/>
      <c r="C1607" s="299"/>
      <c r="D1607" s="299"/>
      <c r="E1607" s="300"/>
      <c r="F1607" s="300"/>
      <c r="G1607" s="302"/>
      <c r="H1607" s="310"/>
      <c r="I1607" s="311"/>
      <c r="J1607" s="311"/>
      <c r="K1607" s="311"/>
      <c r="L1607" s="310"/>
      <c r="M1607" s="310"/>
      <c r="N1607" s="311"/>
    </row>
    <row r="1608" spans="1:14" s="294" customFormat="1">
      <c r="A1608" s="297" t="s">
        <v>1515</v>
      </c>
      <c r="B1608" s="298"/>
      <c r="C1608" s="299" t="s">
        <v>1516</v>
      </c>
      <c r="D1608" s="299">
        <v>1</v>
      </c>
      <c r="E1608" s="300">
        <v>3</v>
      </c>
      <c r="F1608" s="300">
        <f>E1608*D1608</f>
        <v>3</v>
      </c>
      <c r="G1608" s="299">
        <f>(5.7)+17*0.012*2</f>
        <v>6.1079999999999997</v>
      </c>
      <c r="H1608" s="310" t="str">
        <f t="shared" ref="H1608:H1614" si="1742">IF(C1608="T6",G1608*F1608,"")</f>
        <v/>
      </c>
      <c r="I1608" s="311" t="str">
        <f t="shared" ref="I1608:I1614" si="1743">IF(C1608="T8",F1608*G1608,"")</f>
        <v/>
      </c>
      <c r="J1608" s="311" t="str">
        <f t="shared" ref="J1608:J1614" si="1744">IF(C1608="T10",F1608*G1608,"")</f>
        <v/>
      </c>
      <c r="K1608" s="311">
        <f t="shared" ref="K1608:K1614" si="1745">IF(C1608="T12",F1608*G1608,"")</f>
        <v>18.32</v>
      </c>
      <c r="L1608" s="310" t="str">
        <f t="shared" ref="L1608:L1614" si="1746">IF(C1608="T14",F1608*G1608,"")</f>
        <v/>
      </c>
      <c r="M1608" s="310" t="str">
        <f t="shared" ref="M1608:M1614" si="1747">IF(C1608="T16",G1608*F1608,"")</f>
        <v/>
      </c>
      <c r="N1608" s="311" t="str">
        <f t="shared" ref="N1608:N1614" si="1748">IF(C1608="T20",G1608*F1608,"")</f>
        <v/>
      </c>
    </row>
    <row r="1609" spans="1:14" s="294" customFormat="1">
      <c r="A1609" s="297" t="s">
        <v>1515</v>
      </c>
      <c r="B1609" s="298"/>
      <c r="C1609" s="299" t="s">
        <v>1498</v>
      </c>
      <c r="D1609" s="299">
        <v>1</v>
      </c>
      <c r="E1609" s="300">
        <v>3</v>
      </c>
      <c r="F1609" s="300">
        <f>E1609*D1609</f>
        <v>3</v>
      </c>
      <c r="G1609" s="302">
        <f>(5.7)+17*0.016*2</f>
        <v>6.24</v>
      </c>
      <c r="H1609" s="310" t="str">
        <f t="shared" si="1742"/>
        <v/>
      </c>
      <c r="I1609" s="311" t="str">
        <f t="shared" si="1743"/>
        <v/>
      </c>
      <c r="J1609" s="311" t="str">
        <f t="shared" si="1744"/>
        <v/>
      </c>
      <c r="K1609" s="311" t="str">
        <f t="shared" si="1745"/>
        <v/>
      </c>
      <c r="L1609" s="310" t="str">
        <f t="shared" si="1746"/>
        <v/>
      </c>
      <c r="M1609" s="310">
        <f t="shared" si="1747"/>
        <v>18.72</v>
      </c>
      <c r="N1609" s="311" t="str">
        <f t="shared" si="1748"/>
        <v/>
      </c>
    </row>
    <row r="1610" spans="1:14" s="294" customFormat="1">
      <c r="A1610" s="297"/>
      <c r="B1610" s="298"/>
      <c r="C1610" s="299" t="s">
        <v>1519</v>
      </c>
      <c r="D1610" s="299">
        <v>1</v>
      </c>
      <c r="E1610" s="300">
        <v>3</v>
      </c>
      <c r="F1610" s="300">
        <f>E1610*D1610</f>
        <v>3</v>
      </c>
      <c r="G1610" s="299">
        <v>5.7</v>
      </c>
      <c r="H1610" s="310" t="str">
        <f t="shared" si="1742"/>
        <v/>
      </c>
      <c r="I1610" s="311" t="str">
        <f t="shared" si="1743"/>
        <v/>
      </c>
      <c r="J1610" s="311">
        <f t="shared" si="1744"/>
        <v>17.100000000000001</v>
      </c>
      <c r="K1610" s="311" t="str">
        <f t="shared" si="1745"/>
        <v/>
      </c>
      <c r="L1610" s="310" t="str">
        <f t="shared" si="1746"/>
        <v/>
      </c>
      <c r="M1610" s="310" t="str">
        <f t="shared" si="1747"/>
        <v/>
      </c>
      <c r="N1610" s="311" t="str">
        <f t="shared" si="1748"/>
        <v/>
      </c>
    </row>
    <row r="1611" spans="1:14" s="294" customFormat="1">
      <c r="A1611" s="297" t="s">
        <v>1494</v>
      </c>
      <c r="B1611" s="301"/>
      <c r="C1611" s="299" t="s">
        <v>1496</v>
      </c>
      <c r="D1611" s="299">
        <v>1</v>
      </c>
      <c r="E1611" s="300">
        <f>17+16+17</f>
        <v>50</v>
      </c>
      <c r="F1611" s="300">
        <f t="shared" ref="F1611:F1612" si="1749">E1611*D1611</f>
        <v>50</v>
      </c>
      <c r="G1611" s="302">
        <f>(0.2+0.6)*2+17*0.008*2</f>
        <v>1.87</v>
      </c>
      <c r="H1611" s="310" t="str">
        <f t="shared" si="1742"/>
        <v/>
      </c>
      <c r="I1611" s="311">
        <f t="shared" si="1743"/>
        <v>93.5</v>
      </c>
      <c r="J1611" s="311" t="str">
        <f t="shared" si="1744"/>
        <v/>
      </c>
      <c r="K1611" s="311" t="str">
        <f t="shared" si="1745"/>
        <v/>
      </c>
      <c r="L1611" s="310" t="str">
        <f t="shared" si="1746"/>
        <v/>
      </c>
      <c r="M1611" s="310" t="str">
        <f t="shared" si="1747"/>
        <v/>
      </c>
      <c r="N1611" s="311" t="str">
        <f t="shared" si="1748"/>
        <v/>
      </c>
    </row>
    <row r="1612" spans="1:14" s="294" customFormat="1">
      <c r="A1612" s="297" t="s">
        <v>1517</v>
      </c>
      <c r="B1612" s="301"/>
      <c r="C1612" s="299" t="s">
        <v>1496</v>
      </c>
      <c r="D1612" s="299">
        <v>1</v>
      </c>
      <c r="E1612" s="300">
        <f>17+16+17</f>
        <v>50</v>
      </c>
      <c r="F1612" s="300">
        <f t="shared" si="1749"/>
        <v>50</v>
      </c>
      <c r="G1612" s="302">
        <f>(0.6*2)+17*0.008*2</f>
        <v>1.47</v>
      </c>
      <c r="H1612" s="310" t="str">
        <f t="shared" si="1742"/>
        <v/>
      </c>
      <c r="I1612" s="311">
        <f t="shared" si="1743"/>
        <v>73.5</v>
      </c>
      <c r="J1612" s="311" t="str">
        <f t="shared" si="1744"/>
        <v/>
      </c>
      <c r="K1612" s="311" t="str">
        <f t="shared" si="1745"/>
        <v/>
      </c>
      <c r="L1612" s="310" t="str">
        <f t="shared" si="1746"/>
        <v/>
      </c>
      <c r="M1612" s="310" t="str">
        <f t="shared" si="1747"/>
        <v/>
      </c>
      <c r="N1612" s="311" t="str">
        <f t="shared" si="1748"/>
        <v/>
      </c>
    </row>
    <row r="1613" spans="1:14">
      <c r="A1613" s="297" t="s">
        <v>1520</v>
      </c>
      <c r="B1613" s="254"/>
      <c r="C1613" s="299" t="s">
        <v>1492</v>
      </c>
      <c r="D1613" s="299">
        <v>1</v>
      </c>
      <c r="E1613" s="300">
        <v>6</v>
      </c>
      <c r="F1613" s="300">
        <f>E1613*D1613</f>
        <v>6</v>
      </c>
      <c r="G1613" s="302">
        <v>3.2</v>
      </c>
      <c r="H1613" s="310" t="str">
        <f t="shared" si="1742"/>
        <v/>
      </c>
      <c r="I1613" s="311" t="str">
        <f t="shared" si="1743"/>
        <v/>
      </c>
      <c r="J1613" s="311" t="str">
        <f t="shared" si="1744"/>
        <v/>
      </c>
      <c r="K1613" s="311" t="str">
        <f t="shared" si="1745"/>
        <v/>
      </c>
      <c r="L1613" s="310">
        <f t="shared" si="1746"/>
        <v>19.2</v>
      </c>
      <c r="M1613" s="310" t="str">
        <f t="shared" si="1747"/>
        <v/>
      </c>
      <c r="N1613" s="311" t="str">
        <f t="shared" si="1748"/>
        <v/>
      </c>
    </row>
    <row r="1614" spans="1:14">
      <c r="A1614" s="297" t="s">
        <v>1520</v>
      </c>
      <c r="B1614" s="254"/>
      <c r="C1614" s="299" t="s">
        <v>1492</v>
      </c>
      <c r="D1614" s="299">
        <v>1</v>
      </c>
      <c r="E1614" s="300">
        <v>6</v>
      </c>
      <c r="F1614" s="300">
        <f>E1614*D1614</f>
        <v>6</v>
      </c>
      <c r="G1614" s="302">
        <v>3.3</v>
      </c>
      <c r="H1614" s="310" t="str">
        <f t="shared" si="1742"/>
        <v/>
      </c>
      <c r="I1614" s="311" t="str">
        <f t="shared" si="1743"/>
        <v/>
      </c>
      <c r="J1614" s="311" t="str">
        <f t="shared" si="1744"/>
        <v/>
      </c>
      <c r="K1614" s="311" t="str">
        <f t="shared" si="1745"/>
        <v/>
      </c>
      <c r="L1614" s="310">
        <f t="shared" si="1746"/>
        <v>19.8</v>
      </c>
      <c r="M1614" s="310" t="str">
        <f t="shared" si="1747"/>
        <v/>
      </c>
      <c r="N1614" s="311" t="str">
        <f t="shared" si="1748"/>
        <v/>
      </c>
    </row>
    <row r="1615" spans="1:14">
      <c r="A1615" s="297" t="s">
        <v>1520</v>
      </c>
      <c r="B1615" s="254"/>
      <c r="C1615" s="299" t="s">
        <v>1498</v>
      </c>
      <c r="D1615" s="299">
        <v>1</v>
      </c>
      <c r="E1615" s="300">
        <v>3</v>
      </c>
      <c r="F1615" s="300">
        <f>E1615*D1615</f>
        <v>3</v>
      </c>
      <c r="G1615" s="302">
        <v>5.4</v>
      </c>
      <c r="H1615" s="310" t="str">
        <f t="shared" ref="H1615" si="1750">IF(C1615="T6",G1615*F1615,"")</f>
        <v/>
      </c>
      <c r="I1615" s="311" t="str">
        <f t="shared" ref="I1615" si="1751">IF(C1615="T8",F1615*G1615,"")</f>
        <v/>
      </c>
      <c r="J1615" s="311" t="str">
        <f t="shared" ref="J1615" si="1752">IF(C1615="T10",F1615*G1615,"")</f>
        <v/>
      </c>
      <c r="K1615" s="311" t="str">
        <f t="shared" ref="K1615" si="1753">IF(C1615="T12",F1615*G1615,"")</f>
        <v/>
      </c>
      <c r="L1615" s="310" t="str">
        <f t="shared" ref="L1615" si="1754">IF(C1615="T14",F1615*G1615,"")</f>
        <v/>
      </c>
      <c r="M1615" s="310">
        <f t="shared" ref="M1615" si="1755">IF(C1615="T16",G1615*F1615,"")</f>
        <v>16.2</v>
      </c>
      <c r="N1615" s="311" t="str">
        <f t="shared" ref="N1615" si="1756">IF(C1615="T20",G1615*F1615,"")</f>
        <v/>
      </c>
    </row>
    <row r="1616" spans="1:14" ht="16.5">
      <c r="A1616" s="303"/>
      <c r="B1616" s="254"/>
      <c r="C1616" s="299"/>
      <c r="D1616" s="299"/>
      <c r="E1616" s="300"/>
      <c r="F1616" s="300"/>
      <c r="G1616" s="302"/>
      <c r="H1616" s="310"/>
      <c r="I1616" s="311"/>
      <c r="J1616" s="311"/>
      <c r="K1616" s="311"/>
      <c r="L1616" s="310"/>
      <c r="M1616" s="310"/>
      <c r="N1616" s="311"/>
    </row>
    <row r="1617" spans="1:14" ht="16.5">
      <c r="A1617" s="303" t="s">
        <v>1409</v>
      </c>
      <c r="B1617" s="254"/>
      <c r="C1617" s="299"/>
      <c r="D1617" s="299"/>
      <c r="E1617" s="300"/>
      <c r="F1617" s="300"/>
      <c r="G1617" s="302"/>
      <c r="H1617" s="310"/>
      <c r="I1617" s="311"/>
      <c r="J1617" s="311"/>
      <c r="K1617" s="311"/>
      <c r="L1617" s="310"/>
      <c r="M1617" s="310"/>
      <c r="N1617" s="311"/>
    </row>
    <row r="1618" spans="1:14" s="294" customFormat="1">
      <c r="A1618" s="297" t="s">
        <v>1515</v>
      </c>
      <c r="B1618" s="298"/>
      <c r="C1618" s="299" t="s">
        <v>1519</v>
      </c>
      <c r="D1618" s="299">
        <v>1</v>
      </c>
      <c r="E1618" s="300">
        <v>3</v>
      </c>
      <c r="F1618" s="300">
        <f>E1618*D1618</f>
        <v>3</v>
      </c>
      <c r="G1618" s="299">
        <f>(2.6)+17*0.01*2</f>
        <v>2.94</v>
      </c>
      <c r="H1618" s="310" t="str">
        <f t="shared" ref="H1618:H1624" si="1757">IF(C1618="T6",G1618*F1618,"")</f>
        <v/>
      </c>
      <c r="I1618" s="311" t="str">
        <f t="shared" ref="I1618:I1624" si="1758">IF(C1618="T8",F1618*G1618,"")</f>
        <v/>
      </c>
      <c r="J1618" s="311">
        <f t="shared" ref="J1618:J1624" si="1759">IF(C1618="T10",F1618*G1618,"")</f>
        <v>8.82</v>
      </c>
      <c r="K1618" s="311" t="str">
        <f t="shared" ref="K1618:K1624" si="1760">IF(C1618="T12",F1618*G1618,"")</f>
        <v/>
      </c>
      <c r="L1618" s="310" t="str">
        <f t="shared" ref="L1618:L1624" si="1761">IF(C1618="T14",F1618*G1618,"")</f>
        <v/>
      </c>
      <c r="M1618" s="310" t="str">
        <f t="shared" ref="M1618:M1624" si="1762">IF(C1618="T16",G1618*F1618,"")</f>
        <v/>
      </c>
      <c r="N1618" s="311" t="str">
        <f t="shared" ref="N1618:N1624" si="1763">IF(C1618="T20",G1618*F1618,"")</f>
        <v/>
      </c>
    </row>
    <row r="1619" spans="1:14" s="294" customFormat="1">
      <c r="A1619" s="297" t="s">
        <v>1515</v>
      </c>
      <c r="B1619" s="298"/>
      <c r="C1619" s="299" t="s">
        <v>1516</v>
      </c>
      <c r="D1619" s="299">
        <v>1</v>
      </c>
      <c r="E1619" s="300">
        <v>3</v>
      </c>
      <c r="F1619" s="300">
        <f>E1619*D1619</f>
        <v>3</v>
      </c>
      <c r="G1619" s="302">
        <f>(2.6)+17*0.012*2</f>
        <v>3.01</v>
      </c>
      <c r="H1619" s="310" t="str">
        <f t="shared" si="1757"/>
        <v/>
      </c>
      <c r="I1619" s="311" t="str">
        <f t="shared" si="1758"/>
        <v/>
      </c>
      <c r="J1619" s="311" t="str">
        <f t="shared" si="1759"/>
        <v/>
      </c>
      <c r="K1619" s="311">
        <f t="shared" si="1760"/>
        <v>9.0299999999999994</v>
      </c>
      <c r="L1619" s="310" t="str">
        <f t="shared" si="1761"/>
        <v/>
      </c>
      <c r="M1619" s="310" t="str">
        <f t="shared" si="1762"/>
        <v/>
      </c>
      <c r="N1619" s="311" t="str">
        <f t="shared" si="1763"/>
        <v/>
      </c>
    </row>
    <row r="1620" spans="1:14" s="294" customFormat="1">
      <c r="A1620" s="297" t="s">
        <v>1494</v>
      </c>
      <c r="B1620" s="301"/>
      <c r="C1620" s="299" t="s">
        <v>1496</v>
      </c>
      <c r="D1620" s="299">
        <v>1</v>
      </c>
      <c r="E1620" s="300">
        <f>8+7+8</f>
        <v>23</v>
      </c>
      <c r="F1620" s="300">
        <f t="shared" ref="F1620:F1621" si="1764">E1620*D1620</f>
        <v>23</v>
      </c>
      <c r="G1620" s="302">
        <f>(0.2+0.35)*2+17*0.008*2</f>
        <v>1.37</v>
      </c>
      <c r="H1620" s="310" t="str">
        <f t="shared" si="1757"/>
        <v/>
      </c>
      <c r="I1620" s="311">
        <f t="shared" si="1758"/>
        <v>31.51</v>
      </c>
      <c r="J1620" s="311" t="str">
        <f t="shared" si="1759"/>
        <v/>
      </c>
      <c r="K1620" s="311" t="str">
        <f t="shared" si="1760"/>
        <v/>
      </c>
      <c r="L1620" s="310" t="str">
        <f t="shared" si="1761"/>
        <v/>
      </c>
      <c r="M1620" s="310" t="str">
        <f t="shared" si="1762"/>
        <v/>
      </c>
      <c r="N1620" s="311" t="str">
        <f t="shared" si="1763"/>
        <v/>
      </c>
    </row>
    <row r="1621" spans="1:14" s="294" customFormat="1">
      <c r="A1621" s="297" t="s">
        <v>1517</v>
      </c>
      <c r="B1621" s="301"/>
      <c r="C1621" s="299" t="s">
        <v>1496</v>
      </c>
      <c r="D1621" s="299">
        <v>1</v>
      </c>
      <c r="E1621" s="300">
        <v>23</v>
      </c>
      <c r="F1621" s="300">
        <f t="shared" si="1764"/>
        <v>23</v>
      </c>
      <c r="G1621" s="302">
        <f>(0.35*2)+17*0.008*2</f>
        <v>0.97</v>
      </c>
      <c r="H1621" s="310" t="str">
        <f t="shared" si="1757"/>
        <v/>
      </c>
      <c r="I1621" s="311">
        <f t="shared" si="1758"/>
        <v>22.31</v>
      </c>
      <c r="J1621" s="311" t="str">
        <f t="shared" si="1759"/>
        <v/>
      </c>
      <c r="K1621" s="311" t="str">
        <f t="shared" si="1760"/>
        <v/>
      </c>
      <c r="L1621" s="310" t="str">
        <f t="shared" si="1761"/>
        <v/>
      </c>
      <c r="M1621" s="310" t="str">
        <f t="shared" si="1762"/>
        <v/>
      </c>
      <c r="N1621" s="311" t="str">
        <f t="shared" si="1763"/>
        <v/>
      </c>
    </row>
    <row r="1622" spans="1:14">
      <c r="A1622" s="297" t="s">
        <v>1520</v>
      </c>
      <c r="B1622" s="254"/>
      <c r="C1622" s="299" t="s">
        <v>1492</v>
      </c>
      <c r="D1622" s="299">
        <v>1</v>
      </c>
      <c r="E1622" s="300">
        <v>3</v>
      </c>
      <c r="F1622" s="300">
        <f>E1622*D1622</f>
        <v>3</v>
      </c>
      <c r="G1622" s="302">
        <v>3.3</v>
      </c>
      <c r="H1622" s="310" t="str">
        <f t="shared" si="1757"/>
        <v/>
      </c>
      <c r="I1622" s="311" t="str">
        <f t="shared" si="1758"/>
        <v/>
      </c>
      <c r="J1622" s="311" t="str">
        <f t="shared" si="1759"/>
        <v/>
      </c>
      <c r="K1622" s="311" t="str">
        <f t="shared" si="1760"/>
        <v/>
      </c>
      <c r="L1622" s="310">
        <f t="shared" si="1761"/>
        <v>9.9</v>
      </c>
      <c r="M1622" s="310" t="str">
        <f t="shared" si="1762"/>
        <v/>
      </c>
      <c r="N1622" s="311" t="str">
        <f t="shared" si="1763"/>
        <v/>
      </c>
    </row>
    <row r="1623" spans="1:14">
      <c r="A1623" s="297" t="s">
        <v>1520</v>
      </c>
      <c r="B1623" s="254"/>
      <c r="C1623" s="299" t="s">
        <v>1492</v>
      </c>
      <c r="D1623" s="299">
        <v>1</v>
      </c>
      <c r="E1623" s="300">
        <v>3</v>
      </c>
      <c r="F1623" s="300">
        <f>E1623*D1623</f>
        <v>3</v>
      </c>
      <c r="G1623" s="302">
        <v>2.5</v>
      </c>
      <c r="H1623" s="310" t="str">
        <f t="shared" si="1757"/>
        <v/>
      </c>
      <c r="I1623" s="311" t="str">
        <f t="shared" si="1758"/>
        <v/>
      </c>
      <c r="J1623" s="311" t="str">
        <f t="shared" si="1759"/>
        <v/>
      </c>
      <c r="K1623" s="311" t="str">
        <f t="shared" si="1760"/>
        <v/>
      </c>
      <c r="L1623" s="310">
        <f t="shared" si="1761"/>
        <v>7.5</v>
      </c>
      <c r="M1623" s="310" t="str">
        <f t="shared" si="1762"/>
        <v/>
      </c>
      <c r="N1623" s="311" t="str">
        <f t="shared" si="1763"/>
        <v/>
      </c>
    </row>
    <row r="1624" spans="1:14">
      <c r="A1624" s="297" t="s">
        <v>1520</v>
      </c>
      <c r="B1624" s="254"/>
      <c r="C1624" s="299" t="s">
        <v>1519</v>
      </c>
      <c r="D1624" s="299">
        <v>1</v>
      </c>
      <c r="E1624" s="300">
        <v>3</v>
      </c>
      <c r="F1624" s="300">
        <f>E1624*D1624</f>
        <v>3</v>
      </c>
      <c r="G1624" s="302">
        <v>2.1</v>
      </c>
      <c r="H1624" s="310" t="str">
        <f t="shared" si="1757"/>
        <v/>
      </c>
      <c r="I1624" s="311" t="str">
        <f t="shared" si="1758"/>
        <v/>
      </c>
      <c r="J1624" s="311">
        <f t="shared" si="1759"/>
        <v>6.3</v>
      </c>
      <c r="K1624" s="311" t="str">
        <f t="shared" si="1760"/>
        <v/>
      </c>
      <c r="L1624" s="310" t="str">
        <f t="shared" si="1761"/>
        <v/>
      </c>
      <c r="M1624" s="310" t="str">
        <f t="shared" si="1762"/>
        <v/>
      </c>
      <c r="N1624" s="311" t="str">
        <f t="shared" si="1763"/>
        <v/>
      </c>
    </row>
    <row r="1625" spans="1:14" ht="16.5">
      <c r="A1625" s="303"/>
      <c r="B1625" s="254"/>
      <c r="C1625" s="299"/>
      <c r="D1625" s="299"/>
      <c r="E1625" s="300"/>
      <c r="F1625" s="300"/>
      <c r="G1625" s="302"/>
      <c r="H1625" s="310"/>
      <c r="I1625" s="311"/>
      <c r="J1625" s="311"/>
      <c r="K1625" s="311"/>
      <c r="L1625" s="310"/>
      <c r="M1625" s="310"/>
      <c r="N1625" s="311"/>
    </row>
    <row r="1626" spans="1:14" ht="16.5">
      <c r="A1626" s="303" t="s">
        <v>1410</v>
      </c>
      <c r="B1626" s="254"/>
      <c r="C1626" s="299"/>
      <c r="D1626" s="299"/>
      <c r="E1626" s="300"/>
      <c r="F1626" s="300"/>
      <c r="G1626" s="302"/>
      <c r="H1626" s="310"/>
      <c r="I1626" s="311"/>
      <c r="J1626" s="311"/>
      <c r="K1626" s="311"/>
      <c r="L1626" s="310"/>
      <c r="M1626" s="310"/>
      <c r="N1626" s="311"/>
    </row>
    <row r="1627" spans="1:14" s="294" customFormat="1">
      <c r="A1627" s="297" t="s">
        <v>1515</v>
      </c>
      <c r="B1627" s="298"/>
      <c r="C1627" s="299" t="s">
        <v>1519</v>
      </c>
      <c r="D1627" s="299">
        <v>1</v>
      </c>
      <c r="E1627" s="300">
        <v>3</v>
      </c>
      <c r="F1627" s="300">
        <f>E1627*D1627</f>
        <v>3</v>
      </c>
      <c r="G1627" s="299">
        <f>(1.75)+17*0.01*2</f>
        <v>2.09</v>
      </c>
      <c r="H1627" s="310" t="str">
        <f t="shared" ref="H1627:H1632" si="1765">IF(C1627="T6",G1627*F1627,"")</f>
        <v/>
      </c>
      <c r="I1627" s="311" t="str">
        <f t="shared" ref="I1627:I1632" si="1766">IF(C1627="T8",F1627*G1627,"")</f>
        <v/>
      </c>
      <c r="J1627" s="311">
        <f t="shared" ref="J1627:J1632" si="1767">IF(C1627="T10",F1627*G1627,"")</f>
        <v>6.27</v>
      </c>
      <c r="K1627" s="311" t="str">
        <f t="shared" ref="K1627:K1632" si="1768">IF(C1627="T12",F1627*G1627,"")</f>
        <v/>
      </c>
      <c r="L1627" s="310" t="str">
        <f t="shared" ref="L1627:L1632" si="1769">IF(C1627="T14",F1627*G1627,"")</f>
        <v/>
      </c>
      <c r="M1627" s="310" t="str">
        <f t="shared" ref="M1627:M1632" si="1770">IF(C1627="T16",G1627*F1627,"")</f>
        <v/>
      </c>
      <c r="N1627" s="311" t="str">
        <f t="shared" ref="N1627:N1632" si="1771">IF(C1627="T20",G1627*F1627,"")</f>
        <v/>
      </c>
    </row>
    <row r="1628" spans="1:14" s="294" customFormat="1">
      <c r="A1628" s="297" t="s">
        <v>1515</v>
      </c>
      <c r="B1628" s="298"/>
      <c r="C1628" s="299" t="s">
        <v>1516</v>
      </c>
      <c r="D1628" s="299">
        <v>1</v>
      </c>
      <c r="E1628" s="300">
        <v>3</v>
      </c>
      <c r="F1628" s="300">
        <f>E1628*D1628</f>
        <v>3</v>
      </c>
      <c r="G1628" s="302">
        <f>(1.75)+17*0.012*2</f>
        <v>2.16</v>
      </c>
      <c r="H1628" s="310" t="str">
        <f t="shared" si="1765"/>
        <v/>
      </c>
      <c r="I1628" s="311" t="str">
        <f t="shared" si="1766"/>
        <v/>
      </c>
      <c r="J1628" s="311" t="str">
        <f t="shared" si="1767"/>
        <v/>
      </c>
      <c r="K1628" s="311">
        <f t="shared" si="1768"/>
        <v>6.48</v>
      </c>
      <c r="L1628" s="310" t="str">
        <f t="shared" si="1769"/>
        <v/>
      </c>
      <c r="M1628" s="310" t="str">
        <f t="shared" si="1770"/>
        <v/>
      </c>
      <c r="N1628" s="311" t="str">
        <f t="shared" si="1771"/>
        <v/>
      </c>
    </row>
    <row r="1629" spans="1:14" s="294" customFormat="1">
      <c r="A1629" s="297" t="s">
        <v>1494</v>
      </c>
      <c r="B1629" s="301"/>
      <c r="C1629" s="299" t="s">
        <v>1496</v>
      </c>
      <c r="D1629" s="299">
        <v>1</v>
      </c>
      <c r="E1629" s="300">
        <f>6+7+6</f>
        <v>19</v>
      </c>
      <c r="F1629" s="300">
        <f t="shared" ref="F1629:F1630" si="1772">E1629*D1629</f>
        <v>19</v>
      </c>
      <c r="G1629" s="302">
        <f>(0.2+0.35)*2+17*0.008*2</f>
        <v>1.37</v>
      </c>
      <c r="H1629" s="310" t="str">
        <f t="shared" si="1765"/>
        <v/>
      </c>
      <c r="I1629" s="311">
        <f t="shared" si="1766"/>
        <v>26.03</v>
      </c>
      <c r="J1629" s="311" t="str">
        <f t="shared" si="1767"/>
        <v/>
      </c>
      <c r="K1629" s="311" t="str">
        <f t="shared" si="1768"/>
        <v/>
      </c>
      <c r="L1629" s="310" t="str">
        <f t="shared" si="1769"/>
        <v/>
      </c>
      <c r="M1629" s="310" t="str">
        <f t="shared" si="1770"/>
        <v/>
      </c>
      <c r="N1629" s="311" t="str">
        <f t="shared" si="1771"/>
        <v/>
      </c>
    </row>
    <row r="1630" spans="1:14" s="294" customFormat="1">
      <c r="A1630" s="297" t="s">
        <v>1517</v>
      </c>
      <c r="B1630" s="301"/>
      <c r="C1630" s="299" t="s">
        <v>1496</v>
      </c>
      <c r="D1630" s="299">
        <v>1</v>
      </c>
      <c r="E1630" s="300">
        <v>19</v>
      </c>
      <c r="F1630" s="300">
        <f t="shared" si="1772"/>
        <v>19</v>
      </c>
      <c r="G1630" s="302">
        <f>(0.35*2)+17*0.008*2</f>
        <v>0.97</v>
      </c>
      <c r="H1630" s="310" t="str">
        <f t="shared" si="1765"/>
        <v/>
      </c>
      <c r="I1630" s="311">
        <f t="shared" si="1766"/>
        <v>18.43</v>
      </c>
      <c r="J1630" s="311" t="str">
        <f t="shared" si="1767"/>
        <v/>
      </c>
      <c r="K1630" s="311" t="str">
        <f t="shared" si="1768"/>
        <v/>
      </c>
      <c r="L1630" s="310" t="str">
        <f t="shared" si="1769"/>
        <v/>
      </c>
      <c r="M1630" s="310" t="str">
        <f t="shared" si="1770"/>
        <v/>
      </c>
      <c r="N1630" s="311" t="str">
        <f t="shared" si="1771"/>
        <v/>
      </c>
    </row>
    <row r="1631" spans="1:14">
      <c r="A1631" s="297" t="s">
        <v>1520</v>
      </c>
      <c r="B1631" s="254"/>
      <c r="C1631" s="299" t="s">
        <v>1492</v>
      </c>
      <c r="D1631" s="299">
        <v>1</v>
      </c>
      <c r="E1631" s="300">
        <v>3</v>
      </c>
      <c r="F1631" s="300">
        <f>E1631*D1631</f>
        <v>3</v>
      </c>
      <c r="G1631" s="302">
        <v>2.5</v>
      </c>
      <c r="H1631" s="310" t="str">
        <f t="shared" si="1765"/>
        <v/>
      </c>
      <c r="I1631" s="311" t="str">
        <f t="shared" si="1766"/>
        <v/>
      </c>
      <c r="J1631" s="311" t="str">
        <f t="shared" si="1767"/>
        <v/>
      </c>
      <c r="K1631" s="311" t="str">
        <f t="shared" si="1768"/>
        <v/>
      </c>
      <c r="L1631" s="310">
        <f t="shared" si="1769"/>
        <v>7.5</v>
      </c>
      <c r="M1631" s="310" t="str">
        <f t="shared" si="1770"/>
        <v/>
      </c>
      <c r="N1631" s="311" t="str">
        <f t="shared" si="1771"/>
        <v/>
      </c>
    </row>
    <row r="1632" spans="1:14">
      <c r="A1632" s="297" t="s">
        <v>1520</v>
      </c>
      <c r="B1632" s="254"/>
      <c r="C1632" s="299" t="s">
        <v>1516</v>
      </c>
      <c r="D1632" s="299">
        <v>1</v>
      </c>
      <c r="E1632" s="300">
        <v>3</v>
      </c>
      <c r="F1632" s="300">
        <f>E1632*D1632</f>
        <v>3</v>
      </c>
      <c r="G1632" s="302">
        <v>1</v>
      </c>
      <c r="H1632" s="310" t="str">
        <f t="shared" si="1765"/>
        <v/>
      </c>
      <c r="I1632" s="311" t="str">
        <f t="shared" si="1766"/>
        <v/>
      </c>
      <c r="J1632" s="311" t="str">
        <f t="shared" si="1767"/>
        <v/>
      </c>
      <c r="K1632" s="311">
        <f t="shared" si="1768"/>
        <v>3</v>
      </c>
      <c r="L1632" s="310" t="str">
        <f t="shared" si="1769"/>
        <v/>
      </c>
      <c r="M1632" s="310" t="str">
        <f t="shared" si="1770"/>
        <v/>
      </c>
      <c r="N1632" s="311" t="str">
        <f t="shared" si="1771"/>
        <v/>
      </c>
    </row>
    <row r="1633" spans="1:14">
      <c r="A1633" s="253"/>
      <c r="B1633" s="254"/>
      <c r="C1633" s="299"/>
      <c r="D1633" s="299"/>
      <c r="E1633" s="300"/>
      <c r="F1633" s="300"/>
      <c r="G1633" s="302"/>
      <c r="H1633" s="310"/>
      <c r="I1633" s="311"/>
      <c r="J1633" s="311"/>
      <c r="K1633" s="311"/>
      <c r="L1633" s="310"/>
      <c r="M1633" s="310"/>
      <c r="N1633" s="311"/>
    </row>
    <row r="1634" spans="1:14" ht="16.5">
      <c r="A1634" s="305" t="s">
        <v>1670</v>
      </c>
      <c r="B1634" s="254"/>
      <c r="C1634" s="299"/>
      <c r="D1634" s="299"/>
      <c r="E1634" s="300"/>
      <c r="F1634" s="300"/>
      <c r="G1634" s="302"/>
      <c r="H1634" s="310"/>
      <c r="I1634" s="311"/>
      <c r="J1634" s="311"/>
      <c r="K1634" s="311"/>
      <c r="L1634" s="310"/>
      <c r="M1634" s="310"/>
      <c r="N1634" s="311"/>
    </row>
    <row r="1635" spans="1:14" s="294" customFormat="1">
      <c r="A1635" s="297" t="s">
        <v>1515</v>
      </c>
      <c r="B1635" s="298"/>
      <c r="C1635" s="299" t="s">
        <v>1519</v>
      </c>
      <c r="D1635" s="299">
        <v>1</v>
      </c>
      <c r="E1635" s="300">
        <v>3</v>
      </c>
      <c r="F1635" s="300">
        <f>E1635*D1635</f>
        <v>3</v>
      </c>
      <c r="G1635" s="299">
        <f>(5.65)+17*0.01*2</f>
        <v>5.99</v>
      </c>
      <c r="H1635" s="310" t="str">
        <f t="shared" ref="H1635:H1642" si="1773">IF(C1635="T6",G1635*F1635,"")</f>
        <v/>
      </c>
      <c r="I1635" s="311" t="str">
        <f t="shared" ref="I1635:I1642" si="1774">IF(C1635="T8",F1635*G1635,"")</f>
        <v/>
      </c>
      <c r="J1635" s="311">
        <f t="shared" ref="J1635:J1642" si="1775">IF(C1635="T10",F1635*G1635,"")</f>
        <v>17.97</v>
      </c>
      <c r="K1635" s="311" t="str">
        <f t="shared" ref="K1635:K1642" si="1776">IF(C1635="T12",F1635*G1635,"")</f>
        <v/>
      </c>
      <c r="L1635" s="310" t="str">
        <f t="shared" ref="L1635:L1642" si="1777">IF(C1635="T14",F1635*G1635,"")</f>
        <v/>
      </c>
      <c r="M1635" s="310" t="str">
        <f t="shared" ref="M1635:M1642" si="1778">IF(C1635="T16",G1635*F1635,"")</f>
        <v/>
      </c>
      <c r="N1635" s="311" t="str">
        <f t="shared" ref="N1635:N1642" si="1779">IF(C1635="T20",G1635*F1635,"")</f>
        <v/>
      </c>
    </row>
    <row r="1636" spans="1:14" s="294" customFormat="1">
      <c r="A1636" s="297" t="s">
        <v>1515</v>
      </c>
      <c r="B1636" s="298"/>
      <c r="C1636" s="299" t="s">
        <v>1498</v>
      </c>
      <c r="D1636" s="299">
        <v>1</v>
      </c>
      <c r="E1636" s="300">
        <v>3</v>
      </c>
      <c r="F1636" s="300">
        <f>E1636*D1636</f>
        <v>3</v>
      </c>
      <c r="G1636" s="302">
        <f>(5.65)+17*0.016*2</f>
        <v>6.19</v>
      </c>
      <c r="H1636" s="310" t="str">
        <f t="shared" si="1773"/>
        <v/>
      </c>
      <c r="I1636" s="311" t="str">
        <f t="shared" si="1774"/>
        <v/>
      </c>
      <c r="J1636" s="311" t="str">
        <f t="shared" si="1775"/>
        <v/>
      </c>
      <c r="K1636" s="311" t="str">
        <f t="shared" si="1776"/>
        <v/>
      </c>
      <c r="L1636" s="310" t="str">
        <f t="shared" si="1777"/>
        <v/>
      </c>
      <c r="M1636" s="310">
        <f t="shared" si="1778"/>
        <v>18.57</v>
      </c>
      <c r="N1636" s="311" t="str">
        <f t="shared" si="1779"/>
        <v/>
      </c>
    </row>
    <row r="1637" spans="1:14" s="294" customFormat="1">
      <c r="A1637" s="297"/>
      <c r="B1637" s="298"/>
      <c r="C1637" s="299" t="s">
        <v>1519</v>
      </c>
      <c r="D1637" s="299">
        <v>1</v>
      </c>
      <c r="E1637" s="300">
        <v>3</v>
      </c>
      <c r="F1637" s="300">
        <f>E1637*D1637</f>
        <v>3</v>
      </c>
      <c r="G1637" s="299">
        <v>5.65</v>
      </c>
      <c r="H1637" s="310" t="str">
        <f t="shared" si="1773"/>
        <v/>
      </c>
      <c r="I1637" s="311" t="str">
        <f t="shared" si="1774"/>
        <v/>
      </c>
      <c r="J1637" s="311">
        <f t="shared" si="1775"/>
        <v>16.95</v>
      </c>
      <c r="K1637" s="311" t="str">
        <f t="shared" si="1776"/>
        <v/>
      </c>
      <c r="L1637" s="310" t="str">
        <f t="shared" si="1777"/>
        <v/>
      </c>
      <c r="M1637" s="310" t="str">
        <f t="shared" si="1778"/>
        <v/>
      </c>
      <c r="N1637" s="311" t="str">
        <f t="shared" si="1779"/>
        <v/>
      </c>
    </row>
    <row r="1638" spans="1:14" s="294" customFormat="1">
      <c r="A1638" s="297" t="s">
        <v>1494</v>
      </c>
      <c r="B1638" s="301"/>
      <c r="C1638" s="299" t="s">
        <v>1496</v>
      </c>
      <c r="D1638" s="299">
        <v>1</v>
      </c>
      <c r="E1638" s="300">
        <f>17+15+17</f>
        <v>49</v>
      </c>
      <c r="F1638" s="300">
        <f t="shared" ref="F1638:F1639" si="1780">E1638*D1638</f>
        <v>49</v>
      </c>
      <c r="G1638" s="302">
        <f>(0.2+0.55)*2+17*0.008*2</f>
        <v>1.77</v>
      </c>
      <c r="H1638" s="310" t="str">
        <f t="shared" si="1773"/>
        <v/>
      </c>
      <c r="I1638" s="311">
        <f t="shared" si="1774"/>
        <v>86.73</v>
      </c>
      <c r="J1638" s="311" t="str">
        <f t="shared" si="1775"/>
        <v/>
      </c>
      <c r="K1638" s="311" t="str">
        <f t="shared" si="1776"/>
        <v/>
      </c>
      <c r="L1638" s="310" t="str">
        <f t="shared" si="1777"/>
        <v/>
      </c>
      <c r="M1638" s="310" t="str">
        <f t="shared" si="1778"/>
        <v/>
      </c>
      <c r="N1638" s="311" t="str">
        <f t="shared" si="1779"/>
        <v/>
      </c>
    </row>
    <row r="1639" spans="1:14" s="294" customFormat="1">
      <c r="A1639" s="297" t="s">
        <v>1517</v>
      </c>
      <c r="B1639" s="301"/>
      <c r="C1639" s="299" t="s">
        <v>1496</v>
      </c>
      <c r="D1639" s="299">
        <v>1</v>
      </c>
      <c r="E1639" s="300">
        <v>49</v>
      </c>
      <c r="F1639" s="300">
        <f t="shared" si="1780"/>
        <v>49</v>
      </c>
      <c r="G1639" s="302">
        <f>(0.55*2)+17*0.008*2</f>
        <v>1.37</v>
      </c>
      <c r="H1639" s="310" t="str">
        <f t="shared" si="1773"/>
        <v/>
      </c>
      <c r="I1639" s="311">
        <f t="shared" si="1774"/>
        <v>67.13</v>
      </c>
      <c r="J1639" s="311" t="str">
        <f t="shared" si="1775"/>
        <v/>
      </c>
      <c r="K1639" s="311" t="str">
        <f t="shared" si="1776"/>
        <v/>
      </c>
      <c r="L1639" s="310" t="str">
        <f t="shared" si="1777"/>
        <v/>
      </c>
      <c r="M1639" s="310" t="str">
        <f t="shared" si="1778"/>
        <v/>
      </c>
      <c r="N1639" s="311" t="str">
        <f t="shared" si="1779"/>
        <v/>
      </c>
    </row>
    <row r="1640" spans="1:14">
      <c r="A1640" s="297" t="s">
        <v>1518</v>
      </c>
      <c r="B1640" s="254"/>
      <c r="C1640" s="299" t="s">
        <v>1492</v>
      </c>
      <c r="D1640" s="299">
        <v>1</v>
      </c>
      <c r="E1640" s="300">
        <v>3</v>
      </c>
      <c r="F1640" s="300">
        <f>E1640*D1640</f>
        <v>3</v>
      </c>
      <c r="G1640" s="302">
        <v>1.4</v>
      </c>
      <c r="H1640" s="310" t="str">
        <f t="shared" si="1773"/>
        <v/>
      </c>
      <c r="I1640" s="311" t="str">
        <f t="shared" si="1774"/>
        <v/>
      </c>
      <c r="J1640" s="311" t="str">
        <f t="shared" si="1775"/>
        <v/>
      </c>
      <c r="K1640" s="311" t="str">
        <f t="shared" si="1776"/>
        <v/>
      </c>
      <c r="L1640" s="310">
        <f t="shared" si="1777"/>
        <v>4.2</v>
      </c>
      <c r="M1640" s="310" t="str">
        <f t="shared" si="1778"/>
        <v/>
      </c>
      <c r="N1640" s="311" t="str">
        <f t="shared" si="1779"/>
        <v/>
      </c>
    </row>
    <row r="1641" spans="1:14">
      <c r="A1641" s="297" t="s">
        <v>1520</v>
      </c>
      <c r="B1641" s="254"/>
      <c r="C1641" s="299" t="s">
        <v>1492</v>
      </c>
      <c r="D1641" s="299">
        <v>1</v>
      </c>
      <c r="E1641" s="300">
        <v>3</v>
      </c>
      <c r="F1641" s="300">
        <f>E1641*D1641</f>
        <v>3</v>
      </c>
      <c r="G1641" s="302">
        <v>2.9</v>
      </c>
      <c r="H1641" s="310" t="str">
        <f t="shared" si="1773"/>
        <v/>
      </c>
      <c r="I1641" s="311" t="str">
        <f t="shared" si="1774"/>
        <v/>
      </c>
      <c r="J1641" s="311" t="str">
        <f t="shared" si="1775"/>
        <v/>
      </c>
      <c r="K1641" s="311" t="str">
        <f t="shared" si="1776"/>
        <v/>
      </c>
      <c r="L1641" s="310">
        <f t="shared" si="1777"/>
        <v>8.6999999999999993</v>
      </c>
      <c r="M1641" s="310" t="str">
        <f t="shared" si="1778"/>
        <v/>
      </c>
      <c r="N1641" s="311" t="str">
        <f t="shared" si="1779"/>
        <v/>
      </c>
    </row>
    <row r="1642" spans="1:14">
      <c r="A1642" s="297" t="s">
        <v>1520</v>
      </c>
      <c r="B1642" s="254"/>
      <c r="C1642" s="299" t="s">
        <v>1492</v>
      </c>
      <c r="D1642" s="299">
        <v>1</v>
      </c>
      <c r="E1642" s="300">
        <v>3</v>
      </c>
      <c r="F1642" s="300">
        <f>E1642*D1642</f>
        <v>3</v>
      </c>
      <c r="G1642" s="302">
        <v>5.2</v>
      </c>
      <c r="H1642" s="310" t="str">
        <f t="shared" si="1773"/>
        <v/>
      </c>
      <c r="I1642" s="311" t="str">
        <f t="shared" si="1774"/>
        <v/>
      </c>
      <c r="J1642" s="311" t="str">
        <f t="shared" si="1775"/>
        <v/>
      </c>
      <c r="K1642" s="311" t="str">
        <f t="shared" si="1776"/>
        <v/>
      </c>
      <c r="L1642" s="310">
        <f t="shared" si="1777"/>
        <v>15.6</v>
      </c>
      <c r="M1642" s="310" t="str">
        <f t="shared" si="1778"/>
        <v/>
      </c>
      <c r="N1642" s="311" t="str">
        <f t="shared" si="1779"/>
        <v/>
      </c>
    </row>
    <row r="1643" spans="1:14" ht="16.5">
      <c r="A1643" s="303"/>
      <c r="B1643" s="254"/>
      <c r="C1643" s="299"/>
      <c r="D1643" s="299"/>
      <c r="E1643" s="300"/>
      <c r="F1643" s="300"/>
      <c r="G1643" s="302"/>
      <c r="H1643" s="310"/>
      <c r="I1643" s="311"/>
      <c r="J1643" s="311"/>
      <c r="K1643" s="311"/>
      <c r="L1643" s="310"/>
      <c r="M1643" s="310"/>
      <c r="N1643" s="311"/>
    </row>
    <row r="1644" spans="1:14" ht="16.5">
      <c r="A1644" s="305" t="s">
        <v>1671</v>
      </c>
      <c r="B1644" s="254"/>
      <c r="C1644" s="299"/>
      <c r="D1644" s="299"/>
      <c r="E1644" s="300"/>
      <c r="F1644" s="300"/>
      <c r="G1644" s="302"/>
      <c r="H1644" s="310"/>
      <c r="I1644" s="311"/>
      <c r="J1644" s="311"/>
      <c r="K1644" s="311"/>
      <c r="L1644" s="310"/>
      <c r="M1644" s="310"/>
      <c r="N1644" s="311"/>
    </row>
    <row r="1645" spans="1:14" s="294" customFormat="1">
      <c r="A1645" s="297" t="s">
        <v>1515</v>
      </c>
      <c r="B1645" s="298"/>
      <c r="C1645" s="299" t="s">
        <v>1519</v>
      </c>
      <c r="D1645" s="299">
        <v>1</v>
      </c>
      <c r="E1645" s="300">
        <v>3</v>
      </c>
      <c r="F1645" s="300">
        <f>E1645*D1645</f>
        <v>3</v>
      </c>
      <c r="G1645" s="299">
        <f>(2.6)+17*0.01*2</f>
        <v>2.94</v>
      </c>
      <c r="H1645" s="310" t="str">
        <f t="shared" ref="H1645:H1651" si="1781">IF(C1645="T6",G1645*F1645,"")</f>
        <v/>
      </c>
      <c r="I1645" s="311" t="str">
        <f t="shared" ref="I1645:I1651" si="1782">IF(C1645="T8",F1645*G1645,"")</f>
        <v/>
      </c>
      <c r="J1645" s="311">
        <f t="shared" ref="J1645:J1651" si="1783">IF(C1645="T10",F1645*G1645,"")</f>
        <v>8.82</v>
      </c>
      <c r="K1645" s="311" t="str">
        <f t="shared" ref="K1645:K1651" si="1784">IF(C1645="T12",F1645*G1645,"")</f>
        <v/>
      </c>
      <c r="L1645" s="310" t="str">
        <f t="shared" ref="L1645:L1651" si="1785">IF(C1645="T14",F1645*G1645,"")</f>
        <v/>
      </c>
      <c r="M1645" s="310" t="str">
        <f t="shared" ref="M1645:M1651" si="1786">IF(C1645="T16",G1645*F1645,"")</f>
        <v/>
      </c>
      <c r="N1645" s="311" t="str">
        <f t="shared" ref="N1645:N1651" si="1787">IF(C1645="T20",G1645*F1645,"")</f>
        <v/>
      </c>
    </row>
    <row r="1646" spans="1:14" s="294" customFormat="1">
      <c r="A1646" s="297" t="s">
        <v>1515</v>
      </c>
      <c r="B1646" s="298"/>
      <c r="C1646" s="299" t="s">
        <v>1516</v>
      </c>
      <c r="D1646" s="299">
        <v>1</v>
      </c>
      <c r="E1646" s="300">
        <v>3</v>
      </c>
      <c r="F1646" s="300">
        <f>E1646*D1646</f>
        <v>3</v>
      </c>
      <c r="G1646" s="302">
        <f>(2.6)+17*0.012*2</f>
        <v>3.01</v>
      </c>
      <c r="H1646" s="310" t="str">
        <f t="shared" si="1781"/>
        <v/>
      </c>
      <c r="I1646" s="311" t="str">
        <f t="shared" si="1782"/>
        <v/>
      </c>
      <c r="J1646" s="311" t="str">
        <f t="shared" si="1783"/>
        <v/>
      </c>
      <c r="K1646" s="311">
        <f t="shared" si="1784"/>
        <v>9.0299999999999994</v>
      </c>
      <c r="L1646" s="310" t="str">
        <f t="shared" si="1785"/>
        <v/>
      </c>
      <c r="M1646" s="310" t="str">
        <f t="shared" si="1786"/>
        <v/>
      </c>
      <c r="N1646" s="311" t="str">
        <f t="shared" si="1787"/>
        <v/>
      </c>
    </row>
    <row r="1647" spans="1:14" s="294" customFormat="1">
      <c r="A1647" s="297" t="s">
        <v>1494</v>
      </c>
      <c r="B1647" s="301"/>
      <c r="C1647" s="299" t="s">
        <v>1496</v>
      </c>
      <c r="D1647" s="299">
        <v>1</v>
      </c>
      <c r="E1647" s="300">
        <f>8+7+8</f>
        <v>23</v>
      </c>
      <c r="F1647" s="300">
        <f t="shared" ref="F1647:F1648" si="1788">E1647*D1647</f>
        <v>23</v>
      </c>
      <c r="G1647" s="302">
        <f>(0.2+0.35)*2+17*0.008*2</f>
        <v>1.37</v>
      </c>
      <c r="H1647" s="310" t="str">
        <f t="shared" si="1781"/>
        <v/>
      </c>
      <c r="I1647" s="311">
        <f t="shared" si="1782"/>
        <v>31.51</v>
      </c>
      <c r="J1647" s="311" t="str">
        <f t="shared" si="1783"/>
        <v/>
      </c>
      <c r="K1647" s="311" t="str">
        <f t="shared" si="1784"/>
        <v/>
      </c>
      <c r="L1647" s="310" t="str">
        <f t="shared" si="1785"/>
        <v/>
      </c>
      <c r="M1647" s="310" t="str">
        <f t="shared" si="1786"/>
        <v/>
      </c>
      <c r="N1647" s="311" t="str">
        <f t="shared" si="1787"/>
        <v/>
      </c>
    </row>
    <row r="1648" spans="1:14" s="294" customFormat="1">
      <c r="A1648" s="297" t="s">
        <v>1517</v>
      </c>
      <c r="B1648" s="301"/>
      <c r="C1648" s="299" t="s">
        <v>1496</v>
      </c>
      <c r="D1648" s="299">
        <v>1</v>
      </c>
      <c r="E1648" s="300">
        <v>23</v>
      </c>
      <c r="F1648" s="300">
        <f t="shared" si="1788"/>
        <v>23</v>
      </c>
      <c r="G1648" s="302">
        <f>(0.35*2)+17*0.008*2</f>
        <v>0.97</v>
      </c>
      <c r="H1648" s="310" t="str">
        <f t="shared" si="1781"/>
        <v/>
      </c>
      <c r="I1648" s="311">
        <f t="shared" si="1782"/>
        <v>22.31</v>
      </c>
      <c r="J1648" s="311" t="str">
        <f t="shared" si="1783"/>
        <v/>
      </c>
      <c r="K1648" s="311" t="str">
        <f t="shared" si="1784"/>
        <v/>
      </c>
      <c r="L1648" s="310" t="str">
        <f t="shared" si="1785"/>
        <v/>
      </c>
      <c r="M1648" s="310" t="str">
        <f t="shared" si="1786"/>
        <v/>
      </c>
      <c r="N1648" s="311" t="str">
        <f t="shared" si="1787"/>
        <v/>
      </c>
    </row>
    <row r="1649" spans="1:14">
      <c r="A1649" s="297" t="s">
        <v>1520</v>
      </c>
      <c r="B1649" s="254"/>
      <c r="C1649" s="299" t="s">
        <v>1492</v>
      </c>
      <c r="D1649" s="299">
        <v>1</v>
      </c>
      <c r="E1649" s="300">
        <v>3</v>
      </c>
      <c r="F1649" s="300">
        <f>E1649*D1649</f>
        <v>3</v>
      </c>
      <c r="G1649" s="302">
        <v>3.3</v>
      </c>
      <c r="H1649" s="310" t="str">
        <f t="shared" si="1781"/>
        <v/>
      </c>
      <c r="I1649" s="311" t="str">
        <f t="shared" si="1782"/>
        <v/>
      </c>
      <c r="J1649" s="311" t="str">
        <f t="shared" si="1783"/>
        <v/>
      </c>
      <c r="K1649" s="311" t="str">
        <f t="shared" si="1784"/>
        <v/>
      </c>
      <c r="L1649" s="310">
        <f t="shared" si="1785"/>
        <v>9.9</v>
      </c>
      <c r="M1649" s="310" t="str">
        <f t="shared" si="1786"/>
        <v/>
      </c>
      <c r="N1649" s="311" t="str">
        <f t="shared" si="1787"/>
        <v/>
      </c>
    </row>
    <row r="1650" spans="1:14">
      <c r="A1650" s="297" t="s">
        <v>1520</v>
      </c>
      <c r="B1650" s="254"/>
      <c r="C1650" s="299" t="s">
        <v>1492</v>
      </c>
      <c r="D1650" s="299">
        <v>1</v>
      </c>
      <c r="E1650" s="300">
        <v>3</v>
      </c>
      <c r="F1650" s="300">
        <f>E1650*D1650</f>
        <v>3</v>
      </c>
      <c r="G1650" s="302">
        <v>2.5</v>
      </c>
      <c r="H1650" s="310" t="str">
        <f t="shared" si="1781"/>
        <v/>
      </c>
      <c r="I1650" s="311" t="str">
        <f t="shared" si="1782"/>
        <v/>
      </c>
      <c r="J1650" s="311" t="str">
        <f t="shared" si="1783"/>
        <v/>
      </c>
      <c r="K1650" s="311" t="str">
        <f t="shared" si="1784"/>
        <v/>
      </c>
      <c r="L1650" s="310">
        <f t="shared" si="1785"/>
        <v>7.5</v>
      </c>
      <c r="M1650" s="310" t="str">
        <f t="shared" si="1786"/>
        <v/>
      </c>
      <c r="N1650" s="311" t="str">
        <f t="shared" si="1787"/>
        <v/>
      </c>
    </row>
    <row r="1651" spans="1:14">
      <c r="A1651" s="297" t="s">
        <v>1520</v>
      </c>
      <c r="B1651" s="254"/>
      <c r="C1651" s="299" t="s">
        <v>1519</v>
      </c>
      <c r="D1651" s="299">
        <v>1</v>
      </c>
      <c r="E1651" s="300">
        <v>3</v>
      </c>
      <c r="F1651" s="300">
        <f>E1651*D1651</f>
        <v>3</v>
      </c>
      <c r="G1651" s="302">
        <v>2.1</v>
      </c>
      <c r="H1651" s="310" t="str">
        <f t="shared" si="1781"/>
        <v/>
      </c>
      <c r="I1651" s="311" t="str">
        <f t="shared" si="1782"/>
        <v/>
      </c>
      <c r="J1651" s="311">
        <f t="shared" si="1783"/>
        <v>6.3</v>
      </c>
      <c r="K1651" s="311" t="str">
        <f t="shared" si="1784"/>
        <v/>
      </c>
      <c r="L1651" s="310" t="str">
        <f t="shared" si="1785"/>
        <v/>
      </c>
      <c r="M1651" s="310" t="str">
        <f t="shared" si="1786"/>
        <v/>
      </c>
      <c r="N1651" s="311" t="str">
        <f t="shared" si="1787"/>
        <v/>
      </c>
    </row>
    <row r="1652" spans="1:14" ht="16.5">
      <c r="A1652" s="303"/>
      <c r="B1652" s="254"/>
      <c r="C1652" s="299"/>
      <c r="D1652" s="299"/>
      <c r="E1652" s="300"/>
      <c r="F1652" s="300"/>
      <c r="G1652" s="302"/>
      <c r="H1652" s="310"/>
      <c r="I1652" s="311"/>
      <c r="J1652" s="311"/>
      <c r="K1652" s="311"/>
      <c r="L1652" s="310"/>
      <c r="M1652" s="310"/>
      <c r="N1652" s="311"/>
    </row>
    <row r="1653" spans="1:14" ht="16.5">
      <c r="A1653" s="305" t="s">
        <v>1672</v>
      </c>
      <c r="B1653" s="254"/>
      <c r="C1653" s="299"/>
      <c r="D1653" s="299"/>
      <c r="E1653" s="300"/>
      <c r="F1653" s="300"/>
      <c r="G1653" s="302"/>
      <c r="H1653" s="310"/>
      <c r="I1653" s="311"/>
      <c r="J1653" s="311"/>
      <c r="K1653" s="311"/>
      <c r="L1653" s="310"/>
      <c r="M1653" s="310"/>
      <c r="N1653" s="311"/>
    </row>
    <row r="1654" spans="1:14" s="294" customFormat="1">
      <c r="A1654" s="297" t="s">
        <v>1515</v>
      </c>
      <c r="B1654" s="298"/>
      <c r="C1654" s="299" t="s">
        <v>1519</v>
      </c>
      <c r="D1654" s="299">
        <v>1</v>
      </c>
      <c r="E1654" s="300">
        <v>3</v>
      </c>
      <c r="F1654" s="300">
        <f>E1654*D1654</f>
        <v>3</v>
      </c>
      <c r="G1654" s="299">
        <f>(1.75)+17*0.01*2</f>
        <v>2.09</v>
      </c>
      <c r="H1654" s="310" t="str">
        <f t="shared" ref="H1654:H1659" si="1789">IF(C1654="T6",G1654*F1654,"")</f>
        <v/>
      </c>
      <c r="I1654" s="311" t="str">
        <f t="shared" ref="I1654:I1659" si="1790">IF(C1654="T8",F1654*G1654,"")</f>
        <v/>
      </c>
      <c r="J1654" s="311">
        <f t="shared" ref="J1654:J1659" si="1791">IF(C1654="T10",F1654*G1654,"")</f>
        <v>6.27</v>
      </c>
      <c r="K1654" s="311" t="str">
        <f t="shared" ref="K1654:K1659" si="1792">IF(C1654="T12",F1654*G1654,"")</f>
        <v/>
      </c>
      <c r="L1654" s="310" t="str">
        <f t="shared" ref="L1654:L1659" si="1793">IF(C1654="T14",F1654*G1654,"")</f>
        <v/>
      </c>
      <c r="M1654" s="310" t="str">
        <f t="shared" ref="M1654:M1659" si="1794">IF(C1654="T16",G1654*F1654,"")</f>
        <v/>
      </c>
      <c r="N1654" s="311" t="str">
        <f t="shared" ref="N1654:N1659" si="1795">IF(C1654="T20",G1654*F1654,"")</f>
        <v/>
      </c>
    </row>
    <row r="1655" spans="1:14" s="294" customFormat="1">
      <c r="A1655" s="297" t="s">
        <v>1515</v>
      </c>
      <c r="B1655" s="298"/>
      <c r="C1655" s="299" t="s">
        <v>1516</v>
      </c>
      <c r="D1655" s="299">
        <v>1</v>
      </c>
      <c r="E1655" s="300">
        <v>3</v>
      </c>
      <c r="F1655" s="300">
        <f>E1655*D1655</f>
        <v>3</v>
      </c>
      <c r="G1655" s="302">
        <f>(1.75)+17*0.012*2</f>
        <v>2.16</v>
      </c>
      <c r="H1655" s="310" t="str">
        <f t="shared" si="1789"/>
        <v/>
      </c>
      <c r="I1655" s="311" t="str">
        <f t="shared" si="1790"/>
        <v/>
      </c>
      <c r="J1655" s="311" t="str">
        <f t="shared" si="1791"/>
        <v/>
      </c>
      <c r="K1655" s="311">
        <f t="shared" si="1792"/>
        <v>6.48</v>
      </c>
      <c r="L1655" s="310" t="str">
        <f t="shared" si="1793"/>
        <v/>
      </c>
      <c r="M1655" s="310" t="str">
        <f t="shared" si="1794"/>
        <v/>
      </c>
      <c r="N1655" s="311" t="str">
        <f t="shared" si="1795"/>
        <v/>
      </c>
    </row>
    <row r="1656" spans="1:14" s="294" customFormat="1">
      <c r="A1656" s="297" t="s">
        <v>1494</v>
      </c>
      <c r="B1656" s="301"/>
      <c r="C1656" s="299" t="s">
        <v>1496</v>
      </c>
      <c r="D1656" s="299">
        <v>1</v>
      </c>
      <c r="E1656" s="300">
        <f>6+7+6</f>
        <v>19</v>
      </c>
      <c r="F1656" s="300">
        <f t="shared" ref="F1656:F1657" si="1796">E1656*D1656</f>
        <v>19</v>
      </c>
      <c r="G1656" s="302">
        <f>(0.2+0.35)*2+17*0.008*2</f>
        <v>1.37</v>
      </c>
      <c r="H1656" s="310" t="str">
        <f t="shared" si="1789"/>
        <v/>
      </c>
      <c r="I1656" s="311">
        <f t="shared" si="1790"/>
        <v>26.03</v>
      </c>
      <c r="J1656" s="311" t="str">
        <f t="shared" si="1791"/>
        <v/>
      </c>
      <c r="K1656" s="311" t="str">
        <f t="shared" si="1792"/>
        <v/>
      </c>
      <c r="L1656" s="310" t="str">
        <f t="shared" si="1793"/>
        <v/>
      </c>
      <c r="M1656" s="310" t="str">
        <f t="shared" si="1794"/>
        <v/>
      </c>
      <c r="N1656" s="311" t="str">
        <f t="shared" si="1795"/>
        <v/>
      </c>
    </row>
    <row r="1657" spans="1:14" s="294" customFormat="1">
      <c r="A1657" s="297" t="s">
        <v>1517</v>
      </c>
      <c r="B1657" s="301"/>
      <c r="C1657" s="299" t="s">
        <v>1496</v>
      </c>
      <c r="D1657" s="299">
        <v>1</v>
      </c>
      <c r="E1657" s="300">
        <v>19</v>
      </c>
      <c r="F1657" s="300">
        <f t="shared" si="1796"/>
        <v>19</v>
      </c>
      <c r="G1657" s="302">
        <f>(0.35*2)+17*0.008*2</f>
        <v>0.97</v>
      </c>
      <c r="H1657" s="310" t="str">
        <f t="shared" si="1789"/>
        <v/>
      </c>
      <c r="I1657" s="311">
        <f t="shared" si="1790"/>
        <v>18.43</v>
      </c>
      <c r="J1657" s="311" t="str">
        <f t="shared" si="1791"/>
        <v/>
      </c>
      <c r="K1657" s="311" t="str">
        <f t="shared" si="1792"/>
        <v/>
      </c>
      <c r="L1657" s="310" t="str">
        <f t="shared" si="1793"/>
        <v/>
      </c>
      <c r="M1657" s="310" t="str">
        <f t="shared" si="1794"/>
        <v/>
      </c>
      <c r="N1657" s="311" t="str">
        <f t="shared" si="1795"/>
        <v/>
      </c>
    </row>
    <row r="1658" spans="1:14">
      <c r="A1658" s="297" t="s">
        <v>1520</v>
      </c>
      <c r="B1658" s="254"/>
      <c r="C1658" s="299" t="s">
        <v>1492</v>
      </c>
      <c r="D1658" s="299">
        <v>1</v>
      </c>
      <c r="E1658" s="300">
        <v>3</v>
      </c>
      <c r="F1658" s="300">
        <f>E1658*D1658</f>
        <v>3</v>
      </c>
      <c r="G1658" s="302">
        <v>2.5</v>
      </c>
      <c r="H1658" s="310" t="str">
        <f t="shared" si="1789"/>
        <v/>
      </c>
      <c r="I1658" s="311" t="str">
        <f t="shared" si="1790"/>
        <v/>
      </c>
      <c r="J1658" s="311" t="str">
        <f t="shared" si="1791"/>
        <v/>
      </c>
      <c r="K1658" s="311" t="str">
        <f t="shared" si="1792"/>
        <v/>
      </c>
      <c r="L1658" s="310">
        <f t="shared" si="1793"/>
        <v>7.5</v>
      </c>
      <c r="M1658" s="310" t="str">
        <f t="shared" si="1794"/>
        <v/>
      </c>
      <c r="N1658" s="311" t="str">
        <f t="shared" si="1795"/>
        <v/>
      </c>
    </row>
    <row r="1659" spans="1:14">
      <c r="A1659" s="297" t="s">
        <v>1520</v>
      </c>
      <c r="B1659" s="254"/>
      <c r="C1659" s="299" t="s">
        <v>1516</v>
      </c>
      <c r="D1659" s="299">
        <v>1</v>
      </c>
      <c r="E1659" s="300">
        <v>3</v>
      </c>
      <c r="F1659" s="300">
        <f>E1659*D1659</f>
        <v>3</v>
      </c>
      <c r="G1659" s="302">
        <v>1</v>
      </c>
      <c r="H1659" s="310" t="str">
        <f t="shared" si="1789"/>
        <v/>
      </c>
      <c r="I1659" s="311" t="str">
        <f t="shared" si="1790"/>
        <v/>
      </c>
      <c r="J1659" s="311" t="str">
        <f t="shared" si="1791"/>
        <v/>
      </c>
      <c r="K1659" s="311">
        <f t="shared" si="1792"/>
        <v>3</v>
      </c>
      <c r="L1659" s="310" t="str">
        <f t="shared" si="1793"/>
        <v/>
      </c>
      <c r="M1659" s="310" t="str">
        <f t="shared" si="1794"/>
        <v/>
      </c>
      <c r="N1659" s="311" t="str">
        <f t="shared" si="1795"/>
        <v/>
      </c>
    </row>
    <row r="1660" spans="1:14" ht="16.5">
      <c r="A1660" s="303"/>
      <c r="B1660" s="254"/>
      <c r="C1660" s="299"/>
      <c r="D1660" s="299"/>
      <c r="E1660" s="300"/>
      <c r="F1660" s="300"/>
      <c r="G1660" s="302"/>
      <c r="H1660" s="310"/>
      <c r="I1660" s="311"/>
      <c r="J1660" s="311"/>
      <c r="K1660" s="311"/>
      <c r="L1660" s="310"/>
      <c r="M1660" s="310"/>
      <c r="N1660" s="311"/>
    </row>
    <row r="1661" spans="1:14" ht="16.5">
      <c r="A1661" s="303" t="s">
        <v>1411</v>
      </c>
      <c r="B1661" s="254"/>
      <c r="C1661" s="299"/>
      <c r="D1661" s="299"/>
      <c r="E1661" s="300"/>
      <c r="F1661" s="300"/>
      <c r="G1661" s="302"/>
      <c r="H1661" s="310"/>
      <c r="I1661" s="311"/>
      <c r="J1661" s="311"/>
      <c r="K1661" s="311"/>
      <c r="L1661" s="310"/>
      <c r="M1661" s="310"/>
      <c r="N1661" s="311"/>
    </row>
    <row r="1662" spans="1:14" s="294" customFormat="1">
      <c r="A1662" s="297" t="s">
        <v>1515</v>
      </c>
      <c r="B1662" s="298"/>
      <c r="C1662" s="299" t="s">
        <v>1519</v>
      </c>
      <c r="D1662" s="299">
        <v>1</v>
      </c>
      <c r="E1662" s="300">
        <v>3</v>
      </c>
      <c r="F1662" s="300">
        <f>E1662*D1662</f>
        <v>3</v>
      </c>
      <c r="G1662" s="299">
        <f>(2.71)+17*0.01*2</f>
        <v>3.05</v>
      </c>
      <c r="H1662" s="310" t="str">
        <f t="shared" ref="H1662:H1667" si="1797">IF(C1662="T6",G1662*F1662,"")</f>
        <v/>
      </c>
      <c r="I1662" s="311" t="str">
        <f t="shared" ref="I1662:I1667" si="1798">IF(C1662="T8",F1662*G1662,"")</f>
        <v/>
      </c>
      <c r="J1662" s="311">
        <f t="shared" ref="J1662:J1667" si="1799">IF(C1662="T10",F1662*G1662,"")</f>
        <v>9.15</v>
      </c>
      <c r="K1662" s="311" t="str">
        <f t="shared" ref="K1662:K1667" si="1800">IF(C1662="T12",F1662*G1662,"")</f>
        <v/>
      </c>
      <c r="L1662" s="310" t="str">
        <f t="shared" ref="L1662:L1667" si="1801">IF(C1662="T14",F1662*G1662,"")</f>
        <v/>
      </c>
      <c r="M1662" s="310" t="str">
        <f t="shared" ref="M1662:M1667" si="1802">IF(C1662="T16",G1662*F1662,"")</f>
        <v/>
      </c>
      <c r="N1662" s="311" t="str">
        <f t="shared" ref="N1662:N1667" si="1803">IF(C1662="T20",G1662*F1662,"")</f>
        <v/>
      </c>
    </row>
    <row r="1663" spans="1:14" s="294" customFormat="1">
      <c r="A1663" s="297" t="s">
        <v>1515</v>
      </c>
      <c r="B1663" s="298"/>
      <c r="C1663" s="299" t="s">
        <v>1516</v>
      </c>
      <c r="D1663" s="299">
        <v>1</v>
      </c>
      <c r="E1663" s="300">
        <v>3</v>
      </c>
      <c r="F1663" s="300">
        <f>E1663*D1663</f>
        <v>3</v>
      </c>
      <c r="G1663" s="302">
        <f>(2.71)+17*0.012*2</f>
        <v>3.12</v>
      </c>
      <c r="H1663" s="310" t="str">
        <f t="shared" si="1797"/>
        <v/>
      </c>
      <c r="I1663" s="311" t="str">
        <f t="shared" si="1798"/>
        <v/>
      </c>
      <c r="J1663" s="311" t="str">
        <f t="shared" si="1799"/>
        <v/>
      </c>
      <c r="K1663" s="311">
        <f t="shared" si="1800"/>
        <v>9.36</v>
      </c>
      <c r="L1663" s="310" t="str">
        <f t="shared" si="1801"/>
        <v/>
      </c>
      <c r="M1663" s="310" t="str">
        <f t="shared" si="1802"/>
        <v/>
      </c>
      <c r="N1663" s="311" t="str">
        <f t="shared" si="1803"/>
        <v/>
      </c>
    </row>
    <row r="1664" spans="1:14" s="294" customFormat="1">
      <c r="A1664" s="297" t="s">
        <v>1494</v>
      </c>
      <c r="B1664" s="301"/>
      <c r="C1664" s="299" t="s">
        <v>1496</v>
      </c>
      <c r="D1664" s="299">
        <v>1</v>
      </c>
      <c r="E1664" s="300">
        <f>9+10+9</f>
        <v>28</v>
      </c>
      <c r="F1664" s="300">
        <f t="shared" ref="F1664:F1665" si="1804">E1664*D1664</f>
        <v>28</v>
      </c>
      <c r="G1664" s="302">
        <f>(0.2+0.35)*2+17*0.008*2</f>
        <v>1.37</v>
      </c>
      <c r="H1664" s="310" t="str">
        <f t="shared" si="1797"/>
        <v/>
      </c>
      <c r="I1664" s="311">
        <f t="shared" si="1798"/>
        <v>38.36</v>
      </c>
      <c r="J1664" s="311" t="str">
        <f t="shared" si="1799"/>
        <v/>
      </c>
      <c r="K1664" s="311" t="str">
        <f t="shared" si="1800"/>
        <v/>
      </c>
      <c r="L1664" s="310" t="str">
        <f t="shared" si="1801"/>
        <v/>
      </c>
      <c r="M1664" s="310" t="str">
        <f t="shared" si="1802"/>
        <v/>
      </c>
      <c r="N1664" s="311" t="str">
        <f t="shared" si="1803"/>
        <v/>
      </c>
    </row>
    <row r="1665" spans="1:14" s="294" customFormat="1">
      <c r="A1665" s="297" t="s">
        <v>1517</v>
      </c>
      <c r="B1665" s="301"/>
      <c r="C1665" s="299" t="s">
        <v>1496</v>
      </c>
      <c r="D1665" s="299">
        <v>1</v>
      </c>
      <c r="E1665" s="300">
        <v>28</v>
      </c>
      <c r="F1665" s="300">
        <f t="shared" si="1804"/>
        <v>28</v>
      </c>
      <c r="G1665" s="302">
        <f>(0.35*2)+17*0.008*2</f>
        <v>0.97</v>
      </c>
      <c r="H1665" s="310" t="str">
        <f t="shared" si="1797"/>
        <v/>
      </c>
      <c r="I1665" s="311">
        <f t="shared" si="1798"/>
        <v>27.16</v>
      </c>
      <c r="J1665" s="311" t="str">
        <f t="shared" si="1799"/>
        <v/>
      </c>
      <c r="K1665" s="311" t="str">
        <f t="shared" si="1800"/>
        <v/>
      </c>
      <c r="L1665" s="310" t="str">
        <f t="shared" si="1801"/>
        <v/>
      </c>
      <c r="M1665" s="310" t="str">
        <f t="shared" si="1802"/>
        <v/>
      </c>
      <c r="N1665" s="311" t="str">
        <f t="shared" si="1803"/>
        <v/>
      </c>
    </row>
    <row r="1666" spans="1:14">
      <c r="A1666" s="297" t="s">
        <v>1520</v>
      </c>
      <c r="B1666" s="254"/>
      <c r="C1666" s="299" t="s">
        <v>1492</v>
      </c>
      <c r="D1666" s="299">
        <v>1</v>
      </c>
      <c r="E1666" s="300">
        <v>6</v>
      </c>
      <c r="F1666" s="300">
        <f>E1666*D1666</f>
        <v>6</v>
      </c>
      <c r="G1666" s="302">
        <v>3.5</v>
      </c>
      <c r="H1666" s="310" t="str">
        <f t="shared" si="1797"/>
        <v/>
      </c>
      <c r="I1666" s="311" t="str">
        <f t="shared" si="1798"/>
        <v/>
      </c>
      <c r="J1666" s="311" t="str">
        <f t="shared" si="1799"/>
        <v/>
      </c>
      <c r="K1666" s="311" t="str">
        <f t="shared" si="1800"/>
        <v/>
      </c>
      <c r="L1666" s="310">
        <f t="shared" si="1801"/>
        <v>21</v>
      </c>
      <c r="M1666" s="310" t="str">
        <f t="shared" si="1802"/>
        <v/>
      </c>
      <c r="N1666" s="311" t="str">
        <f t="shared" si="1803"/>
        <v/>
      </c>
    </row>
    <row r="1667" spans="1:14">
      <c r="A1667" s="297"/>
      <c r="B1667" s="254"/>
      <c r="C1667" s="299" t="s">
        <v>1492</v>
      </c>
      <c r="D1667" s="299">
        <v>1</v>
      </c>
      <c r="E1667" s="300">
        <v>3</v>
      </c>
      <c r="F1667" s="300">
        <f>E1667*D1667</f>
        <v>3</v>
      </c>
      <c r="G1667" s="302">
        <v>1.1000000000000001</v>
      </c>
      <c r="H1667" s="310" t="str">
        <f t="shared" si="1797"/>
        <v/>
      </c>
      <c r="I1667" s="311" t="str">
        <f t="shared" si="1798"/>
        <v/>
      </c>
      <c r="J1667" s="311" t="str">
        <f t="shared" si="1799"/>
        <v/>
      </c>
      <c r="K1667" s="311" t="str">
        <f t="shared" si="1800"/>
        <v/>
      </c>
      <c r="L1667" s="310">
        <f t="shared" si="1801"/>
        <v>3.3</v>
      </c>
      <c r="M1667" s="310" t="str">
        <f t="shared" si="1802"/>
        <v/>
      </c>
      <c r="N1667" s="311" t="str">
        <f t="shared" si="1803"/>
        <v/>
      </c>
    </row>
    <row r="1668" spans="1:14">
      <c r="A1668" s="297"/>
      <c r="B1668" s="254"/>
      <c r="C1668" s="299" t="s">
        <v>1516</v>
      </c>
      <c r="D1668" s="299">
        <v>1</v>
      </c>
      <c r="E1668" s="300">
        <v>3</v>
      </c>
      <c r="F1668" s="300">
        <f>E1668*D1668</f>
        <v>3</v>
      </c>
      <c r="G1668" s="302">
        <v>2.4</v>
      </c>
      <c r="H1668" s="310" t="str">
        <f t="shared" ref="H1668" si="1805">IF(C1668="T6",G1668*F1668,"")</f>
        <v/>
      </c>
      <c r="I1668" s="311" t="str">
        <f t="shared" ref="I1668" si="1806">IF(C1668="T8",F1668*G1668,"")</f>
        <v/>
      </c>
      <c r="J1668" s="311" t="str">
        <f t="shared" ref="J1668" si="1807">IF(C1668="T10",F1668*G1668,"")</f>
        <v/>
      </c>
      <c r="K1668" s="311">
        <f t="shared" ref="K1668" si="1808">IF(C1668="T12",F1668*G1668,"")</f>
        <v>7.2</v>
      </c>
      <c r="L1668" s="310" t="str">
        <f t="shared" ref="L1668" si="1809">IF(C1668="T14",F1668*G1668,"")</f>
        <v/>
      </c>
      <c r="M1668" s="310" t="str">
        <f t="shared" ref="M1668" si="1810">IF(C1668="T16",G1668*F1668,"")</f>
        <v/>
      </c>
      <c r="N1668" s="311" t="str">
        <f t="shared" ref="N1668" si="1811">IF(C1668="T20",G1668*F1668,"")</f>
        <v/>
      </c>
    </row>
    <row r="1669" spans="1:14" ht="16.5">
      <c r="A1669" s="303"/>
      <c r="B1669" s="254"/>
      <c r="C1669" s="299"/>
      <c r="D1669" s="299"/>
      <c r="E1669" s="300"/>
      <c r="F1669" s="300"/>
      <c r="G1669" s="302"/>
      <c r="H1669" s="310"/>
      <c r="I1669" s="311"/>
      <c r="J1669" s="311"/>
      <c r="K1669" s="311"/>
      <c r="L1669" s="310"/>
      <c r="M1669" s="310"/>
      <c r="N1669" s="311"/>
    </row>
    <row r="1670" spans="1:14" ht="16.5">
      <c r="A1670" s="305" t="s">
        <v>1673</v>
      </c>
      <c r="B1670" s="254"/>
      <c r="C1670" s="299"/>
      <c r="D1670" s="299"/>
      <c r="E1670" s="300"/>
      <c r="F1670" s="300"/>
      <c r="G1670" s="302"/>
      <c r="H1670" s="310"/>
      <c r="I1670" s="311"/>
      <c r="J1670" s="311"/>
      <c r="K1670" s="311"/>
      <c r="L1670" s="310"/>
      <c r="M1670" s="310"/>
      <c r="N1670" s="311"/>
    </row>
    <row r="1671" spans="1:14" s="294" customFormat="1">
      <c r="A1671" s="297" t="s">
        <v>1515</v>
      </c>
      <c r="B1671" s="298"/>
      <c r="C1671" s="299" t="s">
        <v>1516</v>
      </c>
      <c r="D1671" s="299">
        <v>1</v>
      </c>
      <c r="E1671" s="300">
        <v>3</v>
      </c>
      <c r="F1671" s="300">
        <f>E1671*D1671</f>
        <v>3</v>
      </c>
      <c r="G1671" s="299">
        <f>(5.7)+17*0.012*2</f>
        <v>6.1079999999999997</v>
      </c>
      <c r="H1671" s="310" t="str">
        <f t="shared" ref="H1671:H1678" si="1812">IF(C1671="T6",G1671*F1671,"")</f>
        <v/>
      </c>
      <c r="I1671" s="311" t="str">
        <f t="shared" ref="I1671:I1678" si="1813">IF(C1671="T8",F1671*G1671,"")</f>
        <v/>
      </c>
      <c r="J1671" s="311" t="str">
        <f t="shared" ref="J1671:J1678" si="1814">IF(C1671="T10",F1671*G1671,"")</f>
        <v/>
      </c>
      <c r="K1671" s="311">
        <f t="shared" ref="K1671:K1678" si="1815">IF(C1671="T12",F1671*G1671,"")</f>
        <v>18.32</v>
      </c>
      <c r="L1671" s="310" t="str">
        <f t="shared" ref="L1671:L1678" si="1816">IF(C1671="T14",F1671*G1671,"")</f>
        <v/>
      </c>
      <c r="M1671" s="310" t="str">
        <f t="shared" ref="M1671:M1678" si="1817">IF(C1671="T16",G1671*F1671,"")</f>
        <v/>
      </c>
      <c r="N1671" s="311" t="str">
        <f t="shared" ref="N1671:N1678" si="1818">IF(C1671="T20",G1671*F1671,"")</f>
        <v/>
      </c>
    </row>
    <row r="1672" spans="1:14" s="294" customFormat="1">
      <c r="A1672" s="297" t="s">
        <v>1515</v>
      </c>
      <c r="B1672" s="298"/>
      <c r="C1672" s="299" t="s">
        <v>1498</v>
      </c>
      <c r="D1672" s="299">
        <v>1</v>
      </c>
      <c r="E1672" s="300">
        <v>3</v>
      </c>
      <c r="F1672" s="300">
        <f>E1672*D1672</f>
        <v>3</v>
      </c>
      <c r="G1672" s="302">
        <f>(5.7)+17*0.016*2</f>
        <v>6.24</v>
      </c>
      <c r="H1672" s="310" t="str">
        <f t="shared" si="1812"/>
        <v/>
      </c>
      <c r="I1672" s="311" t="str">
        <f t="shared" si="1813"/>
        <v/>
      </c>
      <c r="J1672" s="311" t="str">
        <f t="shared" si="1814"/>
        <v/>
      </c>
      <c r="K1672" s="311" t="str">
        <f t="shared" si="1815"/>
        <v/>
      </c>
      <c r="L1672" s="310" t="str">
        <f t="shared" si="1816"/>
        <v/>
      </c>
      <c r="M1672" s="310">
        <f t="shared" si="1817"/>
        <v>18.72</v>
      </c>
      <c r="N1672" s="311" t="str">
        <f t="shared" si="1818"/>
        <v/>
      </c>
    </row>
    <row r="1673" spans="1:14" s="294" customFormat="1">
      <c r="A1673" s="297"/>
      <c r="B1673" s="298"/>
      <c r="C1673" s="299" t="s">
        <v>1519</v>
      </c>
      <c r="D1673" s="299">
        <v>1</v>
      </c>
      <c r="E1673" s="300">
        <v>3</v>
      </c>
      <c r="F1673" s="300">
        <f>E1673*D1673</f>
        <v>3</v>
      </c>
      <c r="G1673" s="299">
        <v>5.7</v>
      </c>
      <c r="H1673" s="310" t="str">
        <f t="shared" si="1812"/>
        <v/>
      </c>
      <c r="I1673" s="311" t="str">
        <f t="shared" si="1813"/>
        <v/>
      </c>
      <c r="J1673" s="311">
        <f t="shared" si="1814"/>
        <v>17.100000000000001</v>
      </c>
      <c r="K1673" s="311" t="str">
        <f t="shared" si="1815"/>
        <v/>
      </c>
      <c r="L1673" s="310" t="str">
        <f t="shared" si="1816"/>
        <v/>
      </c>
      <c r="M1673" s="310" t="str">
        <f t="shared" si="1817"/>
        <v/>
      </c>
      <c r="N1673" s="311" t="str">
        <f t="shared" si="1818"/>
        <v/>
      </c>
    </row>
    <row r="1674" spans="1:14" s="294" customFormat="1">
      <c r="A1674" s="297" t="s">
        <v>1494</v>
      </c>
      <c r="B1674" s="301"/>
      <c r="C1674" s="299" t="s">
        <v>1496</v>
      </c>
      <c r="D1674" s="299">
        <v>1</v>
      </c>
      <c r="E1674" s="300">
        <f>17+16+17</f>
        <v>50</v>
      </c>
      <c r="F1674" s="300">
        <f t="shared" ref="F1674:F1675" si="1819">E1674*D1674</f>
        <v>50</v>
      </c>
      <c r="G1674" s="302">
        <f>(0.2+0.6)*2+17*0.008*2</f>
        <v>1.87</v>
      </c>
      <c r="H1674" s="310" t="str">
        <f t="shared" si="1812"/>
        <v/>
      </c>
      <c r="I1674" s="311">
        <f t="shared" si="1813"/>
        <v>93.5</v>
      </c>
      <c r="J1674" s="311" t="str">
        <f t="shared" si="1814"/>
        <v/>
      </c>
      <c r="K1674" s="311" t="str">
        <f t="shared" si="1815"/>
        <v/>
      </c>
      <c r="L1674" s="310" t="str">
        <f t="shared" si="1816"/>
        <v/>
      </c>
      <c r="M1674" s="310" t="str">
        <f t="shared" si="1817"/>
        <v/>
      </c>
      <c r="N1674" s="311" t="str">
        <f t="shared" si="1818"/>
        <v/>
      </c>
    </row>
    <row r="1675" spans="1:14" s="294" customFormat="1">
      <c r="A1675" s="297" t="s">
        <v>1517</v>
      </c>
      <c r="B1675" s="301"/>
      <c r="C1675" s="299" t="s">
        <v>1496</v>
      </c>
      <c r="D1675" s="299">
        <v>1</v>
      </c>
      <c r="E1675" s="300">
        <f>17+16+17</f>
        <v>50</v>
      </c>
      <c r="F1675" s="300">
        <f t="shared" si="1819"/>
        <v>50</v>
      </c>
      <c r="G1675" s="302">
        <f>(0.6*2)+17*0.008*2</f>
        <v>1.47</v>
      </c>
      <c r="H1675" s="310" t="str">
        <f t="shared" si="1812"/>
        <v/>
      </c>
      <c r="I1675" s="311">
        <f t="shared" si="1813"/>
        <v>73.5</v>
      </c>
      <c r="J1675" s="311" t="str">
        <f t="shared" si="1814"/>
        <v/>
      </c>
      <c r="K1675" s="311" t="str">
        <f t="shared" si="1815"/>
        <v/>
      </c>
      <c r="L1675" s="310" t="str">
        <f t="shared" si="1816"/>
        <v/>
      </c>
      <c r="M1675" s="310" t="str">
        <f t="shared" si="1817"/>
        <v/>
      </c>
      <c r="N1675" s="311" t="str">
        <f t="shared" si="1818"/>
        <v/>
      </c>
    </row>
    <row r="1676" spans="1:14">
      <c r="A1676" s="297" t="s">
        <v>1520</v>
      </c>
      <c r="B1676" s="254"/>
      <c r="C1676" s="299" t="s">
        <v>1492</v>
      </c>
      <c r="D1676" s="299">
        <v>1</v>
      </c>
      <c r="E1676" s="300">
        <v>6</v>
      </c>
      <c r="F1676" s="300">
        <f>E1676*D1676</f>
        <v>6</v>
      </c>
      <c r="G1676" s="302">
        <v>3.2</v>
      </c>
      <c r="H1676" s="310" t="str">
        <f t="shared" si="1812"/>
        <v/>
      </c>
      <c r="I1676" s="311" t="str">
        <f t="shared" si="1813"/>
        <v/>
      </c>
      <c r="J1676" s="311" t="str">
        <f t="shared" si="1814"/>
        <v/>
      </c>
      <c r="K1676" s="311" t="str">
        <f t="shared" si="1815"/>
        <v/>
      </c>
      <c r="L1676" s="310">
        <f t="shared" si="1816"/>
        <v>19.2</v>
      </c>
      <c r="M1676" s="310" t="str">
        <f t="shared" si="1817"/>
        <v/>
      </c>
      <c r="N1676" s="311" t="str">
        <f t="shared" si="1818"/>
        <v/>
      </c>
    </row>
    <row r="1677" spans="1:14">
      <c r="A1677" s="297" t="s">
        <v>1520</v>
      </c>
      <c r="B1677" s="254"/>
      <c r="C1677" s="299" t="s">
        <v>1492</v>
      </c>
      <c r="D1677" s="299">
        <v>1</v>
      </c>
      <c r="E1677" s="300">
        <v>6</v>
      </c>
      <c r="F1677" s="300">
        <f>E1677*D1677</f>
        <v>6</v>
      </c>
      <c r="G1677" s="302">
        <v>3.3</v>
      </c>
      <c r="H1677" s="310" t="str">
        <f t="shared" si="1812"/>
        <v/>
      </c>
      <c r="I1677" s="311" t="str">
        <f t="shared" si="1813"/>
        <v/>
      </c>
      <c r="J1677" s="311" t="str">
        <f t="shared" si="1814"/>
        <v/>
      </c>
      <c r="K1677" s="311" t="str">
        <f t="shared" si="1815"/>
        <v/>
      </c>
      <c r="L1677" s="310">
        <f t="shared" si="1816"/>
        <v>19.8</v>
      </c>
      <c r="M1677" s="310" t="str">
        <f t="shared" si="1817"/>
        <v/>
      </c>
      <c r="N1677" s="311" t="str">
        <f t="shared" si="1818"/>
        <v/>
      </c>
    </row>
    <row r="1678" spans="1:14">
      <c r="A1678" s="297" t="s">
        <v>1520</v>
      </c>
      <c r="B1678" s="254"/>
      <c r="C1678" s="299" t="s">
        <v>1498</v>
      </c>
      <c r="D1678" s="299">
        <v>1</v>
      </c>
      <c r="E1678" s="300">
        <v>3</v>
      </c>
      <c r="F1678" s="300">
        <f>E1678*D1678</f>
        <v>3</v>
      </c>
      <c r="G1678" s="302">
        <v>5.4</v>
      </c>
      <c r="H1678" s="310" t="str">
        <f t="shared" si="1812"/>
        <v/>
      </c>
      <c r="I1678" s="311" t="str">
        <f t="shared" si="1813"/>
        <v/>
      </c>
      <c r="J1678" s="311" t="str">
        <f t="shared" si="1814"/>
        <v/>
      </c>
      <c r="K1678" s="311" t="str">
        <f t="shared" si="1815"/>
        <v/>
      </c>
      <c r="L1678" s="310" t="str">
        <f t="shared" si="1816"/>
        <v/>
      </c>
      <c r="M1678" s="310">
        <f t="shared" si="1817"/>
        <v>16.2</v>
      </c>
      <c r="N1678" s="311" t="str">
        <f t="shared" si="1818"/>
        <v/>
      </c>
    </row>
    <row r="1679" spans="1:14" ht="16.5">
      <c r="A1679" s="303"/>
      <c r="B1679" s="254"/>
      <c r="C1679" s="299"/>
      <c r="D1679" s="299"/>
      <c r="E1679" s="300"/>
      <c r="F1679" s="300"/>
      <c r="G1679" s="302"/>
      <c r="H1679" s="310"/>
      <c r="I1679" s="311"/>
      <c r="J1679" s="311"/>
      <c r="K1679" s="311"/>
      <c r="L1679" s="310"/>
      <c r="M1679" s="310"/>
      <c r="N1679" s="311"/>
    </row>
    <row r="1680" spans="1:14" ht="16.5">
      <c r="A1680" s="305" t="s">
        <v>1674</v>
      </c>
      <c r="B1680" s="254"/>
      <c r="C1680" s="299"/>
      <c r="D1680" s="299"/>
      <c r="E1680" s="300"/>
      <c r="F1680" s="300"/>
      <c r="G1680" s="302"/>
      <c r="H1680" s="310"/>
      <c r="I1680" s="311"/>
      <c r="J1680" s="311"/>
      <c r="K1680" s="311"/>
      <c r="L1680" s="310"/>
      <c r="M1680" s="310"/>
      <c r="N1680" s="311"/>
    </row>
    <row r="1681" spans="1:14" s="294" customFormat="1">
      <c r="A1681" s="297" t="s">
        <v>1515</v>
      </c>
      <c r="B1681" s="298"/>
      <c r="C1681" s="299" t="s">
        <v>1519</v>
      </c>
      <c r="D1681" s="299">
        <v>1</v>
      </c>
      <c r="E1681" s="300">
        <v>3</v>
      </c>
      <c r="F1681" s="300">
        <f>E1681*D1681</f>
        <v>3</v>
      </c>
      <c r="G1681" s="299">
        <f>(2.6)+17*0.01*2</f>
        <v>2.94</v>
      </c>
      <c r="H1681" s="310" t="str">
        <f t="shared" ref="H1681:H1687" si="1820">IF(C1681="T6",G1681*F1681,"")</f>
        <v/>
      </c>
      <c r="I1681" s="311" t="str">
        <f t="shared" ref="I1681:I1687" si="1821">IF(C1681="T8",F1681*G1681,"")</f>
        <v/>
      </c>
      <c r="J1681" s="311">
        <f t="shared" ref="J1681:J1687" si="1822">IF(C1681="T10",F1681*G1681,"")</f>
        <v>8.82</v>
      </c>
      <c r="K1681" s="311" t="str">
        <f t="shared" ref="K1681:K1687" si="1823">IF(C1681="T12",F1681*G1681,"")</f>
        <v/>
      </c>
      <c r="L1681" s="310" t="str">
        <f t="shared" ref="L1681:L1687" si="1824">IF(C1681="T14",F1681*G1681,"")</f>
        <v/>
      </c>
      <c r="M1681" s="310" t="str">
        <f t="shared" ref="M1681:M1687" si="1825">IF(C1681="T16",G1681*F1681,"")</f>
        <v/>
      </c>
      <c r="N1681" s="311" t="str">
        <f t="shared" ref="N1681:N1687" si="1826">IF(C1681="T20",G1681*F1681,"")</f>
        <v/>
      </c>
    </row>
    <row r="1682" spans="1:14" s="294" customFormat="1">
      <c r="A1682" s="297" t="s">
        <v>1515</v>
      </c>
      <c r="B1682" s="298"/>
      <c r="C1682" s="299" t="s">
        <v>1516</v>
      </c>
      <c r="D1682" s="299">
        <v>1</v>
      </c>
      <c r="E1682" s="300">
        <v>3</v>
      </c>
      <c r="F1682" s="300">
        <f>E1682*D1682</f>
        <v>3</v>
      </c>
      <c r="G1682" s="302">
        <f>(2.6)+17*0.012*2</f>
        <v>3.01</v>
      </c>
      <c r="H1682" s="310" t="str">
        <f t="shared" si="1820"/>
        <v/>
      </c>
      <c r="I1682" s="311" t="str">
        <f t="shared" si="1821"/>
        <v/>
      </c>
      <c r="J1682" s="311" t="str">
        <f t="shared" si="1822"/>
        <v/>
      </c>
      <c r="K1682" s="311">
        <f t="shared" si="1823"/>
        <v>9.0299999999999994</v>
      </c>
      <c r="L1682" s="310" t="str">
        <f t="shared" si="1824"/>
        <v/>
      </c>
      <c r="M1682" s="310" t="str">
        <f t="shared" si="1825"/>
        <v/>
      </c>
      <c r="N1682" s="311" t="str">
        <f t="shared" si="1826"/>
        <v/>
      </c>
    </row>
    <row r="1683" spans="1:14" s="294" customFormat="1">
      <c r="A1683" s="297" t="s">
        <v>1494</v>
      </c>
      <c r="B1683" s="301"/>
      <c r="C1683" s="299" t="s">
        <v>1496</v>
      </c>
      <c r="D1683" s="299">
        <v>1</v>
      </c>
      <c r="E1683" s="300">
        <f>8+7+8</f>
        <v>23</v>
      </c>
      <c r="F1683" s="300">
        <f t="shared" ref="F1683:F1684" si="1827">E1683*D1683</f>
        <v>23</v>
      </c>
      <c r="G1683" s="302">
        <f>(0.2+0.35)*2+17*0.008*2</f>
        <v>1.37</v>
      </c>
      <c r="H1683" s="310" t="str">
        <f t="shared" si="1820"/>
        <v/>
      </c>
      <c r="I1683" s="311">
        <f t="shared" si="1821"/>
        <v>31.51</v>
      </c>
      <c r="J1683" s="311" t="str">
        <f t="shared" si="1822"/>
        <v/>
      </c>
      <c r="K1683" s="311" t="str">
        <f t="shared" si="1823"/>
        <v/>
      </c>
      <c r="L1683" s="310" t="str">
        <f t="shared" si="1824"/>
        <v/>
      </c>
      <c r="M1683" s="310" t="str">
        <f t="shared" si="1825"/>
        <v/>
      </c>
      <c r="N1683" s="311" t="str">
        <f t="shared" si="1826"/>
        <v/>
      </c>
    </row>
    <row r="1684" spans="1:14" s="294" customFormat="1">
      <c r="A1684" s="297" t="s">
        <v>1517</v>
      </c>
      <c r="B1684" s="301"/>
      <c r="C1684" s="299" t="s">
        <v>1496</v>
      </c>
      <c r="D1684" s="299">
        <v>1</v>
      </c>
      <c r="E1684" s="300">
        <v>23</v>
      </c>
      <c r="F1684" s="300">
        <f t="shared" si="1827"/>
        <v>23</v>
      </c>
      <c r="G1684" s="302">
        <f>(0.35*2)+17*0.008*2</f>
        <v>0.97</v>
      </c>
      <c r="H1684" s="310" t="str">
        <f t="shared" si="1820"/>
        <v/>
      </c>
      <c r="I1684" s="311">
        <f t="shared" si="1821"/>
        <v>22.31</v>
      </c>
      <c r="J1684" s="311" t="str">
        <f t="shared" si="1822"/>
        <v/>
      </c>
      <c r="K1684" s="311" t="str">
        <f t="shared" si="1823"/>
        <v/>
      </c>
      <c r="L1684" s="310" t="str">
        <f t="shared" si="1824"/>
        <v/>
      </c>
      <c r="M1684" s="310" t="str">
        <f t="shared" si="1825"/>
        <v/>
      </c>
      <c r="N1684" s="311" t="str">
        <f t="shared" si="1826"/>
        <v/>
      </c>
    </row>
    <row r="1685" spans="1:14">
      <c r="A1685" s="297" t="s">
        <v>1520</v>
      </c>
      <c r="B1685" s="254"/>
      <c r="C1685" s="299" t="s">
        <v>1492</v>
      </c>
      <c r="D1685" s="299">
        <v>1</v>
      </c>
      <c r="E1685" s="300">
        <v>3</v>
      </c>
      <c r="F1685" s="300">
        <f>E1685*D1685</f>
        <v>3</v>
      </c>
      <c r="G1685" s="302">
        <v>3.3</v>
      </c>
      <c r="H1685" s="310" t="str">
        <f t="shared" si="1820"/>
        <v/>
      </c>
      <c r="I1685" s="311" t="str">
        <f t="shared" si="1821"/>
        <v/>
      </c>
      <c r="J1685" s="311" t="str">
        <f t="shared" si="1822"/>
        <v/>
      </c>
      <c r="K1685" s="311" t="str">
        <f t="shared" si="1823"/>
        <v/>
      </c>
      <c r="L1685" s="310">
        <f t="shared" si="1824"/>
        <v>9.9</v>
      </c>
      <c r="M1685" s="310" t="str">
        <f t="shared" si="1825"/>
        <v/>
      </c>
      <c r="N1685" s="311" t="str">
        <f t="shared" si="1826"/>
        <v/>
      </c>
    </row>
    <row r="1686" spans="1:14">
      <c r="A1686" s="297" t="s">
        <v>1520</v>
      </c>
      <c r="B1686" s="254"/>
      <c r="C1686" s="299" t="s">
        <v>1492</v>
      </c>
      <c r="D1686" s="299">
        <v>1</v>
      </c>
      <c r="E1686" s="300">
        <v>3</v>
      </c>
      <c r="F1686" s="300">
        <f>E1686*D1686</f>
        <v>3</v>
      </c>
      <c r="G1686" s="302">
        <v>2.5</v>
      </c>
      <c r="H1686" s="310" t="str">
        <f t="shared" si="1820"/>
        <v/>
      </c>
      <c r="I1686" s="311" t="str">
        <f t="shared" si="1821"/>
        <v/>
      </c>
      <c r="J1686" s="311" t="str">
        <f t="shared" si="1822"/>
        <v/>
      </c>
      <c r="K1686" s="311" t="str">
        <f t="shared" si="1823"/>
        <v/>
      </c>
      <c r="L1686" s="310">
        <f t="shared" si="1824"/>
        <v>7.5</v>
      </c>
      <c r="M1686" s="310" t="str">
        <f t="shared" si="1825"/>
        <v/>
      </c>
      <c r="N1686" s="311" t="str">
        <f t="shared" si="1826"/>
        <v/>
      </c>
    </row>
    <row r="1687" spans="1:14">
      <c r="A1687" s="297" t="s">
        <v>1520</v>
      </c>
      <c r="B1687" s="254"/>
      <c r="C1687" s="299" t="s">
        <v>1519</v>
      </c>
      <c r="D1687" s="299">
        <v>1</v>
      </c>
      <c r="E1687" s="300">
        <v>3</v>
      </c>
      <c r="F1687" s="300">
        <f>E1687*D1687</f>
        <v>3</v>
      </c>
      <c r="G1687" s="302">
        <v>2.1</v>
      </c>
      <c r="H1687" s="310" t="str">
        <f t="shared" si="1820"/>
        <v/>
      </c>
      <c r="I1687" s="311" t="str">
        <f t="shared" si="1821"/>
        <v/>
      </c>
      <c r="J1687" s="311">
        <f t="shared" si="1822"/>
        <v>6.3</v>
      </c>
      <c r="K1687" s="311" t="str">
        <f t="shared" si="1823"/>
        <v/>
      </c>
      <c r="L1687" s="310" t="str">
        <f t="shared" si="1824"/>
        <v/>
      </c>
      <c r="M1687" s="310" t="str">
        <f t="shared" si="1825"/>
        <v/>
      </c>
      <c r="N1687" s="311" t="str">
        <f t="shared" si="1826"/>
        <v/>
      </c>
    </row>
    <row r="1688" spans="1:14" ht="16.5">
      <c r="A1688" s="303"/>
      <c r="B1688" s="254"/>
      <c r="C1688" s="299"/>
      <c r="D1688" s="299"/>
      <c r="E1688" s="300"/>
      <c r="F1688" s="300"/>
      <c r="G1688" s="302"/>
      <c r="H1688" s="310"/>
      <c r="I1688" s="311"/>
      <c r="J1688" s="311"/>
      <c r="K1688" s="311"/>
      <c r="L1688" s="310"/>
      <c r="M1688" s="310"/>
      <c r="N1688" s="311"/>
    </row>
    <row r="1689" spans="1:14" ht="16.5">
      <c r="A1689" s="305" t="s">
        <v>1675</v>
      </c>
      <c r="B1689" s="254"/>
      <c r="C1689" s="299"/>
      <c r="D1689" s="299"/>
      <c r="E1689" s="300"/>
      <c r="F1689" s="300"/>
      <c r="G1689" s="302"/>
      <c r="H1689" s="310"/>
      <c r="I1689" s="311"/>
      <c r="J1689" s="311"/>
      <c r="K1689" s="311"/>
      <c r="L1689" s="310"/>
      <c r="M1689" s="310"/>
      <c r="N1689" s="311"/>
    </row>
    <row r="1690" spans="1:14" s="294" customFormat="1">
      <c r="A1690" s="297" t="s">
        <v>1515</v>
      </c>
      <c r="B1690" s="298"/>
      <c r="C1690" s="299" t="s">
        <v>1519</v>
      </c>
      <c r="D1690" s="299">
        <v>1</v>
      </c>
      <c r="E1690" s="300">
        <v>3</v>
      </c>
      <c r="F1690" s="300">
        <f>E1690*D1690</f>
        <v>3</v>
      </c>
      <c r="G1690" s="299">
        <f>(1.75)+17*0.01*2</f>
        <v>2.09</v>
      </c>
      <c r="H1690" s="310" t="str">
        <f t="shared" ref="H1690:H1695" si="1828">IF(C1690="T6",G1690*F1690,"")</f>
        <v/>
      </c>
      <c r="I1690" s="311" t="str">
        <f t="shared" ref="I1690:I1695" si="1829">IF(C1690="T8",F1690*G1690,"")</f>
        <v/>
      </c>
      <c r="J1690" s="311">
        <f t="shared" ref="J1690:J1695" si="1830">IF(C1690="T10",F1690*G1690,"")</f>
        <v>6.27</v>
      </c>
      <c r="K1690" s="311" t="str">
        <f t="shared" ref="K1690:K1695" si="1831">IF(C1690="T12",F1690*G1690,"")</f>
        <v/>
      </c>
      <c r="L1690" s="310" t="str">
        <f t="shared" ref="L1690:L1695" si="1832">IF(C1690="T14",F1690*G1690,"")</f>
        <v/>
      </c>
      <c r="M1690" s="310" t="str">
        <f t="shared" ref="M1690:M1695" si="1833">IF(C1690="T16",G1690*F1690,"")</f>
        <v/>
      </c>
      <c r="N1690" s="311" t="str">
        <f t="shared" ref="N1690:N1695" si="1834">IF(C1690="T20",G1690*F1690,"")</f>
        <v/>
      </c>
    </row>
    <row r="1691" spans="1:14" s="294" customFormat="1">
      <c r="A1691" s="297" t="s">
        <v>1515</v>
      </c>
      <c r="B1691" s="298"/>
      <c r="C1691" s="299" t="s">
        <v>1516</v>
      </c>
      <c r="D1691" s="299">
        <v>1</v>
      </c>
      <c r="E1691" s="300">
        <v>3</v>
      </c>
      <c r="F1691" s="300">
        <f>E1691*D1691</f>
        <v>3</v>
      </c>
      <c r="G1691" s="302">
        <f>(1.75)+17*0.012*2</f>
        <v>2.16</v>
      </c>
      <c r="H1691" s="310" t="str">
        <f t="shared" si="1828"/>
        <v/>
      </c>
      <c r="I1691" s="311" t="str">
        <f t="shared" si="1829"/>
        <v/>
      </c>
      <c r="J1691" s="311" t="str">
        <f t="shared" si="1830"/>
        <v/>
      </c>
      <c r="K1691" s="311">
        <f t="shared" si="1831"/>
        <v>6.48</v>
      </c>
      <c r="L1691" s="310" t="str">
        <f t="shared" si="1832"/>
        <v/>
      </c>
      <c r="M1691" s="310" t="str">
        <f t="shared" si="1833"/>
        <v/>
      </c>
      <c r="N1691" s="311" t="str">
        <f t="shared" si="1834"/>
        <v/>
      </c>
    </row>
    <row r="1692" spans="1:14" s="294" customFormat="1">
      <c r="A1692" s="297" t="s">
        <v>1494</v>
      </c>
      <c r="B1692" s="301"/>
      <c r="C1692" s="299" t="s">
        <v>1496</v>
      </c>
      <c r="D1692" s="299">
        <v>1</v>
      </c>
      <c r="E1692" s="300">
        <f>6+7+6</f>
        <v>19</v>
      </c>
      <c r="F1692" s="300">
        <f t="shared" ref="F1692:F1693" si="1835">E1692*D1692</f>
        <v>19</v>
      </c>
      <c r="G1692" s="302">
        <f>(0.2+0.35)*2+17*0.008*2</f>
        <v>1.37</v>
      </c>
      <c r="H1692" s="310" t="str">
        <f t="shared" si="1828"/>
        <v/>
      </c>
      <c r="I1692" s="311">
        <f t="shared" si="1829"/>
        <v>26.03</v>
      </c>
      <c r="J1692" s="311" t="str">
        <f t="shared" si="1830"/>
        <v/>
      </c>
      <c r="K1692" s="311" t="str">
        <f t="shared" si="1831"/>
        <v/>
      </c>
      <c r="L1692" s="310" t="str">
        <f t="shared" si="1832"/>
        <v/>
      </c>
      <c r="M1692" s="310" t="str">
        <f t="shared" si="1833"/>
        <v/>
      </c>
      <c r="N1692" s="311" t="str">
        <f t="shared" si="1834"/>
        <v/>
      </c>
    </row>
    <row r="1693" spans="1:14" s="294" customFormat="1">
      <c r="A1693" s="297" t="s">
        <v>1517</v>
      </c>
      <c r="B1693" s="301"/>
      <c r="C1693" s="299" t="s">
        <v>1496</v>
      </c>
      <c r="D1693" s="299">
        <v>1</v>
      </c>
      <c r="E1693" s="300">
        <v>19</v>
      </c>
      <c r="F1693" s="300">
        <f t="shared" si="1835"/>
        <v>19</v>
      </c>
      <c r="G1693" s="302">
        <f>(0.35*2)+17*0.008*2</f>
        <v>0.97</v>
      </c>
      <c r="H1693" s="310" t="str">
        <f t="shared" si="1828"/>
        <v/>
      </c>
      <c r="I1693" s="311">
        <f t="shared" si="1829"/>
        <v>18.43</v>
      </c>
      <c r="J1693" s="311" t="str">
        <f t="shared" si="1830"/>
        <v/>
      </c>
      <c r="K1693" s="311" t="str">
        <f t="shared" si="1831"/>
        <v/>
      </c>
      <c r="L1693" s="310" t="str">
        <f t="shared" si="1832"/>
        <v/>
      </c>
      <c r="M1693" s="310" t="str">
        <f t="shared" si="1833"/>
        <v/>
      </c>
      <c r="N1693" s="311" t="str">
        <f t="shared" si="1834"/>
        <v/>
      </c>
    </row>
    <row r="1694" spans="1:14">
      <c r="A1694" s="297" t="s">
        <v>1520</v>
      </c>
      <c r="B1694" s="254"/>
      <c r="C1694" s="299" t="s">
        <v>1492</v>
      </c>
      <c r="D1694" s="299">
        <v>1</v>
      </c>
      <c r="E1694" s="300">
        <v>3</v>
      </c>
      <c r="F1694" s="300">
        <f>E1694*D1694</f>
        <v>3</v>
      </c>
      <c r="G1694" s="302">
        <v>2.5</v>
      </c>
      <c r="H1694" s="310" t="str">
        <f t="shared" si="1828"/>
        <v/>
      </c>
      <c r="I1694" s="311" t="str">
        <f t="shared" si="1829"/>
        <v/>
      </c>
      <c r="J1694" s="311" t="str">
        <f t="shared" si="1830"/>
        <v/>
      </c>
      <c r="K1694" s="311" t="str">
        <f t="shared" si="1831"/>
        <v/>
      </c>
      <c r="L1694" s="310">
        <f t="shared" si="1832"/>
        <v>7.5</v>
      </c>
      <c r="M1694" s="310" t="str">
        <f t="shared" si="1833"/>
        <v/>
      </c>
      <c r="N1694" s="311" t="str">
        <f t="shared" si="1834"/>
        <v/>
      </c>
    </row>
    <row r="1695" spans="1:14">
      <c r="A1695" s="297" t="s">
        <v>1520</v>
      </c>
      <c r="B1695" s="254"/>
      <c r="C1695" s="299" t="s">
        <v>1516</v>
      </c>
      <c r="D1695" s="299">
        <v>1</v>
      </c>
      <c r="E1695" s="300">
        <v>3</v>
      </c>
      <c r="F1695" s="300">
        <f>E1695*D1695</f>
        <v>3</v>
      </c>
      <c r="G1695" s="302">
        <v>1</v>
      </c>
      <c r="H1695" s="310" t="str">
        <f t="shared" si="1828"/>
        <v/>
      </c>
      <c r="I1695" s="311" t="str">
        <f t="shared" si="1829"/>
        <v/>
      </c>
      <c r="J1695" s="311" t="str">
        <f t="shared" si="1830"/>
        <v/>
      </c>
      <c r="K1695" s="311">
        <f t="shared" si="1831"/>
        <v>3</v>
      </c>
      <c r="L1695" s="310" t="str">
        <f t="shared" si="1832"/>
        <v/>
      </c>
      <c r="M1695" s="310" t="str">
        <f t="shared" si="1833"/>
        <v/>
      </c>
      <c r="N1695" s="311" t="str">
        <f t="shared" si="1834"/>
        <v/>
      </c>
    </row>
    <row r="1696" spans="1:14">
      <c r="A1696" s="253"/>
      <c r="B1696" s="254"/>
      <c r="C1696" s="299"/>
      <c r="D1696" s="299"/>
      <c r="E1696" s="300"/>
      <c r="F1696" s="300"/>
      <c r="G1696" s="302"/>
      <c r="H1696" s="310"/>
      <c r="I1696" s="311"/>
      <c r="J1696" s="311"/>
      <c r="K1696" s="311"/>
      <c r="L1696" s="310"/>
      <c r="M1696" s="310"/>
      <c r="N1696" s="311"/>
    </row>
    <row r="1697" spans="1:14" ht="16.5">
      <c r="A1697" s="303" t="s">
        <v>1412</v>
      </c>
      <c r="B1697" s="254"/>
      <c r="C1697" s="299"/>
      <c r="D1697" s="299"/>
      <c r="E1697" s="300"/>
      <c r="F1697" s="300"/>
      <c r="G1697" s="302"/>
      <c r="H1697" s="310"/>
      <c r="I1697" s="311"/>
      <c r="J1697" s="311"/>
      <c r="K1697" s="311"/>
      <c r="L1697" s="310"/>
      <c r="M1697" s="310"/>
      <c r="N1697" s="311"/>
    </row>
    <row r="1698" spans="1:14" s="294" customFormat="1">
      <c r="A1698" s="297" t="s">
        <v>1515</v>
      </c>
      <c r="B1698" s="298"/>
      <c r="C1698" s="299" t="s">
        <v>1519</v>
      </c>
      <c r="D1698" s="299">
        <v>1</v>
      </c>
      <c r="E1698" s="300">
        <v>3</v>
      </c>
      <c r="F1698" s="300">
        <f>E1698*D1698</f>
        <v>3</v>
      </c>
      <c r="G1698" s="299">
        <f>(2.81)+17*0.01*2</f>
        <v>3.15</v>
      </c>
      <c r="H1698" s="310" t="str">
        <f t="shared" ref="H1698:H1703" si="1836">IF(C1698="T6",G1698*F1698,"")</f>
        <v/>
      </c>
      <c r="I1698" s="311" t="str">
        <f t="shared" ref="I1698:I1703" si="1837">IF(C1698="T8",F1698*G1698,"")</f>
        <v/>
      </c>
      <c r="J1698" s="311">
        <f t="shared" ref="J1698:J1703" si="1838">IF(C1698="T10",F1698*G1698,"")</f>
        <v>9.4499999999999993</v>
      </c>
      <c r="K1698" s="311" t="str">
        <f t="shared" ref="K1698:K1703" si="1839">IF(C1698="T12",F1698*G1698,"")</f>
        <v/>
      </c>
      <c r="L1698" s="310" t="str">
        <f t="shared" ref="L1698:L1703" si="1840">IF(C1698="T14",F1698*G1698,"")</f>
        <v/>
      </c>
      <c r="M1698" s="310" t="str">
        <f t="shared" ref="M1698:M1703" si="1841">IF(C1698="T16",G1698*F1698,"")</f>
        <v/>
      </c>
      <c r="N1698" s="311" t="str">
        <f t="shared" ref="N1698:N1703" si="1842">IF(C1698="T20",G1698*F1698,"")</f>
        <v/>
      </c>
    </row>
    <row r="1699" spans="1:14" s="294" customFormat="1">
      <c r="A1699" s="297" t="s">
        <v>1515</v>
      </c>
      <c r="B1699" s="298"/>
      <c r="C1699" s="299" t="s">
        <v>1492</v>
      </c>
      <c r="D1699" s="299">
        <v>1</v>
      </c>
      <c r="E1699" s="300">
        <v>3</v>
      </c>
      <c r="F1699" s="300">
        <f>E1699*D1699</f>
        <v>3</v>
      </c>
      <c r="G1699" s="302">
        <f>(2.81)+17*0.014*2</f>
        <v>3.29</v>
      </c>
      <c r="H1699" s="310" t="str">
        <f t="shared" si="1836"/>
        <v/>
      </c>
      <c r="I1699" s="311" t="str">
        <f t="shared" si="1837"/>
        <v/>
      </c>
      <c r="J1699" s="311" t="str">
        <f t="shared" si="1838"/>
        <v/>
      </c>
      <c r="K1699" s="311" t="str">
        <f t="shared" si="1839"/>
        <v/>
      </c>
      <c r="L1699" s="310">
        <f t="shared" si="1840"/>
        <v>9.8699999999999992</v>
      </c>
      <c r="M1699" s="310" t="str">
        <f t="shared" si="1841"/>
        <v/>
      </c>
      <c r="N1699" s="311" t="str">
        <f t="shared" si="1842"/>
        <v/>
      </c>
    </row>
    <row r="1700" spans="1:14" s="294" customFormat="1">
      <c r="A1700" s="297" t="s">
        <v>1494</v>
      </c>
      <c r="B1700" s="301"/>
      <c r="C1700" s="299" t="s">
        <v>1496</v>
      </c>
      <c r="D1700" s="299">
        <v>1</v>
      </c>
      <c r="E1700" s="300">
        <f>9+10+9</f>
        <v>28</v>
      </c>
      <c r="F1700" s="300">
        <f t="shared" ref="F1700:F1701" si="1843">E1700*D1700</f>
        <v>28</v>
      </c>
      <c r="G1700" s="302">
        <f>(0.2+0.3)*2+17*0.008*2</f>
        <v>1.27</v>
      </c>
      <c r="H1700" s="310" t="str">
        <f t="shared" si="1836"/>
        <v/>
      </c>
      <c r="I1700" s="311">
        <f t="shared" si="1837"/>
        <v>35.56</v>
      </c>
      <c r="J1700" s="311" t="str">
        <f t="shared" si="1838"/>
        <v/>
      </c>
      <c r="K1700" s="311" t="str">
        <f t="shared" si="1839"/>
        <v/>
      </c>
      <c r="L1700" s="310" t="str">
        <f t="shared" si="1840"/>
        <v/>
      </c>
      <c r="M1700" s="310" t="str">
        <f t="shared" si="1841"/>
        <v/>
      </c>
      <c r="N1700" s="311" t="str">
        <f t="shared" si="1842"/>
        <v/>
      </c>
    </row>
    <row r="1701" spans="1:14" s="294" customFormat="1">
      <c r="A1701" s="297" t="s">
        <v>1517</v>
      </c>
      <c r="B1701" s="301"/>
      <c r="C1701" s="299" t="s">
        <v>1496</v>
      </c>
      <c r="D1701" s="299">
        <v>1</v>
      </c>
      <c r="E1701" s="300">
        <v>28</v>
      </c>
      <c r="F1701" s="300">
        <f t="shared" si="1843"/>
        <v>28</v>
      </c>
      <c r="G1701" s="302">
        <f>(0.3*2)+17*0.008*2</f>
        <v>0.87</v>
      </c>
      <c r="H1701" s="310" t="str">
        <f t="shared" si="1836"/>
        <v/>
      </c>
      <c r="I1701" s="311">
        <f t="shared" si="1837"/>
        <v>24.36</v>
      </c>
      <c r="J1701" s="311" t="str">
        <f t="shared" si="1838"/>
        <v/>
      </c>
      <c r="K1701" s="311" t="str">
        <f t="shared" si="1839"/>
        <v/>
      </c>
      <c r="L1701" s="310" t="str">
        <f t="shared" si="1840"/>
        <v/>
      </c>
      <c r="M1701" s="310" t="str">
        <f t="shared" si="1841"/>
        <v/>
      </c>
      <c r="N1701" s="311" t="str">
        <f t="shared" si="1842"/>
        <v/>
      </c>
    </row>
    <row r="1702" spans="1:14">
      <c r="A1702" s="297" t="s">
        <v>1520</v>
      </c>
      <c r="B1702" s="254"/>
      <c r="C1702" s="299" t="s">
        <v>1516</v>
      </c>
      <c r="D1702" s="299">
        <v>1</v>
      </c>
      <c r="E1702" s="300">
        <v>3</v>
      </c>
      <c r="F1702" s="300">
        <f>E1702*D1702</f>
        <v>3</v>
      </c>
      <c r="G1702" s="302">
        <v>1.1000000000000001</v>
      </c>
      <c r="H1702" s="310" t="str">
        <f t="shared" si="1836"/>
        <v/>
      </c>
      <c r="I1702" s="311" t="str">
        <f t="shared" si="1837"/>
        <v/>
      </c>
      <c r="J1702" s="311" t="str">
        <f t="shared" si="1838"/>
        <v/>
      </c>
      <c r="K1702" s="311">
        <f t="shared" si="1839"/>
        <v>3.3</v>
      </c>
      <c r="L1702" s="310" t="str">
        <f t="shared" si="1840"/>
        <v/>
      </c>
      <c r="M1702" s="310" t="str">
        <f t="shared" si="1841"/>
        <v/>
      </c>
      <c r="N1702" s="311" t="str">
        <f t="shared" si="1842"/>
        <v/>
      </c>
    </row>
    <row r="1703" spans="1:14">
      <c r="A1703" s="297"/>
      <c r="B1703" s="254"/>
      <c r="C1703" s="299" t="s">
        <v>1516</v>
      </c>
      <c r="D1703" s="299">
        <v>1</v>
      </c>
      <c r="E1703" s="300">
        <v>3</v>
      </c>
      <c r="F1703" s="300">
        <f>E1703*D1703</f>
        <v>3</v>
      </c>
      <c r="G1703" s="302">
        <v>2.6</v>
      </c>
      <c r="H1703" s="310" t="str">
        <f t="shared" si="1836"/>
        <v/>
      </c>
      <c r="I1703" s="311" t="str">
        <f t="shared" si="1837"/>
        <v/>
      </c>
      <c r="J1703" s="311" t="str">
        <f t="shared" si="1838"/>
        <v/>
      </c>
      <c r="K1703" s="311">
        <f t="shared" si="1839"/>
        <v>7.8</v>
      </c>
      <c r="L1703" s="310" t="str">
        <f t="shared" si="1840"/>
        <v/>
      </c>
      <c r="M1703" s="310" t="str">
        <f t="shared" si="1841"/>
        <v/>
      </c>
      <c r="N1703" s="311" t="str">
        <f t="shared" si="1842"/>
        <v/>
      </c>
    </row>
    <row r="1704" spans="1:14" ht="16.5">
      <c r="A1704" s="303"/>
      <c r="B1704" s="254"/>
      <c r="C1704" s="299"/>
      <c r="D1704" s="299"/>
      <c r="E1704" s="300"/>
      <c r="F1704" s="300"/>
      <c r="G1704" s="302"/>
      <c r="H1704" s="310"/>
      <c r="I1704" s="311"/>
      <c r="J1704" s="311"/>
      <c r="K1704" s="311"/>
      <c r="L1704" s="310"/>
      <c r="M1704" s="310"/>
      <c r="N1704" s="311"/>
    </row>
    <row r="1705" spans="1:14" ht="16.5">
      <c r="A1705" s="303" t="s">
        <v>1413</v>
      </c>
      <c r="B1705" s="254"/>
      <c r="C1705" s="299"/>
      <c r="D1705" s="299"/>
      <c r="E1705" s="300"/>
      <c r="F1705" s="300"/>
      <c r="G1705" s="302"/>
      <c r="H1705" s="310"/>
      <c r="I1705" s="311"/>
      <c r="J1705" s="311"/>
      <c r="K1705" s="311"/>
      <c r="L1705" s="310"/>
      <c r="M1705" s="310"/>
      <c r="N1705" s="311"/>
    </row>
    <row r="1706" spans="1:14" s="294" customFormat="1">
      <c r="A1706" s="297" t="s">
        <v>1515</v>
      </c>
      <c r="B1706" s="298"/>
      <c r="C1706" s="299" t="s">
        <v>1519</v>
      </c>
      <c r="D1706" s="299">
        <v>1</v>
      </c>
      <c r="E1706" s="300">
        <v>3</v>
      </c>
      <c r="F1706" s="300">
        <f>E1706*D1706</f>
        <v>3</v>
      </c>
      <c r="G1706" s="299">
        <f>(2.81)+17*0.01*2</f>
        <v>3.15</v>
      </c>
      <c r="H1706" s="310" t="str">
        <f t="shared" ref="H1706:H1711" si="1844">IF(C1706="T6",G1706*F1706,"")</f>
        <v/>
      </c>
      <c r="I1706" s="311" t="str">
        <f t="shared" ref="I1706:I1711" si="1845">IF(C1706="T8",F1706*G1706,"")</f>
        <v/>
      </c>
      <c r="J1706" s="311">
        <f t="shared" ref="J1706:J1711" si="1846">IF(C1706="T10",F1706*G1706,"")</f>
        <v>9.4499999999999993</v>
      </c>
      <c r="K1706" s="311" t="str">
        <f t="shared" ref="K1706:K1711" si="1847">IF(C1706="T12",F1706*G1706,"")</f>
        <v/>
      </c>
      <c r="L1706" s="310" t="str">
        <f t="shared" ref="L1706:L1711" si="1848">IF(C1706="T14",F1706*G1706,"")</f>
        <v/>
      </c>
      <c r="M1706" s="310" t="str">
        <f t="shared" ref="M1706:M1711" si="1849">IF(C1706="T16",G1706*F1706,"")</f>
        <v/>
      </c>
      <c r="N1706" s="311" t="str">
        <f t="shared" ref="N1706:N1711" si="1850">IF(C1706="T20",G1706*F1706,"")</f>
        <v/>
      </c>
    </row>
    <row r="1707" spans="1:14" s="294" customFormat="1">
      <c r="A1707" s="297" t="s">
        <v>1515</v>
      </c>
      <c r="B1707" s="298"/>
      <c r="C1707" s="299" t="s">
        <v>1492</v>
      </c>
      <c r="D1707" s="299">
        <v>1</v>
      </c>
      <c r="E1707" s="300">
        <v>3</v>
      </c>
      <c r="F1707" s="300">
        <f>E1707*D1707</f>
        <v>3</v>
      </c>
      <c r="G1707" s="302">
        <f>(2.81)+17*0.014*2</f>
        <v>3.29</v>
      </c>
      <c r="H1707" s="310" t="str">
        <f t="shared" si="1844"/>
        <v/>
      </c>
      <c r="I1707" s="311" t="str">
        <f t="shared" si="1845"/>
        <v/>
      </c>
      <c r="J1707" s="311" t="str">
        <f t="shared" si="1846"/>
        <v/>
      </c>
      <c r="K1707" s="311" t="str">
        <f t="shared" si="1847"/>
        <v/>
      </c>
      <c r="L1707" s="310">
        <f t="shared" si="1848"/>
        <v>9.8699999999999992</v>
      </c>
      <c r="M1707" s="310" t="str">
        <f t="shared" si="1849"/>
        <v/>
      </c>
      <c r="N1707" s="311" t="str">
        <f t="shared" si="1850"/>
        <v/>
      </c>
    </row>
    <row r="1708" spans="1:14" s="294" customFormat="1">
      <c r="A1708" s="297" t="s">
        <v>1494</v>
      </c>
      <c r="B1708" s="301"/>
      <c r="C1708" s="299" t="s">
        <v>1496</v>
      </c>
      <c r="D1708" s="299">
        <v>1</v>
      </c>
      <c r="E1708" s="300">
        <f>9+10+9</f>
        <v>28</v>
      </c>
      <c r="F1708" s="300">
        <f t="shared" ref="F1708:F1709" si="1851">E1708*D1708</f>
        <v>28</v>
      </c>
      <c r="G1708" s="302">
        <f>(0.2+0.3)*2+17*0.008*2</f>
        <v>1.27</v>
      </c>
      <c r="H1708" s="310" t="str">
        <f t="shared" si="1844"/>
        <v/>
      </c>
      <c r="I1708" s="311">
        <f t="shared" si="1845"/>
        <v>35.56</v>
      </c>
      <c r="J1708" s="311" t="str">
        <f t="shared" si="1846"/>
        <v/>
      </c>
      <c r="K1708" s="311" t="str">
        <f t="shared" si="1847"/>
        <v/>
      </c>
      <c r="L1708" s="310" t="str">
        <f t="shared" si="1848"/>
        <v/>
      </c>
      <c r="M1708" s="310" t="str">
        <f t="shared" si="1849"/>
        <v/>
      </c>
      <c r="N1708" s="311" t="str">
        <f t="shared" si="1850"/>
        <v/>
      </c>
    </row>
    <row r="1709" spans="1:14" s="294" customFormat="1">
      <c r="A1709" s="297" t="s">
        <v>1517</v>
      </c>
      <c r="B1709" s="301"/>
      <c r="C1709" s="299" t="s">
        <v>1496</v>
      </c>
      <c r="D1709" s="299">
        <v>1</v>
      </c>
      <c r="E1709" s="300">
        <v>28</v>
      </c>
      <c r="F1709" s="300">
        <f t="shared" si="1851"/>
        <v>28</v>
      </c>
      <c r="G1709" s="302">
        <f>(0.3*2)+17*0.008*2</f>
        <v>0.87</v>
      </c>
      <c r="H1709" s="310" t="str">
        <f t="shared" si="1844"/>
        <v/>
      </c>
      <c r="I1709" s="311">
        <f t="shared" si="1845"/>
        <v>24.36</v>
      </c>
      <c r="J1709" s="311" t="str">
        <f t="shared" si="1846"/>
        <v/>
      </c>
      <c r="K1709" s="311" t="str">
        <f t="shared" si="1847"/>
        <v/>
      </c>
      <c r="L1709" s="310" t="str">
        <f t="shared" si="1848"/>
        <v/>
      </c>
      <c r="M1709" s="310" t="str">
        <f t="shared" si="1849"/>
        <v/>
      </c>
      <c r="N1709" s="311" t="str">
        <f t="shared" si="1850"/>
        <v/>
      </c>
    </row>
    <row r="1710" spans="1:14">
      <c r="A1710" s="297" t="s">
        <v>1520</v>
      </c>
      <c r="B1710" s="254"/>
      <c r="C1710" s="299" t="s">
        <v>1516</v>
      </c>
      <c r="D1710" s="299">
        <v>1</v>
      </c>
      <c r="E1710" s="300">
        <v>3</v>
      </c>
      <c r="F1710" s="300">
        <f>E1710*D1710</f>
        <v>3</v>
      </c>
      <c r="G1710" s="302">
        <v>1.1000000000000001</v>
      </c>
      <c r="H1710" s="310" t="str">
        <f t="shared" si="1844"/>
        <v/>
      </c>
      <c r="I1710" s="311" t="str">
        <f t="shared" si="1845"/>
        <v/>
      </c>
      <c r="J1710" s="311" t="str">
        <f t="shared" si="1846"/>
        <v/>
      </c>
      <c r="K1710" s="311">
        <f t="shared" si="1847"/>
        <v>3.3</v>
      </c>
      <c r="L1710" s="310" t="str">
        <f t="shared" si="1848"/>
        <v/>
      </c>
      <c r="M1710" s="310" t="str">
        <f t="shared" si="1849"/>
        <v/>
      </c>
      <c r="N1710" s="311" t="str">
        <f t="shared" si="1850"/>
        <v/>
      </c>
    </row>
    <row r="1711" spans="1:14">
      <c r="A1711" s="297"/>
      <c r="B1711" s="254"/>
      <c r="C1711" s="299" t="s">
        <v>1516</v>
      </c>
      <c r="D1711" s="299">
        <v>1</v>
      </c>
      <c r="E1711" s="300">
        <v>3</v>
      </c>
      <c r="F1711" s="300">
        <f>E1711*D1711</f>
        <v>3</v>
      </c>
      <c r="G1711" s="302">
        <v>2.6</v>
      </c>
      <c r="H1711" s="310" t="str">
        <f t="shared" si="1844"/>
        <v/>
      </c>
      <c r="I1711" s="311" t="str">
        <f t="shared" si="1845"/>
        <v/>
      </c>
      <c r="J1711" s="311" t="str">
        <f t="shared" si="1846"/>
        <v/>
      </c>
      <c r="K1711" s="311">
        <f t="shared" si="1847"/>
        <v>7.8</v>
      </c>
      <c r="L1711" s="310" t="str">
        <f t="shared" si="1848"/>
        <v/>
      </c>
      <c r="M1711" s="310" t="str">
        <f t="shared" si="1849"/>
        <v/>
      </c>
      <c r="N1711" s="311" t="str">
        <f t="shared" si="1850"/>
        <v/>
      </c>
    </row>
    <row r="1712" spans="1:14">
      <c r="A1712" s="297"/>
      <c r="B1712" s="254"/>
      <c r="C1712" s="299"/>
      <c r="D1712" s="299"/>
      <c r="E1712" s="300"/>
      <c r="F1712" s="300"/>
      <c r="G1712" s="302"/>
      <c r="H1712" s="310"/>
      <c r="I1712" s="311"/>
      <c r="J1712" s="311"/>
      <c r="K1712" s="311"/>
      <c r="L1712" s="310"/>
      <c r="M1712" s="310"/>
      <c r="N1712" s="311"/>
    </row>
    <row r="1713" spans="1:14" ht="16.5">
      <c r="A1713" s="303" t="s">
        <v>1414</v>
      </c>
      <c r="B1713" s="254"/>
      <c r="C1713" s="299"/>
      <c r="D1713" s="299"/>
      <c r="E1713" s="300"/>
      <c r="F1713" s="300"/>
      <c r="G1713" s="302"/>
      <c r="H1713" s="310"/>
      <c r="I1713" s="311"/>
      <c r="J1713" s="311"/>
      <c r="K1713" s="311"/>
      <c r="L1713" s="310"/>
      <c r="M1713" s="310"/>
      <c r="N1713" s="311"/>
    </row>
    <row r="1714" spans="1:14" s="294" customFormat="1">
      <c r="A1714" s="297" t="s">
        <v>1515</v>
      </c>
      <c r="B1714" s="298"/>
      <c r="C1714" s="299" t="s">
        <v>1516</v>
      </c>
      <c r="D1714" s="299">
        <v>1</v>
      </c>
      <c r="E1714" s="300">
        <v>3</v>
      </c>
      <c r="F1714" s="300">
        <f>E1714*D1714</f>
        <v>3</v>
      </c>
      <c r="G1714" s="299">
        <f>(5.51)+17*0.012*2</f>
        <v>5.9180000000000001</v>
      </c>
      <c r="H1714" s="310" t="str">
        <f t="shared" ref="H1714:H1719" si="1852">IF(C1714="T6",G1714*F1714,"")</f>
        <v/>
      </c>
      <c r="I1714" s="311" t="str">
        <f t="shared" ref="I1714:I1719" si="1853">IF(C1714="T8",F1714*G1714,"")</f>
        <v/>
      </c>
      <c r="J1714" s="311" t="str">
        <f t="shared" ref="J1714:J1719" si="1854">IF(C1714="T10",F1714*G1714,"")</f>
        <v/>
      </c>
      <c r="K1714" s="311">
        <f t="shared" ref="K1714:K1719" si="1855">IF(C1714="T12",F1714*G1714,"")</f>
        <v>17.75</v>
      </c>
      <c r="L1714" s="310" t="str">
        <f t="shared" ref="L1714:L1719" si="1856">IF(C1714="T14",F1714*G1714,"")</f>
        <v/>
      </c>
      <c r="M1714" s="310" t="str">
        <f t="shared" ref="M1714:M1719" si="1857">IF(C1714="T16",G1714*F1714,"")</f>
        <v/>
      </c>
      <c r="N1714" s="311" t="str">
        <f t="shared" ref="N1714:N1719" si="1858">IF(C1714="T20",G1714*F1714,"")</f>
        <v/>
      </c>
    </row>
    <row r="1715" spans="1:14" s="294" customFormat="1">
      <c r="A1715" s="297" t="s">
        <v>1515</v>
      </c>
      <c r="B1715" s="298"/>
      <c r="C1715" s="299" t="s">
        <v>1498</v>
      </c>
      <c r="D1715" s="299">
        <v>1</v>
      </c>
      <c r="E1715" s="300">
        <v>3</v>
      </c>
      <c r="F1715" s="300">
        <f>E1715*D1715</f>
        <v>3</v>
      </c>
      <c r="G1715" s="302">
        <f>(5.51)+17*0.016*2</f>
        <v>6.05</v>
      </c>
      <c r="H1715" s="310" t="str">
        <f t="shared" si="1852"/>
        <v/>
      </c>
      <c r="I1715" s="311" t="str">
        <f t="shared" si="1853"/>
        <v/>
      </c>
      <c r="J1715" s="311" t="str">
        <f t="shared" si="1854"/>
        <v/>
      </c>
      <c r="K1715" s="311" t="str">
        <f t="shared" si="1855"/>
        <v/>
      </c>
      <c r="L1715" s="310" t="str">
        <f t="shared" si="1856"/>
        <v/>
      </c>
      <c r="M1715" s="310">
        <f t="shared" si="1857"/>
        <v>18.149999999999999</v>
      </c>
      <c r="N1715" s="311" t="str">
        <f t="shared" si="1858"/>
        <v/>
      </c>
    </row>
    <row r="1716" spans="1:14" s="294" customFormat="1">
      <c r="A1716" s="297" t="s">
        <v>1494</v>
      </c>
      <c r="B1716" s="301"/>
      <c r="C1716" s="299" t="s">
        <v>1496</v>
      </c>
      <c r="D1716" s="299">
        <v>1</v>
      </c>
      <c r="E1716" s="300">
        <f>17+17+15</f>
        <v>49</v>
      </c>
      <c r="F1716" s="300">
        <f t="shared" ref="F1716:F1717" si="1859">E1716*D1716</f>
        <v>49</v>
      </c>
      <c r="G1716" s="302">
        <f>(0.2+0.55)*2+17*0.008*2</f>
        <v>1.77</v>
      </c>
      <c r="H1716" s="310" t="str">
        <f t="shared" si="1852"/>
        <v/>
      </c>
      <c r="I1716" s="311">
        <f t="shared" si="1853"/>
        <v>86.73</v>
      </c>
      <c r="J1716" s="311" t="str">
        <f t="shared" si="1854"/>
        <v/>
      </c>
      <c r="K1716" s="311" t="str">
        <f t="shared" si="1855"/>
        <v/>
      </c>
      <c r="L1716" s="310" t="str">
        <f t="shared" si="1856"/>
        <v/>
      </c>
      <c r="M1716" s="310" t="str">
        <f t="shared" si="1857"/>
        <v/>
      </c>
      <c r="N1716" s="311" t="str">
        <f t="shared" si="1858"/>
        <v/>
      </c>
    </row>
    <row r="1717" spans="1:14" s="294" customFormat="1">
      <c r="A1717" s="297" t="s">
        <v>1517</v>
      </c>
      <c r="B1717" s="301"/>
      <c r="C1717" s="299" t="s">
        <v>1496</v>
      </c>
      <c r="D1717" s="299">
        <v>1</v>
      </c>
      <c r="E1717" s="300">
        <v>49</v>
      </c>
      <c r="F1717" s="300">
        <f t="shared" si="1859"/>
        <v>49</v>
      </c>
      <c r="G1717" s="302">
        <f>(0.55*2)+17*0.008*2</f>
        <v>1.37</v>
      </c>
      <c r="H1717" s="310" t="str">
        <f t="shared" si="1852"/>
        <v/>
      </c>
      <c r="I1717" s="311">
        <f t="shared" si="1853"/>
        <v>67.13</v>
      </c>
      <c r="J1717" s="311" t="str">
        <f t="shared" si="1854"/>
        <v/>
      </c>
      <c r="K1717" s="311" t="str">
        <f t="shared" si="1855"/>
        <v/>
      </c>
      <c r="L1717" s="310" t="str">
        <f t="shared" si="1856"/>
        <v/>
      </c>
      <c r="M1717" s="310" t="str">
        <f t="shared" si="1857"/>
        <v/>
      </c>
      <c r="N1717" s="311" t="str">
        <f t="shared" si="1858"/>
        <v/>
      </c>
    </row>
    <row r="1718" spans="1:14">
      <c r="A1718" s="297" t="s">
        <v>1520</v>
      </c>
      <c r="B1718" s="254"/>
      <c r="C1718" s="299" t="s">
        <v>1516</v>
      </c>
      <c r="D1718" s="299">
        <v>1</v>
      </c>
      <c r="E1718" s="300">
        <v>3</v>
      </c>
      <c r="F1718" s="300">
        <f>E1718*D1718</f>
        <v>3</v>
      </c>
      <c r="G1718" s="302">
        <v>1.5</v>
      </c>
      <c r="H1718" s="310" t="str">
        <f t="shared" si="1852"/>
        <v/>
      </c>
      <c r="I1718" s="311" t="str">
        <f t="shared" si="1853"/>
        <v/>
      </c>
      <c r="J1718" s="311" t="str">
        <f t="shared" si="1854"/>
        <v/>
      </c>
      <c r="K1718" s="311">
        <f t="shared" si="1855"/>
        <v>4.5</v>
      </c>
      <c r="L1718" s="310" t="str">
        <f t="shared" si="1856"/>
        <v/>
      </c>
      <c r="M1718" s="310" t="str">
        <f t="shared" si="1857"/>
        <v/>
      </c>
      <c r="N1718" s="311" t="str">
        <f t="shared" si="1858"/>
        <v/>
      </c>
    </row>
    <row r="1719" spans="1:14">
      <c r="A1719" s="297"/>
      <c r="B1719" s="254"/>
      <c r="C1719" s="299" t="s">
        <v>1492</v>
      </c>
      <c r="D1719" s="299">
        <v>1</v>
      </c>
      <c r="E1719" s="300">
        <v>6</v>
      </c>
      <c r="F1719" s="300">
        <f>E1719*D1719</f>
        <v>6</v>
      </c>
      <c r="G1719" s="302">
        <v>3.5</v>
      </c>
      <c r="H1719" s="310" t="str">
        <f t="shared" si="1852"/>
        <v/>
      </c>
      <c r="I1719" s="311" t="str">
        <f t="shared" si="1853"/>
        <v/>
      </c>
      <c r="J1719" s="311" t="str">
        <f t="shared" si="1854"/>
        <v/>
      </c>
      <c r="K1719" s="311" t="str">
        <f t="shared" si="1855"/>
        <v/>
      </c>
      <c r="L1719" s="310">
        <f t="shared" si="1856"/>
        <v>21</v>
      </c>
      <c r="M1719" s="310" t="str">
        <f t="shared" si="1857"/>
        <v/>
      </c>
      <c r="N1719" s="311" t="str">
        <f t="shared" si="1858"/>
        <v/>
      </c>
    </row>
    <row r="1720" spans="1:14">
      <c r="A1720" s="297"/>
      <c r="B1720" s="254"/>
      <c r="C1720" s="299" t="s">
        <v>1492</v>
      </c>
      <c r="D1720" s="299">
        <v>1</v>
      </c>
      <c r="E1720" s="300">
        <v>3</v>
      </c>
      <c r="F1720" s="300">
        <f>E1720*D1720</f>
        <v>3</v>
      </c>
      <c r="G1720" s="302">
        <v>5</v>
      </c>
      <c r="H1720" s="310" t="str">
        <f t="shared" ref="H1720" si="1860">IF(C1720="T6",G1720*F1720,"")</f>
        <v/>
      </c>
      <c r="I1720" s="311" t="str">
        <f t="shared" ref="I1720" si="1861">IF(C1720="T8",F1720*G1720,"")</f>
        <v/>
      </c>
      <c r="J1720" s="311" t="str">
        <f t="shared" ref="J1720" si="1862">IF(C1720="T10",F1720*G1720,"")</f>
        <v/>
      </c>
      <c r="K1720" s="311" t="str">
        <f t="shared" ref="K1720" si="1863">IF(C1720="T12",F1720*G1720,"")</f>
        <v/>
      </c>
      <c r="L1720" s="310">
        <f t="shared" ref="L1720" si="1864">IF(C1720="T14",F1720*G1720,"")</f>
        <v>15</v>
      </c>
      <c r="M1720" s="310" t="str">
        <f t="shared" ref="M1720" si="1865">IF(C1720="T16",G1720*F1720,"")</f>
        <v/>
      </c>
      <c r="N1720" s="311" t="str">
        <f t="shared" ref="N1720" si="1866">IF(C1720="T20",G1720*F1720,"")</f>
        <v/>
      </c>
    </row>
    <row r="1721" spans="1:14">
      <c r="A1721" s="297"/>
      <c r="B1721" s="254"/>
      <c r="C1721" s="299"/>
      <c r="D1721" s="299"/>
      <c r="E1721" s="300"/>
      <c r="F1721" s="300"/>
      <c r="G1721" s="302"/>
      <c r="H1721" s="310"/>
      <c r="I1721" s="311"/>
      <c r="J1721" s="311"/>
      <c r="K1721" s="311"/>
      <c r="L1721" s="310"/>
      <c r="M1721" s="310"/>
      <c r="N1721" s="311"/>
    </row>
    <row r="1722" spans="1:14" ht="16.5">
      <c r="A1722" s="305" t="s">
        <v>1677</v>
      </c>
      <c r="B1722" s="254"/>
      <c r="C1722" s="299"/>
      <c r="D1722" s="299"/>
      <c r="E1722" s="300"/>
      <c r="F1722" s="300"/>
      <c r="G1722" s="302"/>
      <c r="H1722" s="310"/>
      <c r="I1722" s="311"/>
      <c r="J1722" s="311"/>
      <c r="K1722" s="311"/>
      <c r="L1722" s="310"/>
      <c r="M1722" s="310"/>
      <c r="N1722" s="311"/>
    </row>
    <row r="1723" spans="1:14" s="294" customFormat="1">
      <c r="A1723" s="297" t="s">
        <v>1515</v>
      </c>
      <c r="B1723" s="298"/>
      <c r="C1723" s="299" t="s">
        <v>1519</v>
      </c>
      <c r="D1723" s="299">
        <v>1</v>
      </c>
      <c r="E1723" s="300">
        <v>3</v>
      </c>
      <c r="F1723" s="300">
        <f>E1723*D1723</f>
        <v>3</v>
      </c>
      <c r="G1723" s="299">
        <f>(2.6)+17*0.01*2</f>
        <v>2.94</v>
      </c>
      <c r="H1723" s="310" t="str">
        <f t="shared" ref="H1723:H1729" si="1867">IF(C1723="T6",G1723*F1723,"")</f>
        <v/>
      </c>
      <c r="I1723" s="311" t="str">
        <f t="shared" ref="I1723:I1729" si="1868">IF(C1723="T8",F1723*G1723,"")</f>
        <v/>
      </c>
      <c r="J1723" s="311">
        <f t="shared" ref="J1723:J1729" si="1869">IF(C1723="T10",F1723*G1723,"")</f>
        <v>8.82</v>
      </c>
      <c r="K1723" s="311" t="str">
        <f t="shared" ref="K1723:K1729" si="1870">IF(C1723="T12",F1723*G1723,"")</f>
        <v/>
      </c>
      <c r="L1723" s="310" t="str">
        <f t="shared" ref="L1723:L1729" si="1871">IF(C1723="T14",F1723*G1723,"")</f>
        <v/>
      </c>
      <c r="M1723" s="310" t="str">
        <f t="shared" ref="M1723:M1729" si="1872">IF(C1723="T16",G1723*F1723,"")</f>
        <v/>
      </c>
      <c r="N1723" s="311" t="str">
        <f t="shared" ref="N1723:N1729" si="1873">IF(C1723="T20",G1723*F1723,"")</f>
        <v/>
      </c>
    </row>
    <row r="1724" spans="1:14" s="294" customFormat="1">
      <c r="A1724" s="297" t="s">
        <v>1515</v>
      </c>
      <c r="B1724" s="298"/>
      <c r="C1724" s="299" t="s">
        <v>1516</v>
      </c>
      <c r="D1724" s="299">
        <v>1</v>
      </c>
      <c r="E1724" s="300">
        <v>3</v>
      </c>
      <c r="F1724" s="300">
        <f>E1724*D1724</f>
        <v>3</v>
      </c>
      <c r="G1724" s="302">
        <f>(2.6)+17*0.012*2</f>
        <v>3.01</v>
      </c>
      <c r="H1724" s="310" t="str">
        <f t="shared" si="1867"/>
        <v/>
      </c>
      <c r="I1724" s="311" t="str">
        <f t="shared" si="1868"/>
        <v/>
      </c>
      <c r="J1724" s="311" t="str">
        <f t="shared" si="1869"/>
        <v/>
      </c>
      <c r="K1724" s="311">
        <f t="shared" si="1870"/>
        <v>9.0299999999999994</v>
      </c>
      <c r="L1724" s="310" t="str">
        <f t="shared" si="1871"/>
        <v/>
      </c>
      <c r="M1724" s="310" t="str">
        <f t="shared" si="1872"/>
        <v/>
      </c>
      <c r="N1724" s="311" t="str">
        <f t="shared" si="1873"/>
        <v/>
      </c>
    </row>
    <row r="1725" spans="1:14" s="294" customFormat="1">
      <c r="A1725" s="297" t="s">
        <v>1494</v>
      </c>
      <c r="B1725" s="301"/>
      <c r="C1725" s="299" t="s">
        <v>1496</v>
      </c>
      <c r="D1725" s="299">
        <v>1</v>
      </c>
      <c r="E1725" s="300">
        <f>8+7+8</f>
        <v>23</v>
      </c>
      <c r="F1725" s="300">
        <f t="shared" ref="F1725:F1726" si="1874">E1725*D1725</f>
        <v>23</v>
      </c>
      <c r="G1725" s="302">
        <f>(0.2+0.35)*2+17*0.008*2</f>
        <v>1.37</v>
      </c>
      <c r="H1725" s="310" t="str">
        <f t="shared" si="1867"/>
        <v/>
      </c>
      <c r="I1725" s="311">
        <f t="shared" si="1868"/>
        <v>31.51</v>
      </c>
      <c r="J1725" s="311" t="str">
        <f t="shared" si="1869"/>
        <v/>
      </c>
      <c r="K1725" s="311" t="str">
        <f t="shared" si="1870"/>
        <v/>
      </c>
      <c r="L1725" s="310" t="str">
        <f t="shared" si="1871"/>
        <v/>
      </c>
      <c r="M1725" s="310" t="str">
        <f t="shared" si="1872"/>
        <v/>
      </c>
      <c r="N1725" s="311" t="str">
        <f t="shared" si="1873"/>
        <v/>
      </c>
    </row>
    <row r="1726" spans="1:14" s="294" customFormat="1">
      <c r="A1726" s="297" t="s">
        <v>1517</v>
      </c>
      <c r="B1726" s="301"/>
      <c r="C1726" s="299" t="s">
        <v>1496</v>
      </c>
      <c r="D1726" s="299">
        <v>1</v>
      </c>
      <c r="E1726" s="300">
        <v>23</v>
      </c>
      <c r="F1726" s="300">
        <f t="shared" si="1874"/>
        <v>23</v>
      </c>
      <c r="G1726" s="302">
        <f>(0.35*2)+17*0.008*2</f>
        <v>0.97</v>
      </c>
      <c r="H1726" s="310" t="str">
        <f t="shared" si="1867"/>
        <v/>
      </c>
      <c r="I1726" s="311">
        <f t="shared" si="1868"/>
        <v>22.31</v>
      </c>
      <c r="J1726" s="311" t="str">
        <f t="shared" si="1869"/>
        <v/>
      </c>
      <c r="K1726" s="311" t="str">
        <f t="shared" si="1870"/>
        <v/>
      </c>
      <c r="L1726" s="310" t="str">
        <f t="shared" si="1871"/>
        <v/>
      </c>
      <c r="M1726" s="310" t="str">
        <f t="shared" si="1872"/>
        <v/>
      </c>
      <c r="N1726" s="311" t="str">
        <f t="shared" si="1873"/>
        <v/>
      </c>
    </row>
    <row r="1727" spans="1:14">
      <c r="A1727" s="297" t="s">
        <v>1520</v>
      </c>
      <c r="B1727" s="254"/>
      <c r="C1727" s="299" t="s">
        <v>1492</v>
      </c>
      <c r="D1727" s="299">
        <v>1</v>
      </c>
      <c r="E1727" s="300">
        <v>3</v>
      </c>
      <c r="F1727" s="300">
        <f>E1727*D1727</f>
        <v>3</v>
      </c>
      <c r="G1727" s="302">
        <v>3.3</v>
      </c>
      <c r="H1727" s="310" t="str">
        <f t="shared" si="1867"/>
        <v/>
      </c>
      <c r="I1727" s="311" t="str">
        <f t="shared" si="1868"/>
        <v/>
      </c>
      <c r="J1727" s="311" t="str">
        <f t="shared" si="1869"/>
        <v/>
      </c>
      <c r="K1727" s="311" t="str">
        <f t="shared" si="1870"/>
        <v/>
      </c>
      <c r="L1727" s="310">
        <f t="shared" si="1871"/>
        <v>9.9</v>
      </c>
      <c r="M1727" s="310" t="str">
        <f t="shared" si="1872"/>
        <v/>
      </c>
      <c r="N1727" s="311" t="str">
        <f t="shared" si="1873"/>
        <v/>
      </c>
    </row>
    <row r="1728" spans="1:14">
      <c r="A1728" s="297" t="s">
        <v>1520</v>
      </c>
      <c r="B1728" s="254"/>
      <c r="C1728" s="299" t="s">
        <v>1492</v>
      </c>
      <c r="D1728" s="299">
        <v>1</v>
      </c>
      <c r="E1728" s="300">
        <v>3</v>
      </c>
      <c r="F1728" s="300">
        <f>E1728*D1728</f>
        <v>3</v>
      </c>
      <c r="G1728" s="302">
        <v>2.5</v>
      </c>
      <c r="H1728" s="310" t="str">
        <f t="shared" si="1867"/>
        <v/>
      </c>
      <c r="I1728" s="311" t="str">
        <f t="shared" si="1868"/>
        <v/>
      </c>
      <c r="J1728" s="311" t="str">
        <f t="shared" si="1869"/>
        <v/>
      </c>
      <c r="K1728" s="311" t="str">
        <f t="shared" si="1870"/>
        <v/>
      </c>
      <c r="L1728" s="310">
        <f t="shared" si="1871"/>
        <v>7.5</v>
      </c>
      <c r="M1728" s="310" t="str">
        <f t="shared" si="1872"/>
        <v/>
      </c>
      <c r="N1728" s="311" t="str">
        <f t="shared" si="1873"/>
        <v/>
      </c>
    </row>
    <row r="1729" spans="1:14">
      <c r="A1729" s="297" t="s">
        <v>1520</v>
      </c>
      <c r="B1729" s="254"/>
      <c r="C1729" s="299" t="s">
        <v>1519</v>
      </c>
      <c r="D1729" s="299">
        <v>1</v>
      </c>
      <c r="E1729" s="300">
        <v>3</v>
      </c>
      <c r="F1729" s="300">
        <f>E1729*D1729</f>
        <v>3</v>
      </c>
      <c r="G1729" s="302">
        <v>2.1</v>
      </c>
      <c r="H1729" s="310" t="str">
        <f t="shared" si="1867"/>
        <v/>
      </c>
      <c r="I1729" s="311" t="str">
        <f t="shared" si="1868"/>
        <v/>
      </c>
      <c r="J1729" s="311">
        <f t="shared" si="1869"/>
        <v>6.3</v>
      </c>
      <c r="K1729" s="311" t="str">
        <f t="shared" si="1870"/>
        <v/>
      </c>
      <c r="L1729" s="310" t="str">
        <f t="shared" si="1871"/>
        <v/>
      </c>
      <c r="M1729" s="310" t="str">
        <f t="shared" si="1872"/>
        <v/>
      </c>
      <c r="N1729" s="311" t="str">
        <f t="shared" si="1873"/>
        <v/>
      </c>
    </row>
    <row r="1730" spans="1:14" ht="16.5">
      <c r="A1730" s="303"/>
      <c r="B1730" s="254"/>
      <c r="C1730" s="299"/>
      <c r="D1730" s="299"/>
      <c r="E1730" s="300"/>
      <c r="F1730" s="300"/>
      <c r="G1730" s="302"/>
      <c r="H1730" s="310"/>
      <c r="I1730" s="311"/>
      <c r="J1730" s="311"/>
      <c r="K1730" s="311"/>
      <c r="L1730" s="310"/>
      <c r="M1730" s="310"/>
      <c r="N1730" s="311"/>
    </row>
    <row r="1731" spans="1:14" ht="16.5">
      <c r="A1731" s="303"/>
      <c r="B1731" s="254"/>
      <c r="C1731" s="299"/>
      <c r="D1731" s="299"/>
      <c r="E1731" s="300"/>
      <c r="F1731" s="300"/>
      <c r="G1731" s="302"/>
      <c r="H1731" s="310"/>
      <c r="I1731" s="311"/>
      <c r="J1731" s="311"/>
      <c r="K1731" s="311"/>
      <c r="L1731" s="310"/>
      <c r="M1731" s="310"/>
      <c r="N1731" s="311"/>
    </row>
    <row r="1732" spans="1:14" ht="16.5">
      <c r="A1732" s="305" t="s">
        <v>1676</v>
      </c>
      <c r="B1732" s="254"/>
      <c r="C1732" s="299"/>
      <c r="D1732" s="299"/>
      <c r="E1732" s="300"/>
      <c r="F1732" s="300"/>
      <c r="G1732" s="302"/>
      <c r="H1732" s="310"/>
      <c r="I1732" s="311"/>
      <c r="J1732" s="311"/>
      <c r="K1732" s="311"/>
      <c r="L1732" s="310"/>
      <c r="M1732" s="310"/>
      <c r="N1732" s="311"/>
    </row>
    <row r="1733" spans="1:14" s="294" customFormat="1">
      <c r="A1733" s="297" t="s">
        <v>1515</v>
      </c>
      <c r="B1733" s="298"/>
      <c r="C1733" s="299" t="s">
        <v>1519</v>
      </c>
      <c r="D1733" s="299">
        <v>1</v>
      </c>
      <c r="E1733" s="300">
        <v>3</v>
      </c>
      <c r="F1733" s="300">
        <f>E1733*D1733</f>
        <v>3</v>
      </c>
      <c r="G1733" s="299">
        <f>(1.75)+17*0.01*2</f>
        <v>2.09</v>
      </c>
      <c r="H1733" s="310" t="str">
        <f t="shared" ref="H1733:H1738" si="1875">IF(C1733="T6",G1733*F1733,"")</f>
        <v/>
      </c>
      <c r="I1733" s="311" t="str">
        <f t="shared" ref="I1733:I1738" si="1876">IF(C1733="T8",F1733*G1733,"")</f>
        <v/>
      </c>
      <c r="J1733" s="311">
        <f t="shared" ref="J1733:J1738" si="1877">IF(C1733="T10",F1733*G1733,"")</f>
        <v>6.27</v>
      </c>
      <c r="K1733" s="311" t="str">
        <f t="shared" ref="K1733:K1738" si="1878">IF(C1733="T12",F1733*G1733,"")</f>
        <v/>
      </c>
      <c r="L1733" s="310" t="str">
        <f t="shared" ref="L1733:L1738" si="1879">IF(C1733="T14",F1733*G1733,"")</f>
        <v/>
      </c>
      <c r="M1733" s="310" t="str">
        <f t="shared" ref="M1733:M1738" si="1880">IF(C1733="T16",G1733*F1733,"")</f>
        <v/>
      </c>
      <c r="N1733" s="311" t="str">
        <f t="shared" ref="N1733:N1738" si="1881">IF(C1733="T20",G1733*F1733,"")</f>
        <v/>
      </c>
    </row>
    <row r="1734" spans="1:14" s="294" customFormat="1">
      <c r="A1734" s="297" t="s">
        <v>1515</v>
      </c>
      <c r="B1734" s="298"/>
      <c r="C1734" s="299" t="s">
        <v>1516</v>
      </c>
      <c r="D1734" s="299">
        <v>1</v>
      </c>
      <c r="E1734" s="300">
        <v>3</v>
      </c>
      <c r="F1734" s="300">
        <f>E1734*D1734</f>
        <v>3</v>
      </c>
      <c r="G1734" s="302">
        <f>(1.75)+17*0.012*2</f>
        <v>2.16</v>
      </c>
      <c r="H1734" s="310" t="str">
        <f t="shared" si="1875"/>
        <v/>
      </c>
      <c r="I1734" s="311" t="str">
        <f t="shared" si="1876"/>
        <v/>
      </c>
      <c r="J1734" s="311" t="str">
        <f t="shared" si="1877"/>
        <v/>
      </c>
      <c r="K1734" s="311">
        <f t="shared" si="1878"/>
        <v>6.48</v>
      </c>
      <c r="L1734" s="310" t="str">
        <f t="shared" si="1879"/>
        <v/>
      </c>
      <c r="M1734" s="310" t="str">
        <f t="shared" si="1880"/>
        <v/>
      </c>
      <c r="N1734" s="311" t="str">
        <f t="shared" si="1881"/>
        <v/>
      </c>
    </row>
    <row r="1735" spans="1:14" s="294" customFormat="1">
      <c r="A1735" s="297" t="s">
        <v>1494</v>
      </c>
      <c r="B1735" s="301"/>
      <c r="C1735" s="299" t="s">
        <v>1496</v>
      </c>
      <c r="D1735" s="299">
        <v>1</v>
      </c>
      <c r="E1735" s="300">
        <f>6+7+6</f>
        <v>19</v>
      </c>
      <c r="F1735" s="300">
        <f t="shared" ref="F1735:F1736" si="1882">E1735*D1735</f>
        <v>19</v>
      </c>
      <c r="G1735" s="302">
        <f>(0.2+0.35)*2+17*0.008*2</f>
        <v>1.37</v>
      </c>
      <c r="H1735" s="310" t="str">
        <f t="shared" si="1875"/>
        <v/>
      </c>
      <c r="I1735" s="311">
        <f t="shared" si="1876"/>
        <v>26.03</v>
      </c>
      <c r="J1735" s="311" t="str">
        <f t="shared" si="1877"/>
        <v/>
      </c>
      <c r="K1735" s="311" t="str">
        <f t="shared" si="1878"/>
        <v/>
      </c>
      <c r="L1735" s="310" t="str">
        <f t="shared" si="1879"/>
        <v/>
      </c>
      <c r="M1735" s="310" t="str">
        <f t="shared" si="1880"/>
        <v/>
      </c>
      <c r="N1735" s="311" t="str">
        <f t="shared" si="1881"/>
        <v/>
      </c>
    </row>
    <row r="1736" spans="1:14" s="294" customFormat="1">
      <c r="A1736" s="297" t="s">
        <v>1517</v>
      </c>
      <c r="B1736" s="301"/>
      <c r="C1736" s="299" t="s">
        <v>1496</v>
      </c>
      <c r="D1736" s="299">
        <v>1</v>
      </c>
      <c r="E1736" s="300">
        <v>19</v>
      </c>
      <c r="F1736" s="300">
        <f t="shared" si="1882"/>
        <v>19</v>
      </c>
      <c r="G1736" s="302">
        <f>(0.35*2)+17*0.008*2</f>
        <v>0.97</v>
      </c>
      <c r="H1736" s="310" t="str">
        <f t="shared" si="1875"/>
        <v/>
      </c>
      <c r="I1736" s="311">
        <f t="shared" si="1876"/>
        <v>18.43</v>
      </c>
      <c r="J1736" s="311" t="str">
        <f t="shared" si="1877"/>
        <v/>
      </c>
      <c r="K1736" s="311" t="str">
        <f t="shared" si="1878"/>
        <v/>
      </c>
      <c r="L1736" s="310" t="str">
        <f t="shared" si="1879"/>
        <v/>
      </c>
      <c r="M1736" s="310" t="str">
        <f t="shared" si="1880"/>
        <v/>
      </c>
      <c r="N1736" s="311" t="str">
        <f t="shared" si="1881"/>
        <v/>
      </c>
    </row>
    <row r="1737" spans="1:14">
      <c r="A1737" s="297" t="s">
        <v>1520</v>
      </c>
      <c r="B1737" s="254"/>
      <c r="C1737" s="299" t="s">
        <v>1492</v>
      </c>
      <c r="D1737" s="299">
        <v>1</v>
      </c>
      <c r="E1737" s="300">
        <v>3</v>
      </c>
      <c r="F1737" s="300">
        <f>E1737*D1737</f>
        <v>3</v>
      </c>
      <c r="G1737" s="302">
        <v>2.5</v>
      </c>
      <c r="H1737" s="310" t="str">
        <f t="shared" si="1875"/>
        <v/>
      </c>
      <c r="I1737" s="311" t="str">
        <f t="shared" si="1876"/>
        <v/>
      </c>
      <c r="J1737" s="311" t="str">
        <f t="shared" si="1877"/>
        <v/>
      </c>
      <c r="K1737" s="311" t="str">
        <f t="shared" si="1878"/>
        <v/>
      </c>
      <c r="L1737" s="310">
        <f t="shared" si="1879"/>
        <v>7.5</v>
      </c>
      <c r="M1737" s="310" t="str">
        <f t="shared" si="1880"/>
        <v/>
      </c>
      <c r="N1737" s="311" t="str">
        <f t="shared" si="1881"/>
        <v/>
      </c>
    </row>
    <row r="1738" spans="1:14">
      <c r="A1738" s="297" t="s">
        <v>1520</v>
      </c>
      <c r="B1738" s="254"/>
      <c r="C1738" s="299" t="s">
        <v>1516</v>
      </c>
      <c r="D1738" s="299">
        <v>1</v>
      </c>
      <c r="E1738" s="300">
        <v>3</v>
      </c>
      <c r="F1738" s="300">
        <f>E1738*D1738</f>
        <v>3</v>
      </c>
      <c r="G1738" s="302">
        <v>1</v>
      </c>
      <c r="H1738" s="310" t="str">
        <f t="shared" si="1875"/>
        <v/>
      </c>
      <c r="I1738" s="311" t="str">
        <f t="shared" si="1876"/>
        <v/>
      </c>
      <c r="J1738" s="311" t="str">
        <f t="shared" si="1877"/>
        <v/>
      </c>
      <c r="K1738" s="311">
        <f t="shared" si="1878"/>
        <v>3</v>
      </c>
      <c r="L1738" s="310" t="str">
        <f t="shared" si="1879"/>
        <v/>
      </c>
      <c r="M1738" s="310" t="str">
        <f t="shared" si="1880"/>
        <v/>
      </c>
      <c r="N1738" s="311" t="str">
        <f t="shared" si="1881"/>
        <v/>
      </c>
    </row>
    <row r="1739" spans="1:14" ht="16.5">
      <c r="A1739" s="303"/>
      <c r="B1739" s="254"/>
      <c r="C1739" s="299"/>
      <c r="D1739" s="299"/>
      <c r="E1739" s="300"/>
      <c r="F1739" s="300"/>
      <c r="G1739" s="302"/>
      <c r="H1739" s="310"/>
      <c r="I1739" s="311"/>
      <c r="J1739" s="311"/>
      <c r="K1739" s="311"/>
      <c r="L1739" s="310"/>
      <c r="M1739" s="310"/>
      <c r="N1739" s="311"/>
    </row>
    <row r="1740" spans="1:14" ht="16.5">
      <c r="A1740" s="303"/>
      <c r="B1740" s="254"/>
      <c r="C1740" s="299"/>
      <c r="D1740" s="299"/>
      <c r="E1740" s="300"/>
      <c r="F1740" s="300"/>
      <c r="G1740" s="302"/>
      <c r="H1740" s="310"/>
      <c r="I1740" s="311"/>
      <c r="J1740" s="311"/>
      <c r="K1740" s="311"/>
      <c r="L1740" s="310"/>
      <c r="M1740" s="310"/>
      <c r="N1740" s="311"/>
    </row>
    <row r="1741" spans="1:14" ht="16.5">
      <c r="A1741" s="303" t="s">
        <v>1415</v>
      </c>
      <c r="B1741" s="254"/>
      <c r="C1741" s="299"/>
      <c r="D1741" s="299"/>
      <c r="E1741" s="300"/>
      <c r="F1741" s="300"/>
      <c r="G1741" s="302"/>
      <c r="H1741" s="310"/>
      <c r="I1741" s="311"/>
      <c r="J1741" s="311"/>
      <c r="K1741" s="311"/>
      <c r="L1741" s="310"/>
      <c r="M1741" s="310"/>
      <c r="N1741" s="311"/>
    </row>
    <row r="1742" spans="1:14" s="294" customFormat="1">
      <c r="A1742" s="297" t="s">
        <v>1515</v>
      </c>
      <c r="B1742" s="298"/>
      <c r="C1742" s="299" t="s">
        <v>1519</v>
      </c>
      <c r="D1742" s="299">
        <v>1</v>
      </c>
      <c r="E1742" s="300">
        <v>3</v>
      </c>
      <c r="F1742" s="300">
        <f>E1742*D1742</f>
        <v>3</v>
      </c>
      <c r="G1742" s="299">
        <f>(5.65)+17*0.01*2</f>
        <v>5.99</v>
      </c>
      <c r="H1742" s="310" t="str">
        <f t="shared" ref="H1742:H1748" si="1883">IF(C1742="T6",G1742*F1742,"")</f>
        <v/>
      </c>
      <c r="I1742" s="311" t="str">
        <f t="shared" ref="I1742:I1748" si="1884">IF(C1742="T8",F1742*G1742,"")</f>
        <v/>
      </c>
      <c r="J1742" s="311">
        <f t="shared" ref="J1742:J1748" si="1885">IF(C1742="T10",F1742*G1742,"")</f>
        <v>17.97</v>
      </c>
      <c r="K1742" s="311" t="str">
        <f t="shared" ref="K1742:K1748" si="1886">IF(C1742="T12",F1742*G1742,"")</f>
        <v/>
      </c>
      <c r="L1742" s="310" t="str">
        <f t="shared" ref="L1742:L1748" si="1887">IF(C1742="T14",F1742*G1742,"")</f>
        <v/>
      </c>
      <c r="M1742" s="310" t="str">
        <f t="shared" ref="M1742:M1748" si="1888">IF(C1742="T16",G1742*F1742,"")</f>
        <v/>
      </c>
      <c r="N1742" s="311" t="str">
        <f t="shared" ref="N1742:N1748" si="1889">IF(C1742="T20",G1742*F1742,"")</f>
        <v/>
      </c>
    </row>
    <row r="1743" spans="1:14" s="294" customFormat="1">
      <c r="A1743" s="297" t="s">
        <v>1515</v>
      </c>
      <c r="B1743" s="298"/>
      <c r="C1743" s="299" t="s">
        <v>1492</v>
      </c>
      <c r="D1743" s="299">
        <v>1</v>
      </c>
      <c r="E1743" s="300">
        <v>3</v>
      </c>
      <c r="F1743" s="300">
        <f>E1743*D1743</f>
        <v>3</v>
      </c>
      <c r="G1743" s="302">
        <f>(5.65)+17*0.014*2</f>
        <v>6.13</v>
      </c>
      <c r="H1743" s="310" t="str">
        <f t="shared" si="1883"/>
        <v/>
      </c>
      <c r="I1743" s="311" t="str">
        <f t="shared" si="1884"/>
        <v/>
      </c>
      <c r="J1743" s="311" t="str">
        <f t="shared" si="1885"/>
        <v/>
      </c>
      <c r="K1743" s="311" t="str">
        <f t="shared" si="1886"/>
        <v/>
      </c>
      <c r="L1743" s="310">
        <f t="shared" si="1887"/>
        <v>18.39</v>
      </c>
      <c r="M1743" s="310" t="str">
        <f t="shared" si="1888"/>
        <v/>
      </c>
      <c r="N1743" s="311" t="str">
        <f t="shared" si="1889"/>
        <v/>
      </c>
    </row>
    <row r="1744" spans="1:14" s="294" customFormat="1">
      <c r="A1744" s="297" t="s">
        <v>1494</v>
      </c>
      <c r="B1744" s="301"/>
      <c r="C1744" s="299" t="s">
        <v>1496</v>
      </c>
      <c r="D1744" s="299">
        <v>1</v>
      </c>
      <c r="E1744" s="300">
        <f>17+13+17</f>
        <v>47</v>
      </c>
      <c r="F1744" s="300">
        <f t="shared" ref="F1744:F1745" si="1890">E1744*D1744</f>
        <v>47</v>
      </c>
      <c r="G1744" s="302">
        <f>(0.2+0.45)*2+17*0.008*2</f>
        <v>1.57</v>
      </c>
      <c r="H1744" s="310" t="str">
        <f t="shared" si="1883"/>
        <v/>
      </c>
      <c r="I1744" s="311">
        <f t="shared" si="1884"/>
        <v>73.790000000000006</v>
      </c>
      <c r="J1744" s="311" t="str">
        <f t="shared" si="1885"/>
        <v/>
      </c>
      <c r="K1744" s="311" t="str">
        <f t="shared" si="1886"/>
        <v/>
      </c>
      <c r="L1744" s="310" t="str">
        <f t="shared" si="1887"/>
        <v/>
      </c>
      <c r="M1744" s="310" t="str">
        <f t="shared" si="1888"/>
        <v/>
      </c>
      <c r="N1744" s="311" t="str">
        <f t="shared" si="1889"/>
        <v/>
      </c>
    </row>
    <row r="1745" spans="1:14" s="294" customFormat="1">
      <c r="A1745" s="297" t="s">
        <v>1517</v>
      </c>
      <c r="B1745" s="301"/>
      <c r="C1745" s="299" t="s">
        <v>1496</v>
      </c>
      <c r="D1745" s="299">
        <v>1</v>
      </c>
      <c r="E1745" s="300">
        <v>47</v>
      </c>
      <c r="F1745" s="300">
        <f t="shared" si="1890"/>
        <v>47</v>
      </c>
      <c r="G1745" s="302">
        <f>(0.45*2)+17*0.008*2</f>
        <v>1.17</v>
      </c>
      <c r="H1745" s="310" t="str">
        <f t="shared" si="1883"/>
        <v/>
      </c>
      <c r="I1745" s="311">
        <f t="shared" si="1884"/>
        <v>54.99</v>
      </c>
      <c r="J1745" s="311" t="str">
        <f t="shared" si="1885"/>
        <v/>
      </c>
      <c r="K1745" s="311" t="str">
        <f t="shared" si="1886"/>
        <v/>
      </c>
      <c r="L1745" s="310" t="str">
        <f t="shared" si="1887"/>
        <v/>
      </c>
      <c r="M1745" s="310" t="str">
        <f t="shared" si="1888"/>
        <v/>
      </c>
      <c r="N1745" s="311" t="str">
        <f t="shared" si="1889"/>
        <v/>
      </c>
    </row>
    <row r="1746" spans="1:14">
      <c r="A1746" s="297" t="s">
        <v>1520</v>
      </c>
      <c r="B1746" s="254"/>
      <c r="C1746" s="299" t="s">
        <v>1516</v>
      </c>
      <c r="D1746" s="299">
        <v>1</v>
      </c>
      <c r="E1746" s="300">
        <v>3</v>
      </c>
      <c r="F1746" s="300">
        <f>E1746*D1746</f>
        <v>3</v>
      </c>
      <c r="G1746" s="302">
        <v>1.5</v>
      </c>
      <c r="H1746" s="310" t="str">
        <f t="shared" si="1883"/>
        <v/>
      </c>
      <c r="I1746" s="311" t="str">
        <f t="shared" si="1884"/>
        <v/>
      </c>
      <c r="J1746" s="311" t="str">
        <f t="shared" si="1885"/>
        <v/>
      </c>
      <c r="K1746" s="311">
        <f t="shared" si="1886"/>
        <v>4.5</v>
      </c>
      <c r="L1746" s="310" t="str">
        <f t="shared" si="1887"/>
        <v/>
      </c>
      <c r="M1746" s="310" t="str">
        <f t="shared" si="1888"/>
        <v/>
      </c>
      <c r="N1746" s="311" t="str">
        <f t="shared" si="1889"/>
        <v/>
      </c>
    </row>
    <row r="1747" spans="1:14">
      <c r="A1747" s="297"/>
      <c r="B1747" s="254"/>
      <c r="C1747" s="299" t="s">
        <v>1492</v>
      </c>
      <c r="D1747" s="299">
        <v>1</v>
      </c>
      <c r="E1747" s="300">
        <v>3</v>
      </c>
      <c r="F1747" s="300">
        <f>E1747*D1747</f>
        <v>3</v>
      </c>
      <c r="G1747" s="302">
        <v>3</v>
      </c>
      <c r="H1747" s="310" t="str">
        <f t="shared" si="1883"/>
        <v/>
      </c>
      <c r="I1747" s="311" t="str">
        <f t="shared" si="1884"/>
        <v/>
      </c>
      <c r="J1747" s="311" t="str">
        <f t="shared" si="1885"/>
        <v/>
      </c>
      <c r="K1747" s="311" t="str">
        <f t="shared" si="1886"/>
        <v/>
      </c>
      <c r="L1747" s="310">
        <f t="shared" si="1887"/>
        <v>9</v>
      </c>
      <c r="M1747" s="310" t="str">
        <f t="shared" si="1888"/>
        <v/>
      </c>
      <c r="N1747" s="311" t="str">
        <f t="shared" si="1889"/>
        <v/>
      </c>
    </row>
    <row r="1748" spans="1:14">
      <c r="A1748" s="297"/>
      <c r="B1748" s="254"/>
      <c r="C1748" s="299" t="s">
        <v>1492</v>
      </c>
      <c r="D1748" s="299">
        <v>1</v>
      </c>
      <c r="E1748" s="300">
        <v>3</v>
      </c>
      <c r="F1748" s="300">
        <f>E1748*D1748</f>
        <v>3</v>
      </c>
      <c r="G1748" s="302">
        <v>6.05</v>
      </c>
      <c r="H1748" s="310" t="str">
        <f t="shared" si="1883"/>
        <v/>
      </c>
      <c r="I1748" s="311" t="str">
        <f t="shared" si="1884"/>
        <v/>
      </c>
      <c r="J1748" s="311" t="str">
        <f t="shared" si="1885"/>
        <v/>
      </c>
      <c r="K1748" s="311" t="str">
        <f t="shared" si="1886"/>
        <v/>
      </c>
      <c r="L1748" s="310">
        <f t="shared" si="1887"/>
        <v>18.149999999999999</v>
      </c>
      <c r="M1748" s="310" t="str">
        <f t="shared" si="1888"/>
        <v/>
      </c>
      <c r="N1748" s="311" t="str">
        <f t="shared" si="1889"/>
        <v/>
      </c>
    </row>
    <row r="1749" spans="1:14" ht="16.5">
      <c r="A1749" s="303"/>
      <c r="B1749" s="254"/>
      <c r="C1749" s="299"/>
      <c r="D1749" s="299"/>
      <c r="E1749" s="300"/>
      <c r="F1749" s="300"/>
      <c r="G1749" s="302"/>
      <c r="H1749" s="310"/>
      <c r="I1749" s="311"/>
      <c r="J1749" s="311"/>
      <c r="K1749" s="311"/>
      <c r="L1749" s="310"/>
      <c r="M1749" s="310"/>
      <c r="N1749" s="311"/>
    </row>
    <row r="1750" spans="1:14" ht="16.5">
      <c r="A1750" s="303" t="s">
        <v>1416</v>
      </c>
      <c r="B1750" s="254"/>
      <c r="C1750" s="299"/>
      <c r="D1750" s="299"/>
      <c r="E1750" s="300"/>
      <c r="F1750" s="300"/>
      <c r="G1750" s="302"/>
      <c r="H1750" s="310"/>
      <c r="I1750" s="311"/>
      <c r="J1750" s="311"/>
      <c r="K1750" s="311"/>
      <c r="L1750" s="310"/>
      <c r="M1750" s="310"/>
      <c r="N1750" s="311"/>
    </row>
    <row r="1751" spans="1:14" s="294" customFormat="1">
      <c r="A1751" s="297" t="s">
        <v>1515</v>
      </c>
      <c r="B1751" s="298"/>
      <c r="C1751" s="299" t="s">
        <v>1519</v>
      </c>
      <c r="D1751" s="299">
        <v>1</v>
      </c>
      <c r="E1751" s="300">
        <v>3</v>
      </c>
      <c r="F1751" s="300">
        <f>E1751*D1751</f>
        <v>3</v>
      </c>
      <c r="G1751" s="299">
        <f>(5.5)+17*0.01*2</f>
        <v>5.84</v>
      </c>
      <c r="H1751" s="310" t="str">
        <f t="shared" ref="H1751:H1758" si="1891">IF(C1751="T6",G1751*F1751,"")</f>
        <v/>
      </c>
      <c r="I1751" s="311" t="str">
        <f t="shared" ref="I1751:I1758" si="1892">IF(C1751="T8",F1751*G1751,"")</f>
        <v/>
      </c>
      <c r="J1751" s="311">
        <f t="shared" ref="J1751:J1758" si="1893">IF(C1751="T10",F1751*G1751,"")</f>
        <v>17.52</v>
      </c>
      <c r="K1751" s="311" t="str">
        <f t="shared" ref="K1751:K1758" si="1894">IF(C1751="T12",F1751*G1751,"")</f>
        <v/>
      </c>
      <c r="L1751" s="310" t="str">
        <f t="shared" ref="L1751:L1758" si="1895">IF(C1751="T14",F1751*G1751,"")</f>
        <v/>
      </c>
      <c r="M1751" s="310" t="str">
        <f t="shared" ref="M1751:M1758" si="1896">IF(C1751="T16",G1751*F1751,"")</f>
        <v/>
      </c>
      <c r="N1751" s="311" t="str">
        <f t="shared" ref="N1751:N1758" si="1897">IF(C1751="T20",G1751*F1751,"")</f>
        <v/>
      </c>
    </row>
    <row r="1752" spans="1:14" s="294" customFormat="1">
      <c r="A1752" s="297" t="s">
        <v>1515</v>
      </c>
      <c r="B1752" s="298"/>
      <c r="C1752" s="299" t="s">
        <v>1492</v>
      </c>
      <c r="D1752" s="299">
        <v>1</v>
      </c>
      <c r="E1752" s="300">
        <v>3</v>
      </c>
      <c r="F1752" s="300">
        <f>E1752*D1752</f>
        <v>3</v>
      </c>
      <c r="G1752" s="302">
        <f>(5.5)+17*0.014*2</f>
        <v>5.98</v>
      </c>
      <c r="H1752" s="310" t="str">
        <f t="shared" si="1891"/>
        <v/>
      </c>
      <c r="I1752" s="311" t="str">
        <f t="shared" si="1892"/>
        <v/>
      </c>
      <c r="J1752" s="311" t="str">
        <f t="shared" si="1893"/>
        <v/>
      </c>
      <c r="K1752" s="311" t="str">
        <f t="shared" si="1894"/>
        <v/>
      </c>
      <c r="L1752" s="310">
        <f t="shared" si="1895"/>
        <v>17.940000000000001</v>
      </c>
      <c r="M1752" s="310" t="str">
        <f t="shared" si="1896"/>
        <v/>
      </c>
      <c r="N1752" s="311" t="str">
        <f t="shared" si="1897"/>
        <v/>
      </c>
    </row>
    <row r="1753" spans="1:14" s="294" customFormat="1">
      <c r="A1753" s="297"/>
      <c r="B1753" s="298"/>
      <c r="C1753" s="299" t="s">
        <v>1519</v>
      </c>
      <c r="D1753" s="299">
        <v>1</v>
      </c>
      <c r="E1753" s="300">
        <v>3</v>
      </c>
      <c r="F1753" s="300">
        <f>E1753*D1753</f>
        <v>3</v>
      </c>
      <c r="G1753" s="302">
        <v>5.8</v>
      </c>
      <c r="H1753" s="310" t="str">
        <f t="shared" ref="H1753" si="1898">IF(C1753="T6",G1753*F1753,"")</f>
        <v/>
      </c>
      <c r="I1753" s="311" t="str">
        <f t="shared" ref="I1753" si="1899">IF(C1753="T8",F1753*G1753,"")</f>
        <v/>
      </c>
      <c r="J1753" s="311">
        <f t="shared" ref="J1753" si="1900">IF(C1753="T10",F1753*G1753,"")</f>
        <v>17.399999999999999</v>
      </c>
      <c r="K1753" s="311" t="str">
        <f t="shared" ref="K1753" si="1901">IF(C1753="T12",F1753*G1753,"")</f>
        <v/>
      </c>
      <c r="L1753" s="310" t="str">
        <f t="shared" ref="L1753" si="1902">IF(C1753="T14",F1753*G1753,"")</f>
        <v/>
      </c>
      <c r="M1753" s="310" t="str">
        <f t="shared" ref="M1753" si="1903">IF(C1753="T16",G1753*F1753,"")</f>
        <v/>
      </c>
      <c r="N1753" s="311" t="str">
        <f t="shared" ref="N1753" si="1904">IF(C1753="T20",G1753*F1753,"")</f>
        <v/>
      </c>
    </row>
    <row r="1754" spans="1:14" s="294" customFormat="1">
      <c r="A1754" s="297" t="s">
        <v>1494</v>
      </c>
      <c r="B1754" s="301"/>
      <c r="C1754" s="299" t="s">
        <v>1496</v>
      </c>
      <c r="D1754" s="299">
        <v>1</v>
      </c>
      <c r="E1754" s="300">
        <f>16+15+16</f>
        <v>47</v>
      </c>
      <c r="F1754" s="300">
        <f t="shared" ref="F1754:F1755" si="1905">E1754*D1754</f>
        <v>47</v>
      </c>
      <c r="G1754" s="302">
        <f>(0.2+0.55)*2+17*0.008*2</f>
        <v>1.77</v>
      </c>
      <c r="H1754" s="310" t="str">
        <f t="shared" si="1891"/>
        <v/>
      </c>
      <c r="I1754" s="311">
        <f t="shared" si="1892"/>
        <v>83.19</v>
      </c>
      <c r="J1754" s="311" t="str">
        <f t="shared" si="1893"/>
        <v/>
      </c>
      <c r="K1754" s="311" t="str">
        <f t="shared" si="1894"/>
        <v/>
      </c>
      <c r="L1754" s="310" t="str">
        <f t="shared" si="1895"/>
        <v/>
      </c>
      <c r="M1754" s="310" t="str">
        <f t="shared" si="1896"/>
        <v/>
      </c>
      <c r="N1754" s="311" t="str">
        <f t="shared" si="1897"/>
        <v/>
      </c>
    </row>
    <row r="1755" spans="1:14" s="294" customFormat="1">
      <c r="A1755" s="297" t="s">
        <v>1517</v>
      </c>
      <c r="B1755" s="301"/>
      <c r="C1755" s="299" t="s">
        <v>1496</v>
      </c>
      <c r="D1755" s="299">
        <v>1</v>
      </c>
      <c r="E1755" s="300">
        <v>47</v>
      </c>
      <c r="F1755" s="300">
        <f t="shared" si="1905"/>
        <v>47</v>
      </c>
      <c r="G1755" s="302">
        <f>(0.55*2)+17*0.008*2</f>
        <v>1.37</v>
      </c>
      <c r="H1755" s="310" t="str">
        <f t="shared" si="1891"/>
        <v/>
      </c>
      <c r="I1755" s="311">
        <f t="shared" si="1892"/>
        <v>64.39</v>
      </c>
      <c r="J1755" s="311" t="str">
        <f t="shared" si="1893"/>
        <v/>
      </c>
      <c r="K1755" s="311" t="str">
        <f t="shared" si="1894"/>
        <v/>
      </c>
      <c r="L1755" s="310" t="str">
        <f t="shared" si="1895"/>
        <v/>
      </c>
      <c r="M1755" s="310" t="str">
        <f t="shared" si="1896"/>
        <v/>
      </c>
      <c r="N1755" s="311" t="str">
        <f t="shared" si="1897"/>
        <v/>
      </c>
    </row>
    <row r="1756" spans="1:14">
      <c r="A1756" s="297" t="s">
        <v>1520</v>
      </c>
      <c r="B1756" s="254"/>
      <c r="C1756" s="299" t="s">
        <v>1492</v>
      </c>
      <c r="D1756" s="299">
        <v>1</v>
      </c>
      <c r="E1756" s="300">
        <v>3</v>
      </c>
      <c r="F1756" s="300">
        <f>E1756*D1756</f>
        <v>3</v>
      </c>
      <c r="G1756" s="302">
        <v>2.8</v>
      </c>
      <c r="H1756" s="310" t="str">
        <f t="shared" si="1891"/>
        <v/>
      </c>
      <c r="I1756" s="311" t="str">
        <f t="shared" si="1892"/>
        <v/>
      </c>
      <c r="J1756" s="311" t="str">
        <f t="shared" si="1893"/>
        <v/>
      </c>
      <c r="K1756" s="311" t="str">
        <f t="shared" si="1894"/>
        <v/>
      </c>
      <c r="L1756" s="310">
        <f t="shared" si="1895"/>
        <v>8.4</v>
      </c>
      <c r="M1756" s="310" t="str">
        <f t="shared" si="1896"/>
        <v/>
      </c>
      <c r="N1756" s="311" t="str">
        <f t="shared" si="1897"/>
        <v/>
      </c>
    </row>
    <row r="1757" spans="1:14">
      <c r="A1757" s="297"/>
      <c r="B1757" s="254"/>
      <c r="C1757" s="299" t="s">
        <v>1492</v>
      </c>
      <c r="D1757" s="299">
        <v>1</v>
      </c>
      <c r="E1757" s="300">
        <v>3</v>
      </c>
      <c r="F1757" s="300">
        <f>E1757*D1757</f>
        <v>3</v>
      </c>
      <c r="G1757" s="302">
        <v>3.1</v>
      </c>
      <c r="H1757" s="310" t="str">
        <f t="shared" si="1891"/>
        <v/>
      </c>
      <c r="I1757" s="311" t="str">
        <f t="shared" si="1892"/>
        <v/>
      </c>
      <c r="J1757" s="311" t="str">
        <f t="shared" si="1893"/>
        <v/>
      </c>
      <c r="K1757" s="311" t="str">
        <f t="shared" si="1894"/>
        <v/>
      </c>
      <c r="L1757" s="310">
        <f t="shared" si="1895"/>
        <v>9.3000000000000007</v>
      </c>
      <c r="M1757" s="310" t="str">
        <f t="shared" si="1896"/>
        <v/>
      </c>
      <c r="N1757" s="311" t="str">
        <f t="shared" si="1897"/>
        <v/>
      </c>
    </row>
    <row r="1758" spans="1:14">
      <c r="A1758" s="297"/>
      <c r="B1758" s="254"/>
      <c r="C1758" s="299" t="s">
        <v>1516</v>
      </c>
      <c r="D1758" s="299">
        <v>1</v>
      </c>
      <c r="E1758" s="300">
        <v>3</v>
      </c>
      <c r="F1758" s="300">
        <f>E1758*D1758</f>
        <v>3</v>
      </c>
      <c r="G1758" s="302">
        <v>5.0999999999999996</v>
      </c>
      <c r="H1758" s="310" t="str">
        <f t="shared" si="1891"/>
        <v/>
      </c>
      <c r="I1758" s="311" t="str">
        <f t="shared" si="1892"/>
        <v/>
      </c>
      <c r="J1758" s="311" t="str">
        <f t="shared" si="1893"/>
        <v/>
      </c>
      <c r="K1758" s="311">
        <f t="shared" si="1894"/>
        <v>15.3</v>
      </c>
      <c r="L1758" s="310" t="str">
        <f t="shared" si="1895"/>
        <v/>
      </c>
      <c r="M1758" s="310" t="str">
        <f t="shared" si="1896"/>
        <v/>
      </c>
      <c r="N1758" s="311" t="str">
        <f t="shared" si="1897"/>
        <v/>
      </c>
    </row>
    <row r="1759" spans="1:14">
      <c r="A1759" s="297"/>
      <c r="B1759" s="254"/>
      <c r="C1759" s="299"/>
      <c r="D1759" s="299"/>
      <c r="E1759" s="300"/>
      <c r="F1759" s="300"/>
      <c r="G1759" s="302"/>
      <c r="H1759" s="310"/>
      <c r="I1759" s="311"/>
      <c r="J1759" s="311"/>
      <c r="K1759" s="311"/>
      <c r="L1759" s="310"/>
      <c r="M1759" s="310"/>
      <c r="N1759" s="311"/>
    </row>
    <row r="1760" spans="1:14" ht="16.5">
      <c r="A1760" s="303" t="s">
        <v>1417</v>
      </c>
      <c r="B1760" s="254"/>
      <c r="C1760" s="299"/>
      <c r="D1760" s="299"/>
      <c r="E1760" s="300"/>
      <c r="F1760" s="300"/>
      <c r="G1760" s="302"/>
      <c r="H1760" s="310"/>
      <c r="I1760" s="311"/>
      <c r="J1760" s="311"/>
      <c r="K1760" s="311"/>
      <c r="L1760" s="310"/>
      <c r="M1760" s="310"/>
      <c r="N1760" s="311"/>
    </row>
    <row r="1761" spans="1:14" s="294" customFormat="1">
      <c r="A1761" s="297" t="s">
        <v>1515</v>
      </c>
      <c r="B1761" s="298"/>
      <c r="C1761" s="299" t="s">
        <v>1519</v>
      </c>
      <c r="D1761" s="299">
        <v>1</v>
      </c>
      <c r="E1761" s="300">
        <v>3</v>
      </c>
      <c r="F1761" s="300">
        <f>E1761*D1761</f>
        <v>3</v>
      </c>
      <c r="G1761" s="299">
        <f>(2.8)+17*0.01*2</f>
        <v>3.14</v>
      </c>
      <c r="H1761" s="310" t="str">
        <f t="shared" ref="H1761:H1767" si="1906">IF(C1761="T6",G1761*F1761,"")</f>
        <v/>
      </c>
      <c r="I1761" s="311" t="str">
        <f t="shared" ref="I1761:I1767" si="1907">IF(C1761="T8",F1761*G1761,"")</f>
        <v/>
      </c>
      <c r="J1761" s="311">
        <f t="shared" ref="J1761:J1767" si="1908">IF(C1761="T10",F1761*G1761,"")</f>
        <v>9.42</v>
      </c>
      <c r="K1761" s="311" t="str">
        <f t="shared" ref="K1761:K1767" si="1909">IF(C1761="T12",F1761*G1761,"")</f>
        <v/>
      </c>
      <c r="L1761" s="310" t="str">
        <f t="shared" ref="L1761:L1767" si="1910">IF(C1761="T14",F1761*G1761,"")</f>
        <v/>
      </c>
      <c r="M1761" s="310" t="str">
        <f t="shared" ref="M1761:M1767" si="1911">IF(C1761="T16",G1761*F1761,"")</f>
        <v/>
      </c>
      <c r="N1761" s="311" t="str">
        <f t="shared" ref="N1761:N1767" si="1912">IF(C1761="T20",G1761*F1761,"")</f>
        <v/>
      </c>
    </row>
    <row r="1762" spans="1:14" s="294" customFormat="1">
      <c r="A1762" s="297" t="s">
        <v>1515</v>
      </c>
      <c r="B1762" s="298"/>
      <c r="C1762" s="299" t="s">
        <v>1516</v>
      </c>
      <c r="D1762" s="299">
        <v>1</v>
      </c>
      <c r="E1762" s="300">
        <v>3</v>
      </c>
      <c r="F1762" s="300">
        <f>E1762*D1762</f>
        <v>3</v>
      </c>
      <c r="G1762" s="302">
        <f>(2.8)+17*0.014*2</f>
        <v>3.28</v>
      </c>
      <c r="H1762" s="310" t="str">
        <f t="shared" si="1906"/>
        <v/>
      </c>
      <c r="I1762" s="311" t="str">
        <f t="shared" si="1907"/>
        <v/>
      </c>
      <c r="J1762" s="311" t="str">
        <f t="shared" si="1908"/>
        <v/>
      </c>
      <c r="K1762" s="311">
        <f t="shared" si="1909"/>
        <v>9.84</v>
      </c>
      <c r="L1762" s="310" t="str">
        <f t="shared" si="1910"/>
        <v/>
      </c>
      <c r="M1762" s="310" t="str">
        <f t="shared" si="1911"/>
        <v/>
      </c>
      <c r="N1762" s="311" t="str">
        <f t="shared" si="1912"/>
        <v/>
      </c>
    </row>
    <row r="1763" spans="1:14" s="294" customFormat="1">
      <c r="A1763" s="297" t="s">
        <v>1494</v>
      </c>
      <c r="B1763" s="301"/>
      <c r="C1763" s="299" t="s">
        <v>1496</v>
      </c>
      <c r="D1763" s="299">
        <v>1</v>
      </c>
      <c r="E1763" s="300">
        <f>9+11+9</f>
        <v>29</v>
      </c>
      <c r="F1763" s="300">
        <f t="shared" ref="F1763:F1764" si="1913">E1763*D1763</f>
        <v>29</v>
      </c>
      <c r="G1763" s="302">
        <f>(0.2+0.3)*2+17*0.008*2</f>
        <v>1.27</v>
      </c>
      <c r="H1763" s="310" t="str">
        <f t="shared" si="1906"/>
        <v/>
      </c>
      <c r="I1763" s="311">
        <f t="shared" si="1907"/>
        <v>36.83</v>
      </c>
      <c r="J1763" s="311" t="str">
        <f t="shared" si="1908"/>
        <v/>
      </c>
      <c r="K1763" s="311" t="str">
        <f t="shared" si="1909"/>
        <v/>
      </c>
      <c r="L1763" s="310" t="str">
        <f t="shared" si="1910"/>
        <v/>
      </c>
      <c r="M1763" s="310" t="str">
        <f t="shared" si="1911"/>
        <v/>
      </c>
      <c r="N1763" s="311" t="str">
        <f t="shared" si="1912"/>
        <v/>
      </c>
    </row>
    <row r="1764" spans="1:14" s="294" customFormat="1">
      <c r="A1764" s="297" t="s">
        <v>1517</v>
      </c>
      <c r="B1764" s="301"/>
      <c r="C1764" s="299" t="s">
        <v>1496</v>
      </c>
      <c r="D1764" s="299">
        <v>1</v>
      </c>
      <c r="E1764" s="300">
        <v>29</v>
      </c>
      <c r="F1764" s="300">
        <f t="shared" si="1913"/>
        <v>29</v>
      </c>
      <c r="G1764" s="302">
        <f>(0.3*2)+17*0.008*2</f>
        <v>0.87</v>
      </c>
      <c r="H1764" s="310" t="str">
        <f t="shared" si="1906"/>
        <v/>
      </c>
      <c r="I1764" s="311">
        <f t="shared" si="1907"/>
        <v>25.23</v>
      </c>
      <c r="J1764" s="311" t="str">
        <f t="shared" si="1908"/>
        <v/>
      </c>
      <c r="K1764" s="311" t="str">
        <f t="shared" si="1909"/>
        <v/>
      </c>
      <c r="L1764" s="310" t="str">
        <f t="shared" si="1910"/>
        <v/>
      </c>
      <c r="M1764" s="310" t="str">
        <f t="shared" si="1911"/>
        <v/>
      </c>
      <c r="N1764" s="311" t="str">
        <f t="shared" si="1912"/>
        <v/>
      </c>
    </row>
    <row r="1765" spans="1:14">
      <c r="A1765" s="297" t="s">
        <v>1520</v>
      </c>
      <c r="B1765" s="254"/>
      <c r="C1765" s="299" t="s">
        <v>1519</v>
      </c>
      <c r="D1765" s="299">
        <v>1</v>
      </c>
      <c r="E1765" s="300">
        <v>3</v>
      </c>
      <c r="F1765" s="300">
        <f>E1765*D1765</f>
        <v>3</v>
      </c>
      <c r="G1765" s="302">
        <v>2.4</v>
      </c>
      <c r="H1765" s="310" t="str">
        <f t="shared" si="1906"/>
        <v/>
      </c>
      <c r="I1765" s="311" t="str">
        <f t="shared" si="1907"/>
        <v/>
      </c>
      <c r="J1765" s="311">
        <f t="shared" si="1908"/>
        <v>7.2</v>
      </c>
      <c r="K1765" s="311" t="str">
        <f t="shared" si="1909"/>
        <v/>
      </c>
      <c r="L1765" s="310" t="str">
        <f t="shared" si="1910"/>
        <v/>
      </c>
      <c r="M1765" s="310" t="str">
        <f t="shared" si="1911"/>
        <v/>
      </c>
      <c r="N1765" s="311" t="str">
        <f t="shared" si="1912"/>
        <v/>
      </c>
    </row>
    <row r="1766" spans="1:14">
      <c r="A1766" s="297"/>
      <c r="B1766" s="254"/>
      <c r="C1766" s="299" t="s">
        <v>1492</v>
      </c>
      <c r="D1766" s="299">
        <v>1</v>
      </c>
      <c r="E1766" s="300">
        <v>3</v>
      </c>
      <c r="F1766" s="300">
        <f>E1766*D1766</f>
        <v>3</v>
      </c>
      <c r="G1766" s="302">
        <v>3.1</v>
      </c>
      <c r="H1766" s="310" t="str">
        <f t="shared" si="1906"/>
        <v/>
      </c>
      <c r="I1766" s="311" t="str">
        <f t="shared" si="1907"/>
        <v/>
      </c>
      <c r="J1766" s="311" t="str">
        <f t="shared" si="1908"/>
        <v/>
      </c>
      <c r="K1766" s="311" t="str">
        <f t="shared" si="1909"/>
        <v/>
      </c>
      <c r="L1766" s="310">
        <f t="shared" si="1910"/>
        <v>9.3000000000000007</v>
      </c>
      <c r="M1766" s="310" t="str">
        <f t="shared" si="1911"/>
        <v/>
      </c>
      <c r="N1766" s="311" t="str">
        <f t="shared" si="1912"/>
        <v/>
      </c>
    </row>
    <row r="1767" spans="1:14">
      <c r="A1767" s="297"/>
      <c r="B1767" s="254"/>
      <c r="C1767" s="299" t="s">
        <v>1492</v>
      </c>
      <c r="D1767" s="299">
        <v>1</v>
      </c>
      <c r="E1767" s="300">
        <v>3</v>
      </c>
      <c r="F1767" s="300">
        <f>E1767*D1767</f>
        <v>3</v>
      </c>
      <c r="G1767" s="302">
        <v>2.5</v>
      </c>
      <c r="H1767" s="310" t="str">
        <f t="shared" si="1906"/>
        <v/>
      </c>
      <c r="I1767" s="311" t="str">
        <f t="shared" si="1907"/>
        <v/>
      </c>
      <c r="J1767" s="311" t="str">
        <f t="shared" si="1908"/>
        <v/>
      </c>
      <c r="K1767" s="311" t="str">
        <f t="shared" si="1909"/>
        <v/>
      </c>
      <c r="L1767" s="310">
        <f t="shared" si="1910"/>
        <v>7.5</v>
      </c>
      <c r="M1767" s="310" t="str">
        <f t="shared" si="1911"/>
        <v/>
      </c>
      <c r="N1767" s="311" t="str">
        <f t="shared" si="1912"/>
        <v/>
      </c>
    </row>
    <row r="1768" spans="1:14" ht="16.5">
      <c r="A1768" s="303"/>
      <c r="B1768" s="254"/>
      <c r="C1768" s="299"/>
      <c r="D1768" s="299"/>
      <c r="E1768" s="300"/>
      <c r="F1768" s="300"/>
      <c r="G1768" s="302"/>
      <c r="H1768" s="310"/>
      <c r="I1768" s="311"/>
      <c r="J1768" s="311"/>
      <c r="K1768" s="311"/>
      <c r="L1768" s="310"/>
      <c r="M1768" s="310"/>
      <c r="N1768" s="311"/>
    </row>
    <row r="1769" spans="1:14" ht="16.5">
      <c r="A1769" s="303" t="s">
        <v>1418</v>
      </c>
      <c r="B1769" s="254"/>
      <c r="C1769" s="299"/>
      <c r="D1769" s="299"/>
      <c r="E1769" s="300"/>
      <c r="F1769" s="300"/>
      <c r="G1769" s="302"/>
      <c r="H1769" s="310"/>
      <c r="I1769" s="311"/>
      <c r="J1769" s="311"/>
      <c r="K1769" s="311"/>
      <c r="L1769" s="310"/>
      <c r="M1769" s="310"/>
      <c r="N1769" s="311"/>
    </row>
    <row r="1770" spans="1:14" s="294" customFormat="1">
      <c r="A1770" s="297" t="s">
        <v>1515</v>
      </c>
      <c r="B1770" s="298"/>
      <c r="C1770" s="299" t="s">
        <v>1519</v>
      </c>
      <c r="D1770" s="299">
        <v>1</v>
      </c>
      <c r="E1770" s="300">
        <v>3</v>
      </c>
      <c r="F1770" s="300">
        <f>E1770*D1770</f>
        <v>3</v>
      </c>
      <c r="G1770" s="299">
        <f>(2.8)+17*0.01*2</f>
        <v>3.14</v>
      </c>
      <c r="H1770" s="310" t="str">
        <f t="shared" ref="H1770:H1776" si="1914">IF(C1770="T6",G1770*F1770,"")</f>
        <v/>
      </c>
      <c r="I1770" s="311" t="str">
        <f t="shared" ref="I1770:I1776" si="1915">IF(C1770="T8",F1770*G1770,"")</f>
        <v/>
      </c>
      <c r="J1770" s="311">
        <f t="shared" ref="J1770:J1776" si="1916">IF(C1770="T10",F1770*G1770,"")</f>
        <v>9.42</v>
      </c>
      <c r="K1770" s="311" t="str">
        <f t="shared" ref="K1770:K1776" si="1917">IF(C1770="T12",F1770*G1770,"")</f>
        <v/>
      </c>
      <c r="L1770" s="310" t="str">
        <f t="shared" ref="L1770:L1776" si="1918">IF(C1770="T14",F1770*G1770,"")</f>
        <v/>
      </c>
      <c r="M1770" s="310" t="str">
        <f t="shared" ref="M1770:M1776" si="1919">IF(C1770="T16",G1770*F1770,"")</f>
        <v/>
      </c>
      <c r="N1770" s="311" t="str">
        <f t="shared" ref="N1770:N1776" si="1920">IF(C1770="T20",G1770*F1770,"")</f>
        <v/>
      </c>
    </row>
    <row r="1771" spans="1:14" s="294" customFormat="1">
      <c r="A1771" s="297" t="s">
        <v>1515</v>
      </c>
      <c r="B1771" s="298"/>
      <c r="C1771" s="299" t="s">
        <v>1516</v>
      </c>
      <c r="D1771" s="299">
        <v>1</v>
      </c>
      <c r="E1771" s="300">
        <v>3</v>
      </c>
      <c r="F1771" s="300">
        <f>E1771*D1771</f>
        <v>3</v>
      </c>
      <c r="G1771" s="302">
        <f>(2.8)+17*0.014*2</f>
        <v>3.28</v>
      </c>
      <c r="H1771" s="310" t="str">
        <f t="shared" si="1914"/>
        <v/>
      </c>
      <c r="I1771" s="311" t="str">
        <f t="shared" si="1915"/>
        <v/>
      </c>
      <c r="J1771" s="311" t="str">
        <f t="shared" si="1916"/>
        <v/>
      </c>
      <c r="K1771" s="311">
        <f t="shared" si="1917"/>
        <v>9.84</v>
      </c>
      <c r="L1771" s="310" t="str">
        <f t="shared" si="1918"/>
        <v/>
      </c>
      <c r="M1771" s="310" t="str">
        <f t="shared" si="1919"/>
        <v/>
      </c>
      <c r="N1771" s="311" t="str">
        <f t="shared" si="1920"/>
        <v/>
      </c>
    </row>
    <row r="1772" spans="1:14" s="294" customFormat="1">
      <c r="A1772" s="297" t="s">
        <v>1494</v>
      </c>
      <c r="B1772" s="301"/>
      <c r="C1772" s="299" t="s">
        <v>1496</v>
      </c>
      <c r="D1772" s="299">
        <v>1</v>
      </c>
      <c r="E1772" s="300">
        <f>9+11+9</f>
        <v>29</v>
      </c>
      <c r="F1772" s="300">
        <f t="shared" ref="F1772:F1773" si="1921">E1772*D1772</f>
        <v>29</v>
      </c>
      <c r="G1772" s="302">
        <f>(0.2+0.3)*2+17*0.008*2</f>
        <v>1.27</v>
      </c>
      <c r="H1772" s="310" t="str">
        <f t="shared" si="1914"/>
        <v/>
      </c>
      <c r="I1772" s="311">
        <f t="shared" si="1915"/>
        <v>36.83</v>
      </c>
      <c r="J1772" s="311" t="str">
        <f t="shared" si="1916"/>
        <v/>
      </c>
      <c r="K1772" s="311" t="str">
        <f t="shared" si="1917"/>
        <v/>
      </c>
      <c r="L1772" s="310" t="str">
        <f t="shared" si="1918"/>
        <v/>
      </c>
      <c r="M1772" s="310" t="str">
        <f t="shared" si="1919"/>
        <v/>
      </c>
      <c r="N1772" s="311" t="str">
        <f t="shared" si="1920"/>
        <v/>
      </c>
    </row>
    <row r="1773" spans="1:14" s="294" customFormat="1">
      <c r="A1773" s="297" t="s">
        <v>1517</v>
      </c>
      <c r="B1773" s="301"/>
      <c r="C1773" s="299" t="s">
        <v>1496</v>
      </c>
      <c r="D1773" s="299">
        <v>1</v>
      </c>
      <c r="E1773" s="300">
        <v>29</v>
      </c>
      <c r="F1773" s="300">
        <f t="shared" si="1921"/>
        <v>29</v>
      </c>
      <c r="G1773" s="302">
        <f>(0.3*2)+17*0.008*2</f>
        <v>0.87</v>
      </c>
      <c r="H1773" s="310" t="str">
        <f t="shared" si="1914"/>
        <v/>
      </c>
      <c r="I1773" s="311">
        <f t="shared" si="1915"/>
        <v>25.23</v>
      </c>
      <c r="J1773" s="311" t="str">
        <f t="shared" si="1916"/>
        <v/>
      </c>
      <c r="K1773" s="311" t="str">
        <f t="shared" si="1917"/>
        <v/>
      </c>
      <c r="L1773" s="310" t="str">
        <f t="shared" si="1918"/>
        <v/>
      </c>
      <c r="M1773" s="310" t="str">
        <f t="shared" si="1919"/>
        <v/>
      </c>
      <c r="N1773" s="311" t="str">
        <f t="shared" si="1920"/>
        <v/>
      </c>
    </row>
    <row r="1774" spans="1:14">
      <c r="A1774" s="297" t="s">
        <v>1520</v>
      </c>
      <c r="B1774" s="254"/>
      <c r="C1774" s="299" t="s">
        <v>1519</v>
      </c>
      <c r="D1774" s="299">
        <v>1</v>
      </c>
      <c r="E1774" s="300">
        <v>3</v>
      </c>
      <c r="F1774" s="300">
        <f>E1774*D1774</f>
        <v>3</v>
      </c>
      <c r="G1774" s="302">
        <v>2.4</v>
      </c>
      <c r="H1774" s="310" t="str">
        <f t="shared" si="1914"/>
        <v/>
      </c>
      <c r="I1774" s="311" t="str">
        <f t="shared" si="1915"/>
        <v/>
      </c>
      <c r="J1774" s="311">
        <f t="shared" si="1916"/>
        <v>7.2</v>
      </c>
      <c r="K1774" s="311" t="str">
        <f t="shared" si="1917"/>
        <v/>
      </c>
      <c r="L1774" s="310" t="str">
        <f t="shared" si="1918"/>
        <v/>
      </c>
      <c r="M1774" s="310" t="str">
        <f t="shared" si="1919"/>
        <v/>
      </c>
      <c r="N1774" s="311" t="str">
        <f t="shared" si="1920"/>
        <v/>
      </c>
    </row>
    <row r="1775" spans="1:14">
      <c r="A1775" s="297"/>
      <c r="B1775" s="254"/>
      <c r="C1775" s="299" t="s">
        <v>1492</v>
      </c>
      <c r="D1775" s="299">
        <v>1</v>
      </c>
      <c r="E1775" s="300">
        <v>3</v>
      </c>
      <c r="F1775" s="300">
        <f>E1775*D1775</f>
        <v>3</v>
      </c>
      <c r="G1775" s="302">
        <v>3.1</v>
      </c>
      <c r="H1775" s="310" t="str">
        <f t="shared" si="1914"/>
        <v/>
      </c>
      <c r="I1775" s="311" t="str">
        <f t="shared" si="1915"/>
        <v/>
      </c>
      <c r="J1775" s="311" t="str">
        <f t="shared" si="1916"/>
        <v/>
      </c>
      <c r="K1775" s="311" t="str">
        <f t="shared" si="1917"/>
        <v/>
      </c>
      <c r="L1775" s="310">
        <f t="shared" si="1918"/>
        <v>9.3000000000000007</v>
      </c>
      <c r="M1775" s="310" t="str">
        <f t="shared" si="1919"/>
        <v/>
      </c>
      <c r="N1775" s="311" t="str">
        <f t="shared" si="1920"/>
        <v/>
      </c>
    </row>
    <row r="1776" spans="1:14">
      <c r="A1776" s="297"/>
      <c r="B1776" s="254"/>
      <c r="C1776" s="299" t="s">
        <v>1492</v>
      </c>
      <c r="D1776" s="299">
        <v>1</v>
      </c>
      <c r="E1776" s="300">
        <v>3</v>
      </c>
      <c r="F1776" s="300">
        <f>E1776*D1776</f>
        <v>3</v>
      </c>
      <c r="G1776" s="302">
        <v>2.5</v>
      </c>
      <c r="H1776" s="310" t="str">
        <f t="shared" si="1914"/>
        <v/>
      </c>
      <c r="I1776" s="311" t="str">
        <f t="shared" si="1915"/>
        <v/>
      </c>
      <c r="J1776" s="311" t="str">
        <f t="shared" si="1916"/>
        <v/>
      </c>
      <c r="K1776" s="311" t="str">
        <f t="shared" si="1917"/>
        <v/>
      </c>
      <c r="L1776" s="310">
        <f t="shared" si="1918"/>
        <v>7.5</v>
      </c>
      <c r="M1776" s="310" t="str">
        <f t="shared" si="1919"/>
        <v/>
      </c>
      <c r="N1776" s="311" t="str">
        <f t="shared" si="1920"/>
        <v/>
      </c>
    </row>
    <row r="1777" spans="1:14">
      <c r="A1777" s="253"/>
      <c r="B1777" s="254"/>
      <c r="C1777" s="299"/>
      <c r="D1777" s="299"/>
      <c r="E1777" s="300"/>
      <c r="F1777" s="300"/>
      <c r="G1777" s="302"/>
      <c r="H1777" s="310"/>
      <c r="I1777" s="311"/>
      <c r="J1777" s="311"/>
      <c r="K1777" s="311"/>
      <c r="L1777" s="310"/>
      <c r="M1777" s="310"/>
      <c r="N1777" s="311"/>
    </row>
    <row r="1778" spans="1:14" ht="18" customHeight="1">
      <c r="A1778" s="326" t="s">
        <v>1419</v>
      </c>
      <c r="B1778" s="254"/>
      <c r="C1778" s="299"/>
      <c r="D1778" s="299"/>
      <c r="E1778" s="300"/>
      <c r="F1778" s="300"/>
      <c r="G1778" s="302"/>
      <c r="H1778" s="310"/>
      <c r="I1778" s="311"/>
      <c r="J1778" s="311"/>
      <c r="K1778" s="311"/>
      <c r="L1778" s="310"/>
      <c r="M1778" s="310"/>
      <c r="N1778" s="311"/>
    </row>
    <row r="1779" spans="1:14" ht="16.5">
      <c r="A1779" s="303" t="s">
        <v>1420</v>
      </c>
      <c r="B1779" s="254"/>
      <c r="C1779" s="299"/>
      <c r="D1779" s="299"/>
      <c r="E1779" s="300"/>
      <c r="F1779" s="300"/>
      <c r="G1779" s="302"/>
      <c r="H1779" s="310"/>
      <c r="I1779" s="311"/>
      <c r="J1779" s="311"/>
      <c r="K1779" s="311"/>
      <c r="L1779" s="310"/>
      <c r="M1779" s="310"/>
      <c r="N1779" s="311"/>
    </row>
    <row r="1780" spans="1:14" s="294" customFormat="1">
      <c r="A1780" s="297" t="s">
        <v>1515</v>
      </c>
      <c r="B1780" s="298"/>
      <c r="C1780" s="299" t="s">
        <v>1519</v>
      </c>
      <c r="D1780" s="299">
        <v>1</v>
      </c>
      <c r="E1780" s="300">
        <v>3</v>
      </c>
      <c r="F1780" s="300">
        <f>E1780*D1780</f>
        <v>3</v>
      </c>
      <c r="G1780" s="299">
        <f>(2.55)+17*0.01*2</f>
        <v>2.89</v>
      </c>
      <c r="H1780" s="310" t="str">
        <f t="shared" ref="H1780:H1785" si="1922">IF(C1780="T6",G1780*F1780,"")</f>
        <v/>
      </c>
      <c r="I1780" s="311" t="str">
        <f t="shared" ref="I1780:I1785" si="1923">IF(C1780="T8",F1780*G1780,"")</f>
        <v/>
      </c>
      <c r="J1780" s="311">
        <f t="shared" ref="J1780:J1785" si="1924">IF(C1780="T10",F1780*G1780,"")</f>
        <v>8.67</v>
      </c>
      <c r="K1780" s="311" t="str">
        <f t="shared" ref="K1780:K1785" si="1925">IF(C1780="T12",F1780*G1780,"")</f>
        <v/>
      </c>
      <c r="L1780" s="310" t="str">
        <f t="shared" ref="L1780:L1785" si="1926">IF(C1780="T14",F1780*G1780,"")</f>
        <v/>
      </c>
      <c r="M1780" s="310" t="str">
        <f t="shared" ref="M1780:M1785" si="1927">IF(C1780="T16",G1780*F1780,"")</f>
        <v/>
      </c>
      <c r="N1780" s="311" t="str">
        <f t="shared" ref="N1780:N1785" si="1928">IF(C1780="T20",G1780*F1780,"")</f>
        <v/>
      </c>
    </row>
    <row r="1781" spans="1:14" s="294" customFormat="1">
      <c r="A1781" s="297" t="s">
        <v>1515</v>
      </c>
      <c r="B1781" s="298"/>
      <c r="C1781" s="299" t="s">
        <v>1516</v>
      </c>
      <c r="D1781" s="299">
        <v>1</v>
      </c>
      <c r="E1781" s="300">
        <v>3</v>
      </c>
      <c r="F1781" s="300">
        <f>E1781*D1781</f>
        <v>3</v>
      </c>
      <c r="G1781" s="302">
        <f>(2.55)+17*0.012*2</f>
        <v>2.96</v>
      </c>
      <c r="H1781" s="310" t="str">
        <f t="shared" si="1922"/>
        <v/>
      </c>
      <c r="I1781" s="311" t="str">
        <f t="shared" si="1923"/>
        <v/>
      </c>
      <c r="J1781" s="311" t="str">
        <f t="shared" si="1924"/>
        <v/>
      </c>
      <c r="K1781" s="311">
        <f t="shared" si="1925"/>
        <v>8.8800000000000008</v>
      </c>
      <c r="L1781" s="310" t="str">
        <f t="shared" si="1926"/>
        <v/>
      </c>
      <c r="M1781" s="310" t="str">
        <f t="shared" si="1927"/>
        <v/>
      </c>
      <c r="N1781" s="311" t="str">
        <f t="shared" si="1928"/>
        <v/>
      </c>
    </row>
    <row r="1782" spans="1:14" s="294" customFormat="1">
      <c r="A1782" s="297" t="s">
        <v>1494</v>
      </c>
      <c r="B1782" s="301"/>
      <c r="C1782" s="299" t="s">
        <v>1496</v>
      </c>
      <c r="D1782" s="299">
        <v>1</v>
      </c>
      <c r="E1782" s="300">
        <f>8+10+8</f>
        <v>26</v>
      </c>
      <c r="F1782" s="300">
        <f t="shared" ref="F1782:F1783" si="1929">E1782*D1782</f>
        <v>26</v>
      </c>
      <c r="G1782" s="302">
        <f>(0.2+0.25)*2+17*0.008*2</f>
        <v>1.17</v>
      </c>
      <c r="H1782" s="310" t="str">
        <f t="shared" si="1922"/>
        <v/>
      </c>
      <c r="I1782" s="311">
        <f t="shared" si="1923"/>
        <v>30.42</v>
      </c>
      <c r="J1782" s="311" t="str">
        <f t="shared" si="1924"/>
        <v/>
      </c>
      <c r="K1782" s="311" t="str">
        <f t="shared" si="1925"/>
        <v/>
      </c>
      <c r="L1782" s="310" t="str">
        <f t="shared" si="1926"/>
        <v/>
      </c>
      <c r="M1782" s="310" t="str">
        <f t="shared" si="1927"/>
        <v/>
      </c>
      <c r="N1782" s="311" t="str">
        <f t="shared" si="1928"/>
        <v/>
      </c>
    </row>
    <row r="1783" spans="1:14" s="294" customFormat="1">
      <c r="A1783" s="297" t="s">
        <v>1517</v>
      </c>
      <c r="B1783" s="301"/>
      <c r="C1783" s="299" t="s">
        <v>1496</v>
      </c>
      <c r="D1783" s="299">
        <v>1</v>
      </c>
      <c r="E1783" s="300">
        <v>26</v>
      </c>
      <c r="F1783" s="300">
        <f t="shared" si="1929"/>
        <v>26</v>
      </c>
      <c r="G1783" s="302">
        <f>(0.25*2)+17*0.008*2</f>
        <v>0.77</v>
      </c>
      <c r="H1783" s="310" t="str">
        <f t="shared" si="1922"/>
        <v/>
      </c>
      <c r="I1783" s="311">
        <f t="shared" si="1923"/>
        <v>20.02</v>
      </c>
      <c r="J1783" s="311" t="str">
        <f t="shared" si="1924"/>
        <v/>
      </c>
      <c r="K1783" s="311" t="str">
        <f t="shared" si="1925"/>
        <v/>
      </c>
      <c r="L1783" s="310" t="str">
        <f t="shared" si="1926"/>
        <v/>
      </c>
      <c r="M1783" s="310" t="str">
        <f t="shared" si="1927"/>
        <v/>
      </c>
      <c r="N1783" s="311" t="str">
        <f t="shared" si="1928"/>
        <v/>
      </c>
    </row>
    <row r="1784" spans="1:14">
      <c r="A1784" s="297" t="s">
        <v>1520</v>
      </c>
      <c r="B1784" s="254"/>
      <c r="C1784" s="299" t="s">
        <v>1516</v>
      </c>
      <c r="D1784" s="299">
        <v>1</v>
      </c>
      <c r="E1784" s="300">
        <v>3</v>
      </c>
      <c r="F1784" s="300">
        <f>E1784*D1784</f>
        <v>3</v>
      </c>
      <c r="G1784" s="302">
        <v>1.2</v>
      </c>
      <c r="H1784" s="310" t="str">
        <f t="shared" si="1922"/>
        <v/>
      </c>
      <c r="I1784" s="311" t="str">
        <f t="shared" si="1923"/>
        <v/>
      </c>
      <c r="J1784" s="311" t="str">
        <f t="shared" si="1924"/>
        <v/>
      </c>
      <c r="K1784" s="311">
        <f t="shared" si="1925"/>
        <v>3.6</v>
      </c>
      <c r="L1784" s="310" t="str">
        <f t="shared" si="1926"/>
        <v/>
      </c>
      <c r="M1784" s="310" t="str">
        <f t="shared" si="1927"/>
        <v/>
      </c>
      <c r="N1784" s="311" t="str">
        <f t="shared" si="1928"/>
        <v/>
      </c>
    </row>
    <row r="1785" spans="1:14" ht="16.5">
      <c r="A1785" s="303"/>
      <c r="B1785" s="254"/>
      <c r="C1785" s="299" t="s">
        <v>1492</v>
      </c>
      <c r="D1785" s="299">
        <v>1</v>
      </c>
      <c r="E1785" s="300">
        <v>3</v>
      </c>
      <c r="F1785" s="300">
        <f>E1785*D1785</f>
        <v>3</v>
      </c>
      <c r="G1785" s="302">
        <v>3.3</v>
      </c>
      <c r="H1785" s="310" t="str">
        <f t="shared" si="1922"/>
        <v/>
      </c>
      <c r="I1785" s="311" t="str">
        <f t="shared" si="1923"/>
        <v/>
      </c>
      <c r="J1785" s="311" t="str">
        <f t="shared" si="1924"/>
        <v/>
      </c>
      <c r="K1785" s="311" t="str">
        <f t="shared" si="1925"/>
        <v/>
      </c>
      <c r="L1785" s="310">
        <f t="shared" si="1926"/>
        <v>9.9</v>
      </c>
      <c r="M1785" s="310" t="str">
        <f t="shared" si="1927"/>
        <v/>
      </c>
      <c r="N1785" s="311" t="str">
        <f t="shared" si="1928"/>
        <v/>
      </c>
    </row>
    <row r="1786" spans="1:14" ht="16.5">
      <c r="A1786" s="303"/>
      <c r="B1786" s="254"/>
      <c r="C1786" s="299"/>
      <c r="D1786" s="299"/>
      <c r="E1786" s="300"/>
      <c r="F1786" s="300"/>
      <c r="G1786" s="302"/>
      <c r="H1786" s="310"/>
      <c r="I1786" s="311"/>
      <c r="J1786" s="311"/>
      <c r="K1786" s="311"/>
      <c r="L1786" s="310"/>
      <c r="M1786" s="310"/>
      <c r="N1786" s="311"/>
    </row>
    <row r="1787" spans="1:14" ht="16.5">
      <c r="A1787" s="303" t="s">
        <v>1421</v>
      </c>
      <c r="B1787" s="254"/>
      <c r="C1787" s="299"/>
      <c r="D1787" s="299"/>
      <c r="E1787" s="300"/>
      <c r="F1787" s="300"/>
      <c r="G1787" s="302"/>
      <c r="H1787" s="310"/>
      <c r="I1787" s="311"/>
      <c r="J1787" s="311"/>
      <c r="K1787" s="311"/>
      <c r="L1787" s="310"/>
      <c r="M1787" s="310"/>
      <c r="N1787" s="311"/>
    </row>
    <row r="1788" spans="1:14" s="294" customFormat="1">
      <c r="A1788" s="297" t="s">
        <v>1515</v>
      </c>
      <c r="B1788" s="298"/>
      <c r="C1788" s="299" t="s">
        <v>1519</v>
      </c>
      <c r="D1788" s="299">
        <v>1</v>
      </c>
      <c r="E1788" s="300">
        <v>3</v>
      </c>
      <c r="F1788" s="300">
        <f>E1788*D1788</f>
        <v>3</v>
      </c>
      <c r="G1788" s="299">
        <f>(6.4)+17*0.01*2</f>
        <v>6.74</v>
      </c>
      <c r="H1788" s="310" t="str">
        <f t="shared" ref="H1788:H1795" si="1930">IF(C1788="T6",G1788*F1788,"")</f>
        <v/>
      </c>
      <c r="I1788" s="311" t="str">
        <f t="shared" ref="I1788:I1795" si="1931">IF(C1788="T8",F1788*G1788,"")</f>
        <v/>
      </c>
      <c r="J1788" s="311">
        <f t="shared" ref="J1788:J1795" si="1932">IF(C1788="T10",F1788*G1788,"")</f>
        <v>20.22</v>
      </c>
      <c r="K1788" s="311" t="str">
        <f t="shared" ref="K1788:K1795" si="1933">IF(C1788="T12",F1788*G1788,"")</f>
        <v/>
      </c>
      <c r="L1788" s="310" t="str">
        <f t="shared" ref="L1788:L1795" si="1934">IF(C1788="T14",F1788*G1788,"")</f>
        <v/>
      </c>
      <c r="M1788" s="310" t="str">
        <f t="shared" ref="M1788:M1795" si="1935">IF(C1788="T16",G1788*F1788,"")</f>
        <v/>
      </c>
      <c r="N1788" s="311" t="str">
        <f t="shared" ref="N1788:N1795" si="1936">IF(C1788="T20",G1788*F1788,"")</f>
        <v/>
      </c>
    </row>
    <row r="1789" spans="1:14" s="294" customFormat="1">
      <c r="A1789" s="297" t="s">
        <v>1515</v>
      </c>
      <c r="B1789" s="298"/>
      <c r="C1789" s="299" t="s">
        <v>1492</v>
      </c>
      <c r="D1789" s="299">
        <v>1</v>
      </c>
      <c r="E1789" s="300">
        <v>3</v>
      </c>
      <c r="F1789" s="300">
        <f>E1789*D1789</f>
        <v>3</v>
      </c>
      <c r="G1789" s="302">
        <f>(6.4)+17*0.014*2</f>
        <v>6.88</v>
      </c>
      <c r="H1789" s="310" t="str">
        <f t="shared" si="1930"/>
        <v/>
      </c>
      <c r="I1789" s="311" t="str">
        <f t="shared" si="1931"/>
        <v/>
      </c>
      <c r="J1789" s="311" t="str">
        <f t="shared" si="1932"/>
        <v/>
      </c>
      <c r="K1789" s="311" t="str">
        <f t="shared" si="1933"/>
        <v/>
      </c>
      <c r="L1789" s="310">
        <f t="shared" si="1934"/>
        <v>20.64</v>
      </c>
      <c r="M1789" s="310" t="str">
        <f t="shared" si="1935"/>
        <v/>
      </c>
      <c r="N1789" s="311" t="str">
        <f t="shared" si="1936"/>
        <v/>
      </c>
    </row>
    <row r="1790" spans="1:14" s="294" customFormat="1">
      <c r="A1790" s="297"/>
      <c r="B1790" s="298"/>
      <c r="C1790" s="299" t="s">
        <v>1519</v>
      </c>
      <c r="D1790" s="299">
        <v>1</v>
      </c>
      <c r="E1790" s="300">
        <v>3</v>
      </c>
      <c r="F1790" s="300">
        <f>E1790*D1790</f>
        <v>3</v>
      </c>
      <c r="G1790" s="302">
        <v>6.8</v>
      </c>
      <c r="H1790" s="310" t="str">
        <f t="shared" si="1930"/>
        <v/>
      </c>
      <c r="I1790" s="311" t="str">
        <f t="shared" si="1931"/>
        <v/>
      </c>
      <c r="J1790" s="311">
        <f t="shared" si="1932"/>
        <v>20.399999999999999</v>
      </c>
      <c r="K1790" s="311" t="str">
        <f t="shared" si="1933"/>
        <v/>
      </c>
      <c r="L1790" s="310" t="str">
        <f t="shared" si="1934"/>
        <v/>
      </c>
      <c r="M1790" s="310" t="str">
        <f t="shared" si="1935"/>
        <v/>
      </c>
      <c r="N1790" s="311" t="str">
        <f t="shared" si="1936"/>
        <v/>
      </c>
    </row>
    <row r="1791" spans="1:14" s="294" customFormat="1">
      <c r="A1791" s="297" t="s">
        <v>1494</v>
      </c>
      <c r="B1791" s="301"/>
      <c r="C1791" s="299" t="s">
        <v>1496</v>
      </c>
      <c r="D1791" s="299">
        <v>1</v>
      </c>
      <c r="E1791" s="300">
        <f>19+20+19</f>
        <v>58</v>
      </c>
      <c r="F1791" s="300">
        <f t="shared" ref="F1791:F1792" si="1937">E1791*D1791</f>
        <v>58</v>
      </c>
      <c r="G1791" s="302">
        <f>(0.2+0.55)*2+17*0.008*2</f>
        <v>1.77</v>
      </c>
      <c r="H1791" s="310" t="str">
        <f t="shared" si="1930"/>
        <v/>
      </c>
      <c r="I1791" s="311">
        <f t="shared" si="1931"/>
        <v>102.66</v>
      </c>
      <c r="J1791" s="311" t="str">
        <f t="shared" si="1932"/>
        <v/>
      </c>
      <c r="K1791" s="311" t="str">
        <f t="shared" si="1933"/>
        <v/>
      </c>
      <c r="L1791" s="310" t="str">
        <f t="shared" si="1934"/>
        <v/>
      </c>
      <c r="M1791" s="310" t="str">
        <f t="shared" si="1935"/>
        <v/>
      </c>
      <c r="N1791" s="311" t="str">
        <f t="shared" si="1936"/>
        <v/>
      </c>
    </row>
    <row r="1792" spans="1:14" s="294" customFormat="1">
      <c r="A1792" s="297" t="s">
        <v>1517</v>
      </c>
      <c r="B1792" s="301"/>
      <c r="C1792" s="299" t="s">
        <v>1496</v>
      </c>
      <c r="D1792" s="299">
        <v>1</v>
      </c>
      <c r="E1792" s="300">
        <v>58</v>
      </c>
      <c r="F1792" s="300">
        <f t="shared" si="1937"/>
        <v>58</v>
      </c>
      <c r="G1792" s="302">
        <f>(0.55*2)+17*0.008*2</f>
        <v>1.37</v>
      </c>
      <c r="H1792" s="310" t="str">
        <f t="shared" si="1930"/>
        <v/>
      </c>
      <c r="I1792" s="311">
        <f t="shared" si="1931"/>
        <v>79.459999999999994</v>
      </c>
      <c r="J1792" s="311" t="str">
        <f t="shared" si="1932"/>
        <v/>
      </c>
      <c r="K1792" s="311" t="str">
        <f t="shared" si="1933"/>
        <v/>
      </c>
      <c r="L1792" s="310" t="str">
        <f t="shared" si="1934"/>
        <v/>
      </c>
      <c r="M1792" s="310" t="str">
        <f t="shared" si="1935"/>
        <v/>
      </c>
      <c r="N1792" s="311" t="str">
        <f t="shared" si="1936"/>
        <v/>
      </c>
    </row>
    <row r="1793" spans="1:14">
      <c r="A1793" s="297" t="s">
        <v>1520</v>
      </c>
      <c r="B1793" s="254"/>
      <c r="C1793" s="299" t="s">
        <v>1492</v>
      </c>
      <c r="D1793" s="299">
        <v>1</v>
      </c>
      <c r="E1793" s="300">
        <v>3</v>
      </c>
      <c r="F1793" s="300">
        <f>E1793*D1793</f>
        <v>3</v>
      </c>
      <c r="G1793" s="302">
        <v>3.3</v>
      </c>
      <c r="H1793" s="310" t="str">
        <f t="shared" si="1930"/>
        <v/>
      </c>
      <c r="I1793" s="311" t="str">
        <f t="shared" si="1931"/>
        <v/>
      </c>
      <c r="J1793" s="311" t="str">
        <f t="shared" si="1932"/>
        <v/>
      </c>
      <c r="K1793" s="311" t="str">
        <f t="shared" si="1933"/>
        <v/>
      </c>
      <c r="L1793" s="310">
        <f t="shared" si="1934"/>
        <v>9.9</v>
      </c>
      <c r="M1793" s="310" t="str">
        <f t="shared" si="1935"/>
        <v/>
      </c>
      <c r="N1793" s="311" t="str">
        <f t="shared" si="1936"/>
        <v/>
      </c>
    </row>
    <row r="1794" spans="1:14">
      <c r="A1794" s="297"/>
      <c r="B1794" s="254"/>
      <c r="C1794" s="299" t="s">
        <v>1492</v>
      </c>
      <c r="D1794" s="299">
        <v>1</v>
      </c>
      <c r="E1794" s="300">
        <v>3</v>
      </c>
      <c r="F1794" s="300">
        <f>E1794*D1794</f>
        <v>3</v>
      </c>
      <c r="G1794" s="302">
        <v>4.3</v>
      </c>
      <c r="H1794" s="310" t="str">
        <f t="shared" si="1930"/>
        <v/>
      </c>
      <c r="I1794" s="311" t="str">
        <f t="shared" si="1931"/>
        <v/>
      </c>
      <c r="J1794" s="311" t="str">
        <f t="shared" si="1932"/>
        <v/>
      </c>
      <c r="K1794" s="311" t="str">
        <f t="shared" si="1933"/>
        <v/>
      </c>
      <c r="L1794" s="310">
        <f t="shared" si="1934"/>
        <v>12.9</v>
      </c>
      <c r="M1794" s="310" t="str">
        <f t="shared" si="1935"/>
        <v/>
      </c>
      <c r="N1794" s="311" t="str">
        <f t="shared" si="1936"/>
        <v/>
      </c>
    </row>
    <row r="1795" spans="1:14">
      <c r="A1795" s="297"/>
      <c r="B1795" s="254"/>
      <c r="C1795" s="299" t="s">
        <v>1516</v>
      </c>
      <c r="D1795" s="299">
        <v>1</v>
      </c>
      <c r="E1795" s="300">
        <v>3</v>
      </c>
      <c r="F1795" s="300">
        <f>E1795*D1795</f>
        <v>3</v>
      </c>
      <c r="G1795" s="302">
        <v>6</v>
      </c>
      <c r="H1795" s="310" t="str">
        <f t="shared" si="1930"/>
        <v/>
      </c>
      <c r="I1795" s="311" t="str">
        <f t="shared" si="1931"/>
        <v/>
      </c>
      <c r="J1795" s="311" t="str">
        <f t="shared" si="1932"/>
        <v/>
      </c>
      <c r="K1795" s="311">
        <f t="shared" si="1933"/>
        <v>18</v>
      </c>
      <c r="L1795" s="310" t="str">
        <f t="shared" si="1934"/>
        <v/>
      </c>
      <c r="M1795" s="310" t="str">
        <f t="shared" si="1935"/>
        <v/>
      </c>
      <c r="N1795" s="311" t="str">
        <f t="shared" si="1936"/>
        <v/>
      </c>
    </row>
    <row r="1796" spans="1:14" ht="16.5">
      <c r="A1796" s="303"/>
      <c r="B1796" s="254"/>
      <c r="C1796" s="299"/>
      <c r="D1796" s="299"/>
      <c r="E1796" s="300"/>
      <c r="F1796" s="300"/>
      <c r="G1796" s="302"/>
      <c r="H1796" s="310"/>
      <c r="I1796" s="311"/>
      <c r="J1796" s="311"/>
      <c r="K1796" s="311"/>
      <c r="L1796" s="310"/>
      <c r="M1796" s="310"/>
      <c r="N1796" s="311"/>
    </row>
    <row r="1797" spans="1:14" ht="16.5">
      <c r="A1797" s="303" t="s">
        <v>1422</v>
      </c>
      <c r="B1797" s="254"/>
      <c r="C1797" s="299"/>
      <c r="D1797" s="299"/>
      <c r="E1797" s="300"/>
      <c r="F1797" s="300"/>
      <c r="G1797" s="302"/>
      <c r="H1797" s="310"/>
      <c r="I1797" s="311"/>
      <c r="J1797" s="311"/>
      <c r="K1797" s="311"/>
      <c r="L1797" s="310"/>
      <c r="M1797" s="310"/>
      <c r="N1797" s="311"/>
    </row>
    <row r="1798" spans="1:14" s="294" customFormat="1">
      <c r="A1798" s="297" t="s">
        <v>1515</v>
      </c>
      <c r="B1798" s="298"/>
      <c r="C1798" s="299" t="s">
        <v>1519</v>
      </c>
      <c r="D1798" s="299">
        <v>1</v>
      </c>
      <c r="E1798" s="300">
        <v>3</v>
      </c>
      <c r="F1798" s="300">
        <f>E1798*D1798</f>
        <v>3</v>
      </c>
      <c r="G1798" s="299">
        <f>(5.8)+17*0.01*2</f>
        <v>6.14</v>
      </c>
      <c r="H1798" s="310" t="str">
        <f t="shared" ref="H1798:H1805" si="1938">IF(C1798="T6",G1798*F1798,"")</f>
        <v/>
      </c>
      <c r="I1798" s="311" t="str">
        <f t="shared" ref="I1798:I1805" si="1939">IF(C1798="T8",F1798*G1798,"")</f>
        <v/>
      </c>
      <c r="J1798" s="311">
        <f t="shared" ref="J1798:J1805" si="1940">IF(C1798="T10",F1798*G1798,"")</f>
        <v>18.420000000000002</v>
      </c>
      <c r="K1798" s="311" t="str">
        <f t="shared" ref="K1798:K1805" si="1941">IF(C1798="T12",F1798*G1798,"")</f>
        <v/>
      </c>
      <c r="L1798" s="310" t="str">
        <f t="shared" ref="L1798:L1805" si="1942">IF(C1798="T14",F1798*G1798,"")</f>
        <v/>
      </c>
      <c r="M1798" s="310" t="str">
        <f t="shared" ref="M1798:M1805" si="1943">IF(C1798="T16",G1798*F1798,"")</f>
        <v/>
      </c>
      <c r="N1798" s="311" t="str">
        <f t="shared" ref="N1798:N1805" si="1944">IF(C1798="T20",G1798*F1798,"")</f>
        <v/>
      </c>
    </row>
    <row r="1799" spans="1:14" s="294" customFormat="1">
      <c r="A1799" s="297" t="s">
        <v>1515</v>
      </c>
      <c r="B1799" s="298"/>
      <c r="C1799" s="299" t="s">
        <v>1492</v>
      </c>
      <c r="D1799" s="299">
        <v>1</v>
      </c>
      <c r="E1799" s="300">
        <v>3</v>
      </c>
      <c r="F1799" s="300">
        <f>E1799*D1799</f>
        <v>3</v>
      </c>
      <c r="G1799" s="302">
        <f>(5.8)+17*0.014*2</f>
        <v>6.28</v>
      </c>
      <c r="H1799" s="310" t="str">
        <f t="shared" si="1938"/>
        <v/>
      </c>
      <c r="I1799" s="311" t="str">
        <f t="shared" si="1939"/>
        <v/>
      </c>
      <c r="J1799" s="311" t="str">
        <f t="shared" si="1940"/>
        <v/>
      </c>
      <c r="K1799" s="311" t="str">
        <f t="shared" si="1941"/>
        <v/>
      </c>
      <c r="L1799" s="310">
        <f t="shared" si="1942"/>
        <v>18.84</v>
      </c>
      <c r="M1799" s="310" t="str">
        <f t="shared" si="1943"/>
        <v/>
      </c>
      <c r="N1799" s="311" t="str">
        <f t="shared" si="1944"/>
        <v/>
      </c>
    </row>
    <row r="1800" spans="1:14" s="294" customFormat="1">
      <c r="A1800" s="297"/>
      <c r="B1800" s="298"/>
      <c r="C1800" s="299" t="s">
        <v>1519</v>
      </c>
      <c r="D1800" s="299">
        <v>1</v>
      </c>
      <c r="E1800" s="300">
        <v>3</v>
      </c>
      <c r="F1800" s="300">
        <f>E1800*D1800</f>
        <v>3</v>
      </c>
      <c r="G1800" s="302">
        <v>6.2</v>
      </c>
      <c r="H1800" s="310" t="str">
        <f t="shared" si="1938"/>
        <v/>
      </c>
      <c r="I1800" s="311" t="str">
        <f t="shared" si="1939"/>
        <v/>
      </c>
      <c r="J1800" s="311">
        <f t="shared" si="1940"/>
        <v>18.600000000000001</v>
      </c>
      <c r="K1800" s="311" t="str">
        <f t="shared" si="1941"/>
        <v/>
      </c>
      <c r="L1800" s="310" t="str">
        <f t="shared" si="1942"/>
        <v/>
      </c>
      <c r="M1800" s="310" t="str">
        <f t="shared" si="1943"/>
        <v/>
      </c>
      <c r="N1800" s="311" t="str">
        <f t="shared" si="1944"/>
        <v/>
      </c>
    </row>
    <row r="1801" spans="1:14" s="294" customFormat="1">
      <c r="A1801" s="297" t="s">
        <v>1494</v>
      </c>
      <c r="B1801" s="301"/>
      <c r="C1801" s="299" t="s">
        <v>1496</v>
      </c>
      <c r="D1801" s="299">
        <v>1</v>
      </c>
      <c r="E1801" s="300">
        <f>11+12+11</f>
        <v>34</v>
      </c>
      <c r="F1801" s="300">
        <f t="shared" ref="F1801:F1802" si="1945">E1801*D1801</f>
        <v>34</v>
      </c>
      <c r="G1801" s="302">
        <f>(0.2+0.55)*2+17*0.008*2</f>
        <v>1.77</v>
      </c>
      <c r="H1801" s="310" t="str">
        <f t="shared" si="1938"/>
        <v/>
      </c>
      <c r="I1801" s="311">
        <f t="shared" si="1939"/>
        <v>60.18</v>
      </c>
      <c r="J1801" s="311" t="str">
        <f t="shared" si="1940"/>
        <v/>
      </c>
      <c r="K1801" s="311" t="str">
        <f t="shared" si="1941"/>
        <v/>
      </c>
      <c r="L1801" s="310" t="str">
        <f t="shared" si="1942"/>
        <v/>
      </c>
      <c r="M1801" s="310" t="str">
        <f t="shared" si="1943"/>
        <v/>
      </c>
      <c r="N1801" s="311" t="str">
        <f t="shared" si="1944"/>
        <v/>
      </c>
    </row>
    <row r="1802" spans="1:14" s="294" customFormat="1">
      <c r="A1802" s="297" t="s">
        <v>1517</v>
      </c>
      <c r="B1802" s="301"/>
      <c r="C1802" s="299" t="s">
        <v>1496</v>
      </c>
      <c r="D1802" s="299">
        <v>1</v>
      </c>
      <c r="E1802" s="300">
        <v>34</v>
      </c>
      <c r="F1802" s="300">
        <f t="shared" si="1945"/>
        <v>34</v>
      </c>
      <c r="G1802" s="302">
        <f>(0.55*2)+17*0.008*2</f>
        <v>1.37</v>
      </c>
      <c r="H1802" s="310" t="str">
        <f t="shared" si="1938"/>
        <v/>
      </c>
      <c r="I1802" s="311">
        <f t="shared" si="1939"/>
        <v>46.58</v>
      </c>
      <c r="J1802" s="311" t="str">
        <f t="shared" si="1940"/>
        <v/>
      </c>
      <c r="K1802" s="311" t="str">
        <f t="shared" si="1941"/>
        <v/>
      </c>
      <c r="L1802" s="310" t="str">
        <f t="shared" si="1942"/>
        <v/>
      </c>
      <c r="M1802" s="310" t="str">
        <f t="shared" si="1943"/>
        <v/>
      </c>
      <c r="N1802" s="311" t="str">
        <f t="shared" si="1944"/>
        <v/>
      </c>
    </row>
    <row r="1803" spans="1:14">
      <c r="A1803" s="297" t="s">
        <v>1520</v>
      </c>
      <c r="B1803" s="254"/>
      <c r="C1803" s="299" t="s">
        <v>1492</v>
      </c>
      <c r="D1803" s="299">
        <v>1</v>
      </c>
      <c r="E1803" s="300">
        <v>3</v>
      </c>
      <c r="F1803" s="300">
        <f>E1803*D1803</f>
        <v>3</v>
      </c>
      <c r="G1803" s="302">
        <v>4.3</v>
      </c>
      <c r="H1803" s="310" t="str">
        <f t="shared" si="1938"/>
        <v/>
      </c>
      <c r="I1803" s="311" t="str">
        <f t="shared" si="1939"/>
        <v/>
      </c>
      <c r="J1803" s="311" t="str">
        <f t="shared" si="1940"/>
        <v/>
      </c>
      <c r="K1803" s="311" t="str">
        <f t="shared" si="1941"/>
        <v/>
      </c>
      <c r="L1803" s="310">
        <f t="shared" si="1942"/>
        <v>12.9</v>
      </c>
      <c r="M1803" s="310" t="str">
        <f t="shared" si="1943"/>
        <v/>
      </c>
      <c r="N1803" s="311" t="str">
        <f t="shared" si="1944"/>
        <v/>
      </c>
    </row>
    <row r="1804" spans="1:14">
      <c r="A1804" s="297"/>
      <c r="B1804" s="254"/>
      <c r="C1804" s="299" t="s">
        <v>1516</v>
      </c>
      <c r="D1804" s="299">
        <v>1</v>
      </c>
      <c r="E1804" s="300">
        <v>3</v>
      </c>
      <c r="F1804" s="300">
        <f>E1804*D1804</f>
        <v>3</v>
      </c>
      <c r="G1804" s="302">
        <v>1.5</v>
      </c>
      <c r="H1804" s="310" t="str">
        <f t="shared" si="1938"/>
        <v/>
      </c>
      <c r="I1804" s="311" t="str">
        <f t="shared" si="1939"/>
        <v/>
      </c>
      <c r="J1804" s="311" t="str">
        <f t="shared" si="1940"/>
        <v/>
      </c>
      <c r="K1804" s="311">
        <f t="shared" si="1941"/>
        <v>4.5</v>
      </c>
      <c r="L1804" s="310" t="str">
        <f t="shared" si="1942"/>
        <v/>
      </c>
      <c r="M1804" s="310" t="str">
        <f t="shared" si="1943"/>
        <v/>
      </c>
      <c r="N1804" s="311" t="str">
        <f t="shared" si="1944"/>
        <v/>
      </c>
    </row>
    <row r="1805" spans="1:14">
      <c r="A1805" s="297"/>
      <c r="B1805" s="254"/>
      <c r="C1805" s="299" t="s">
        <v>1516</v>
      </c>
      <c r="D1805" s="299">
        <v>1</v>
      </c>
      <c r="E1805" s="300">
        <v>3</v>
      </c>
      <c r="F1805" s="300">
        <f>E1805*D1805</f>
        <v>3</v>
      </c>
      <c r="G1805" s="302">
        <v>5.4</v>
      </c>
      <c r="H1805" s="310" t="str">
        <f t="shared" si="1938"/>
        <v/>
      </c>
      <c r="I1805" s="311" t="str">
        <f t="shared" si="1939"/>
        <v/>
      </c>
      <c r="J1805" s="311" t="str">
        <f t="shared" si="1940"/>
        <v/>
      </c>
      <c r="K1805" s="311">
        <f t="shared" si="1941"/>
        <v>16.2</v>
      </c>
      <c r="L1805" s="310" t="str">
        <f t="shared" si="1942"/>
        <v/>
      </c>
      <c r="M1805" s="310" t="str">
        <f t="shared" si="1943"/>
        <v/>
      </c>
      <c r="N1805" s="311" t="str">
        <f t="shared" si="1944"/>
        <v/>
      </c>
    </row>
    <row r="1806" spans="1:14" ht="16.5">
      <c r="A1806" s="303"/>
      <c r="B1806" s="254"/>
      <c r="C1806" s="299"/>
      <c r="D1806" s="299"/>
      <c r="E1806" s="300"/>
      <c r="F1806" s="300"/>
      <c r="G1806" s="302"/>
      <c r="H1806" s="310"/>
      <c r="I1806" s="311"/>
      <c r="J1806" s="311"/>
      <c r="K1806" s="311"/>
      <c r="L1806" s="310"/>
      <c r="M1806" s="310"/>
      <c r="N1806" s="311"/>
    </row>
    <row r="1807" spans="1:14" ht="16.5">
      <c r="A1807" s="303" t="s">
        <v>1423</v>
      </c>
      <c r="B1807" s="254"/>
      <c r="C1807" s="299"/>
      <c r="D1807" s="299"/>
      <c r="E1807" s="300"/>
      <c r="F1807" s="300"/>
      <c r="G1807" s="302"/>
      <c r="H1807" s="310"/>
      <c r="I1807" s="311"/>
      <c r="J1807" s="311"/>
      <c r="K1807" s="311"/>
      <c r="L1807" s="310"/>
      <c r="M1807" s="310"/>
      <c r="N1807" s="311"/>
    </row>
    <row r="1808" spans="1:14" s="294" customFormat="1">
      <c r="A1808" s="297" t="s">
        <v>1515</v>
      </c>
      <c r="B1808" s="298"/>
      <c r="C1808" s="299" t="s">
        <v>1519</v>
      </c>
      <c r="D1808" s="299">
        <v>1</v>
      </c>
      <c r="E1808" s="300">
        <v>3</v>
      </c>
      <c r="F1808" s="300">
        <f>E1808*D1808</f>
        <v>3</v>
      </c>
      <c r="G1808" s="299">
        <f>(5.8)+17*0.01*2</f>
        <v>6.14</v>
      </c>
      <c r="H1808" s="310" t="str">
        <f t="shared" ref="H1808:H1815" si="1946">IF(C1808="T6",G1808*F1808,"")</f>
        <v/>
      </c>
      <c r="I1808" s="311" t="str">
        <f t="shared" ref="I1808:I1815" si="1947">IF(C1808="T8",F1808*G1808,"")</f>
        <v/>
      </c>
      <c r="J1808" s="311">
        <f t="shared" ref="J1808:J1815" si="1948">IF(C1808="T10",F1808*G1808,"")</f>
        <v>18.420000000000002</v>
      </c>
      <c r="K1808" s="311" t="str">
        <f t="shared" ref="K1808:K1815" si="1949">IF(C1808="T12",F1808*G1808,"")</f>
        <v/>
      </c>
      <c r="L1808" s="310" t="str">
        <f t="shared" ref="L1808:L1815" si="1950">IF(C1808="T14",F1808*G1808,"")</f>
        <v/>
      </c>
      <c r="M1808" s="310" t="str">
        <f t="shared" ref="M1808:M1815" si="1951">IF(C1808="T16",G1808*F1808,"")</f>
        <v/>
      </c>
      <c r="N1808" s="311" t="str">
        <f t="shared" ref="N1808:N1815" si="1952">IF(C1808="T20",G1808*F1808,"")</f>
        <v/>
      </c>
    </row>
    <row r="1809" spans="1:14" s="294" customFormat="1">
      <c r="A1809" s="297" t="s">
        <v>1515</v>
      </c>
      <c r="B1809" s="298"/>
      <c r="C1809" s="299" t="s">
        <v>1492</v>
      </c>
      <c r="D1809" s="299">
        <v>1</v>
      </c>
      <c r="E1809" s="300">
        <v>3</v>
      </c>
      <c r="F1809" s="300">
        <f>E1809*D1809</f>
        <v>3</v>
      </c>
      <c r="G1809" s="302">
        <f>(5.8)+17*0.014*2</f>
        <v>6.28</v>
      </c>
      <c r="H1809" s="310" t="str">
        <f t="shared" si="1946"/>
        <v/>
      </c>
      <c r="I1809" s="311" t="str">
        <f t="shared" si="1947"/>
        <v/>
      </c>
      <c r="J1809" s="311" t="str">
        <f t="shared" si="1948"/>
        <v/>
      </c>
      <c r="K1809" s="311" t="str">
        <f t="shared" si="1949"/>
        <v/>
      </c>
      <c r="L1809" s="310">
        <f t="shared" si="1950"/>
        <v>18.84</v>
      </c>
      <c r="M1809" s="310" t="str">
        <f t="shared" si="1951"/>
        <v/>
      </c>
      <c r="N1809" s="311" t="str">
        <f t="shared" si="1952"/>
        <v/>
      </c>
    </row>
    <row r="1810" spans="1:14" s="294" customFormat="1">
      <c r="A1810" s="297"/>
      <c r="B1810" s="298"/>
      <c r="C1810" s="299" t="s">
        <v>1519</v>
      </c>
      <c r="D1810" s="299">
        <v>1</v>
      </c>
      <c r="E1810" s="300">
        <v>3</v>
      </c>
      <c r="F1810" s="300">
        <f>E1810*D1810</f>
        <v>3</v>
      </c>
      <c r="G1810" s="302">
        <v>6.2</v>
      </c>
      <c r="H1810" s="310" t="str">
        <f t="shared" si="1946"/>
        <v/>
      </c>
      <c r="I1810" s="311" t="str">
        <f t="shared" si="1947"/>
        <v/>
      </c>
      <c r="J1810" s="311">
        <f t="shared" si="1948"/>
        <v>18.600000000000001</v>
      </c>
      <c r="K1810" s="311" t="str">
        <f t="shared" si="1949"/>
        <v/>
      </c>
      <c r="L1810" s="310" t="str">
        <f t="shared" si="1950"/>
        <v/>
      </c>
      <c r="M1810" s="310" t="str">
        <f t="shared" si="1951"/>
        <v/>
      </c>
      <c r="N1810" s="311" t="str">
        <f t="shared" si="1952"/>
        <v/>
      </c>
    </row>
    <row r="1811" spans="1:14" s="294" customFormat="1">
      <c r="A1811" s="297" t="s">
        <v>1494</v>
      </c>
      <c r="B1811" s="301"/>
      <c r="C1811" s="299" t="s">
        <v>1496</v>
      </c>
      <c r="D1811" s="299">
        <v>1</v>
      </c>
      <c r="E1811" s="300">
        <f>11+12+11</f>
        <v>34</v>
      </c>
      <c r="F1811" s="300">
        <f t="shared" ref="F1811:F1812" si="1953">E1811*D1811</f>
        <v>34</v>
      </c>
      <c r="G1811" s="302">
        <f>(0.2+0.55)*2+17*0.008*2</f>
        <v>1.77</v>
      </c>
      <c r="H1811" s="310" t="str">
        <f t="shared" si="1946"/>
        <v/>
      </c>
      <c r="I1811" s="311">
        <f t="shared" si="1947"/>
        <v>60.18</v>
      </c>
      <c r="J1811" s="311" t="str">
        <f t="shared" si="1948"/>
        <v/>
      </c>
      <c r="K1811" s="311" t="str">
        <f t="shared" si="1949"/>
        <v/>
      </c>
      <c r="L1811" s="310" t="str">
        <f t="shared" si="1950"/>
        <v/>
      </c>
      <c r="M1811" s="310" t="str">
        <f t="shared" si="1951"/>
        <v/>
      </c>
      <c r="N1811" s="311" t="str">
        <f t="shared" si="1952"/>
        <v/>
      </c>
    </row>
    <row r="1812" spans="1:14" s="294" customFormat="1">
      <c r="A1812" s="297" t="s">
        <v>1517</v>
      </c>
      <c r="B1812" s="301"/>
      <c r="C1812" s="299" t="s">
        <v>1496</v>
      </c>
      <c r="D1812" s="299">
        <v>1</v>
      </c>
      <c r="E1812" s="300">
        <v>34</v>
      </c>
      <c r="F1812" s="300">
        <f t="shared" si="1953"/>
        <v>34</v>
      </c>
      <c r="G1812" s="302">
        <f>(0.55*2)+17*0.008*2</f>
        <v>1.37</v>
      </c>
      <c r="H1812" s="310" t="str">
        <f t="shared" si="1946"/>
        <v/>
      </c>
      <c r="I1812" s="311">
        <f t="shared" si="1947"/>
        <v>46.58</v>
      </c>
      <c r="J1812" s="311" t="str">
        <f t="shared" si="1948"/>
        <v/>
      </c>
      <c r="K1812" s="311" t="str">
        <f t="shared" si="1949"/>
        <v/>
      </c>
      <c r="L1812" s="310" t="str">
        <f t="shared" si="1950"/>
        <v/>
      </c>
      <c r="M1812" s="310" t="str">
        <f t="shared" si="1951"/>
        <v/>
      </c>
      <c r="N1812" s="311" t="str">
        <f t="shared" si="1952"/>
        <v/>
      </c>
    </row>
    <row r="1813" spans="1:14">
      <c r="A1813" s="297" t="s">
        <v>1520</v>
      </c>
      <c r="B1813" s="254"/>
      <c r="C1813" s="299" t="s">
        <v>1492</v>
      </c>
      <c r="D1813" s="299">
        <v>1</v>
      </c>
      <c r="E1813" s="300">
        <v>3</v>
      </c>
      <c r="F1813" s="300">
        <f>E1813*D1813</f>
        <v>3</v>
      </c>
      <c r="G1813" s="302">
        <v>4.3</v>
      </c>
      <c r="H1813" s="310" t="str">
        <f t="shared" si="1946"/>
        <v/>
      </c>
      <c r="I1813" s="311" t="str">
        <f t="shared" si="1947"/>
        <v/>
      </c>
      <c r="J1813" s="311" t="str">
        <f t="shared" si="1948"/>
        <v/>
      </c>
      <c r="K1813" s="311" t="str">
        <f t="shared" si="1949"/>
        <v/>
      </c>
      <c r="L1813" s="310">
        <f t="shared" si="1950"/>
        <v>12.9</v>
      </c>
      <c r="M1813" s="310" t="str">
        <f t="shared" si="1951"/>
        <v/>
      </c>
      <c r="N1813" s="311" t="str">
        <f t="shared" si="1952"/>
        <v/>
      </c>
    </row>
    <row r="1814" spans="1:14">
      <c r="A1814" s="297"/>
      <c r="B1814" s="254"/>
      <c r="C1814" s="299" t="s">
        <v>1516</v>
      </c>
      <c r="D1814" s="299">
        <v>1</v>
      </c>
      <c r="E1814" s="300">
        <v>3</v>
      </c>
      <c r="F1814" s="300">
        <f>E1814*D1814</f>
        <v>3</v>
      </c>
      <c r="G1814" s="302">
        <v>1.5</v>
      </c>
      <c r="H1814" s="310" t="str">
        <f t="shared" si="1946"/>
        <v/>
      </c>
      <c r="I1814" s="311" t="str">
        <f t="shared" si="1947"/>
        <v/>
      </c>
      <c r="J1814" s="311" t="str">
        <f t="shared" si="1948"/>
        <v/>
      </c>
      <c r="K1814" s="311">
        <f t="shared" si="1949"/>
        <v>4.5</v>
      </c>
      <c r="L1814" s="310" t="str">
        <f t="shared" si="1950"/>
        <v/>
      </c>
      <c r="M1814" s="310" t="str">
        <f t="shared" si="1951"/>
        <v/>
      </c>
      <c r="N1814" s="311" t="str">
        <f t="shared" si="1952"/>
        <v/>
      </c>
    </row>
    <row r="1815" spans="1:14">
      <c r="A1815" s="297"/>
      <c r="B1815" s="254"/>
      <c r="C1815" s="299" t="s">
        <v>1516</v>
      </c>
      <c r="D1815" s="299">
        <v>1</v>
      </c>
      <c r="E1815" s="300">
        <v>3</v>
      </c>
      <c r="F1815" s="300">
        <f>E1815*D1815</f>
        <v>3</v>
      </c>
      <c r="G1815" s="302">
        <v>5.4</v>
      </c>
      <c r="H1815" s="310" t="str">
        <f t="shared" si="1946"/>
        <v/>
      </c>
      <c r="I1815" s="311" t="str">
        <f t="shared" si="1947"/>
        <v/>
      </c>
      <c r="J1815" s="311" t="str">
        <f t="shared" si="1948"/>
        <v/>
      </c>
      <c r="K1815" s="311">
        <f t="shared" si="1949"/>
        <v>16.2</v>
      </c>
      <c r="L1815" s="310" t="str">
        <f t="shared" si="1950"/>
        <v/>
      </c>
      <c r="M1815" s="310" t="str">
        <f t="shared" si="1951"/>
        <v/>
      </c>
      <c r="N1815" s="311" t="str">
        <f t="shared" si="1952"/>
        <v/>
      </c>
    </row>
    <row r="1816" spans="1:14">
      <c r="A1816" s="253"/>
      <c r="B1816" s="254"/>
      <c r="C1816" s="299"/>
      <c r="D1816" s="299"/>
      <c r="E1816" s="300"/>
      <c r="F1816" s="300"/>
      <c r="G1816" s="302"/>
      <c r="H1816" s="310"/>
      <c r="I1816" s="311"/>
      <c r="J1816" s="311"/>
      <c r="K1816" s="311"/>
      <c r="L1816" s="310"/>
      <c r="M1816" s="310"/>
      <c r="N1816" s="311"/>
    </row>
    <row r="1817" spans="1:14" ht="16.5">
      <c r="A1817" s="303" t="s">
        <v>1424</v>
      </c>
      <c r="B1817" s="254"/>
      <c r="C1817" s="299"/>
      <c r="D1817" s="299"/>
      <c r="E1817" s="300"/>
      <c r="F1817" s="300"/>
      <c r="G1817" s="302"/>
      <c r="H1817" s="310"/>
      <c r="I1817" s="311"/>
      <c r="J1817" s="311"/>
      <c r="K1817" s="311"/>
      <c r="L1817" s="310"/>
      <c r="M1817" s="310"/>
      <c r="N1817" s="311"/>
    </row>
    <row r="1818" spans="1:14" s="294" customFormat="1">
      <c r="A1818" s="297" t="s">
        <v>1515</v>
      </c>
      <c r="B1818" s="298"/>
      <c r="C1818" s="299" t="s">
        <v>1519</v>
      </c>
      <c r="D1818" s="299">
        <v>1</v>
      </c>
      <c r="E1818" s="300">
        <v>3</v>
      </c>
      <c r="F1818" s="300">
        <f>E1818*D1818</f>
        <v>3</v>
      </c>
      <c r="G1818" s="299">
        <f>(4.15)+17*0.01*2</f>
        <v>4.49</v>
      </c>
      <c r="H1818" s="310" t="str">
        <f t="shared" ref="H1818:H1824" si="1954">IF(C1818="T6",G1818*F1818,"")</f>
        <v/>
      </c>
      <c r="I1818" s="311" t="str">
        <f t="shared" ref="I1818:I1824" si="1955">IF(C1818="T8",F1818*G1818,"")</f>
        <v/>
      </c>
      <c r="J1818" s="311">
        <f t="shared" ref="J1818:J1824" si="1956">IF(C1818="T10",F1818*G1818,"")</f>
        <v>13.47</v>
      </c>
      <c r="K1818" s="311" t="str">
        <f t="shared" ref="K1818:K1824" si="1957">IF(C1818="T12",F1818*G1818,"")</f>
        <v/>
      </c>
      <c r="L1818" s="310" t="str">
        <f t="shared" ref="L1818:L1824" si="1958">IF(C1818="T14",F1818*G1818,"")</f>
        <v/>
      </c>
      <c r="M1818" s="310" t="str">
        <f t="shared" ref="M1818:M1824" si="1959">IF(C1818="T16",G1818*F1818,"")</f>
        <v/>
      </c>
      <c r="N1818" s="311" t="str">
        <f t="shared" ref="N1818:N1824" si="1960">IF(C1818="T20",G1818*F1818,"")</f>
        <v/>
      </c>
    </row>
    <row r="1819" spans="1:14" s="294" customFormat="1">
      <c r="A1819" s="297" t="s">
        <v>1515</v>
      </c>
      <c r="B1819" s="298"/>
      <c r="C1819" s="299" t="s">
        <v>1492</v>
      </c>
      <c r="D1819" s="299">
        <v>1</v>
      </c>
      <c r="E1819" s="300">
        <v>3</v>
      </c>
      <c r="F1819" s="300">
        <f>E1819*D1819</f>
        <v>3</v>
      </c>
      <c r="G1819" s="302">
        <f>(4.15)+17*0.014*2</f>
        <v>4.63</v>
      </c>
      <c r="H1819" s="310" t="str">
        <f t="shared" si="1954"/>
        <v/>
      </c>
      <c r="I1819" s="311" t="str">
        <f t="shared" si="1955"/>
        <v/>
      </c>
      <c r="J1819" s="311" t="str">
        <f t="shared" si="1956"/>
        <v/>
      </c>
      <c r="K1819" s="311" t="str">
        <f t="shared" si="1957"/>
        <v/>
      </c>
      <c r="L1819" s="310">
        <f t="shared" si="1958"/>
        <v>13.89</v>
      </c>
      <c r="M1819" s="310" t="str">
        <f t="shared" si="1959"/>
        <v/>
      </c>
      <c r="N1819" s="311" t="str">
        <f t="shared" si="1960"/>
        <v/>
      </c>
    </row>
    <row r="1820" spans="1:14" s="294" customFormat="1">
      <c r="A1820" s="297"/>
      <c r="B1820" s="298"/>
      <c r="C1820" s="299" t="s">
        <v>1519</v>
      </c>
      <c r="D1820" s="299">
        <v>1</v>
      </c>
      <c r="E1820" s="300">
        <v>3</v>
      </c>
      <c r="F1820" s="300">
        <f>E1820*D1820</f>
        <v>3</v>
      </c>
      <c r="G1820" s="302">
        <v>4.3499999999999996</v>
      </c>
      <c r="H1820" s="310" t="str">
        <f t="shared" si="1954"/>
        <v/>
      </c>
      <c r="I1820" s="311" t="str">
        <f t="shared" si="1955"/>
        <v/>
      </c>
      <c r="J1820" s="311">
        <f t="shared" si="1956"/>
        <v>13.05</v>
      </c>
      <c r="K1820" s="311" t="str">
        <f t="shared" si="1957"/>
        <v/>
      </c>
      <c r="L1820" s="310" t="str">
        <f t="shared" si="1958"/>
        <v/>
      </c>
      <c r="M1820" s="310" t="str">
        <f t="shared" si="1959"/>
        <v/>
      </c>
      <c r="N1820" s="311" t="str">
        <f t="shared" si="1960"/>
        <v/>
      </c>
    </row>
    <row r="1821" spans="1:14" s="294" customFormat="1">
      <c r="A1821" s="297" t="s">
        <v>1494</v>
      </c>
      <c r="B1821" s="301"/>
      <c r="C1821" s="299" t="s">
        <v>1496</v>
      </c>
      <c r="D1821" s="299">
        <v>1</v>
      </c>
      <c r="E1821" s="300">
        <f>13+13+20</f>
        <v>46</v>
      </c>
      <c r="F1821" s="300">
        <f t="shared" ref="F1821:F1822" si="1961">E1821*D1821</f>
        <v>46</v>
      </c>
      <c r="G1821" s="302">
        <f>(0.2+0.55)*2+17*0.008*2</f>
        <v>1.77</v>
      </c>
      <c r="H1821" s="310" t="str">
        <f t="shared" si="1954"/>
        <v/>
      </c>
      <c r="I1821" s="311">
        <f t="shared" si="1955"/>
        <v>81.42</v>
      </c>
      <c r="J1821" s="311" t="str">
        <f t="shared" si="1956"/>
        <v/>
      </c>
      <c r="K1821" s="311" t="str">
        <f t="shared" si="1957"/>
        <v/>
      </c>
      <c r="L1821" s="310" t="str">
        <f t="shared" si="1958"/>
        <v/>
      </c>
      <c r="M1821" s="310" t="str">
        <f t="shared" si="1959"/>
        <v/>
      </c>
      <c r="N1821" s="311" t="str">
        <f t="shared" si="1960"/>
        <v/>
      </c>
    </row>
    <row r="1822" spans="1:14" s="294" customFormat="1">
      <c r="A1822" s="297" t="s">
        <v>1517</v>
      </c>
      <c r="B1822" s="301"/>
      <c r="C1822" s="299" t="s">
        <v>1496</v>
      </c>
      <c r="D1822" s="299">
        <v>1</v>
      </c>
      <c r="E1822" s="300">
        <v>46</v>
      </c>
      <c r="F1822" s="300">
        <f t="shared" si="1961"/>
        <v>46</v>
      </c>
      <c r="G1822" s="302">
        <f>(0.55*2)+17*0.008*2</f>
        <v>1.37</v>
      </c>
      <c r="H1822" s="310" t="str">
        <f t="shared" si="1954"/>
        <v/>
      </c>
      <c r="I1822" s="311">
        <f t="shared" si="1955"/>
        <v>63.02</v>
      </c>
      <c r="J1822" s="311" t="str">
        <f t="shared" si="1956"/>
        <v/>
      </c>
      <c r="K1822" s="311" t="str">
        <f t="shared" si="1957"/>
        <v/>
      </c>
      <c r="L1822" s="310" t="str">
        <f t="shared" si="1958"/>
        <v/>
      </c>
      <c r="M1822" s="310" t="str">
        <f t="shared" si="1959"/>
        <v/>
      </c>
      <c r="N1822" s="311" t="str">
        <f t="shared" si="1960"/>
        <v/>
      </c>
    </row>
    <row r="1823" spans="1:14">
      <c r="A1823" s="297" t="s">
        <v>1520</v>
      </c>
      <c r="B1823" s="254"/>
      <c r="C1823" s="299" t="s">
        <v>1492</v>
      </c>
      <c r="D1823" s="299">
        <v>1</v>
      </c>
      <c r="E1823" s="300">
        <v>6</v>
      </c>
      <c r="F1823" s="300">
        <f>E1823*D1823</f>
        <v>6</v>
      </c>
      <c r="G1823" s="302">
        <v>2.9</v>
      </c>
      <c r="H1823" s="310" t="str">
        <f t="shared" si="1954"/>
        <v/>
      </c>
      <c r="I1823" s="311" t="str">
        <f t="shared" si="1955"/>
        <v/>
      </c>
      <c r="J1823" s="311" t="str">
        <f t="shared" si="1956"/>
        <v/>
      </c>
      <c r="K1823" s="311" t="str">
        <f t="shared" si="1957"/>
        <v/>
      </c>
      <c r="L1823" s="310">
        <f t="shared" si="1958"/>
        <v>17.399999999999999</v>
      </c>
      <c r="M1823" s="310" t="str">
        <f t="shared" si="1959"/>
        <v/>
      </c>
      <c r="N1823" s="311" t="str">
        <f t="shared" si="1960"/>
        <v/>
      </c>
    </row>
    <row r="1824" spans="1:14">
      <c r="A1824" s="297"/>
      <c r="B1824" s="254"/>
      <c r="C1824" s="299" t="s">
        <v>1516</v>
      </c>
      <c r="D1824" s="299">
        <v>1</v>
      </c>
      <c r="E1824" s="300">
        <v>3</v>
      </c>
      <c r="F1824" s="300">
        <f>E1824*D1824</f>
        <v>3</v>
      </c>
      <c r="G1824" s="302">
        <v>3.85</v>
      </c>
      <c r="H1824" s="310" t="str">
        <f t="shared" si="1954"/>
        <v/>
      </c>
      <c r="I1824" s="311" t="str">
        <f t="shared" si="1955"/>
        <v/>
      </c>
      <c r="J1824" s="311" t="str">
        <f t="shared" si="1956"/>
        <v/>
      </c>
      <c r="K1824" s="311">
        <f t="shared" si="1957"/>
        <v>11.55</v>
      </c>
      <c r="L1824" s="310" t="str">
        <f t="shared" si="1958"/>
        <v/>
      </c>
      <c r="M1824" s="310" t="str">
        <f t="shared" si="1959"/>
        <v/>
      </c>
      <c r="N1824" s="311" t="str">
        <f t="shared" si="1960"/>
        <v/>
      </c>
    </row>
    <row r="1825" spans="1:14" ht="16.5">
      <c r="A1825" s="303"/>
      <c r="B1825" s="254"/>
      <c r="C1825" s="299"/>
      <c r="D1825" s="299"/>
      <c r="E1825" s="300"/>
      <c r="F1825" s="300"/>
      <c r="G1825" s="302"/>
      <c r="H1825" s="310"/>
      <c r="I1825" s="311"/>
      <c r="J1825" s="311"/>
      <c r="K1825" s="311"/>
      <c r="L1825" s="310"/>
      <c r="M1825" s="310"/>
      <c r="N1825" s="311"/>
    </row>
    <row r="1826" spans="1:14" ht="16.5">
      <c r="A1826" s="303" t="s">
        <v>1425</v>
      </c>
      <c r="B1826" s="254"/>
      <c r="C1826" s="299"/>
      <c r="D1826" s="299"/>
      <c r="E1826" s="300"/>
      <c r="F1826" s="300"/>
      <c r="G1826" s="302"/>
      <c r="H1826" s="310"/>
      <c r="I1826" s="311"/>
      <c r="J1826" s="311"/>
      <c r="K1826" s="311"/>
      <c r="L1826" s="310"/>
      <c r="M1826" s="310"/>
      <c r="N1826" s="311"/>
    </row>
    <row r="1827" spans="1:14" s="294" customFormat="1">
      <c r="A1827" s="297" t="s">
        <v>1515</v>
      </c>
      <c r="B1827" s="298"/>
      <c r="C1827" s="299" t="s">
        <v>1498</v>
      </c>
      <c r="D1827" s="299">
        <v>1</v>
      </c>
      <c r="E1827" s="300">
        <v>3</v>
      </c>
      <c r="F1827" s="300">
        <f>E1827*D1827</f>
        <v>3</v>
      </c>
      <c r="G1827" s="299">
        <f>(3.2)+17*0.016*2</f>
        <v>3.7440000000000002</v>
      </c>
      <c r="H1827" s="310" t="str">
        <f t="shared" ref="H1827:H1833" si="1962">IF(C1827="T6",G1827*F1827,"")</f>
        <v/>
      </c>
      <c r="I1827" s="311" t="str">
        <f t="shared" ref="I1827:I1833" si="1963">IF(C1827="T8",F1827*G1827,"")</f>
        <v/>
      </c>
      <c r="J1827" s="311" t="str">
        <f t="shared" ref="J1827:J1833" si="1964">IF(C1827="T10",F1827*G1827,"")</f>
        <v/>
      </c>
      <c r="K1827" s="311" t="str">
        <f t="shared" ref="K1827:K1833" si="1965">IF(C1827="T12",F1827*G1827,"")</f>
        <v/>
      </c>
      <c r="L1827" s="310" t="str">
        <f t="shared" ref="L1827:L1833" si="1966">IF(C1827="T14",F1827*G1827,"")</f>
        <v/>
      </c>
      <c r="M1827" s="310">
        <f t="shared" ref="M1827:M1833" si="1967">IF(C1827="T16",G1827*F1827,"")</f>
        <v>11.23</v>
      </c>
      <c r="N1827" s="311" t="str">
        <f t="shared" ref="N1827:N1833" si="1968">IF(C1827="T20",G1827*F1827,"")</f>
        <v/>
      </c>
    </row>
    <row r="1828" spans="1:14" s="294" customFormat="1">
      <c r="A1828" s="297" t="s">
        <v>1515</v>
      </c>
      <c r="B1828" s="298"/>
      <c r="C1828" s="299" t="s">
        <v>1492</v>
      </c>
      <c r="D1828" s="299">
        <v>1</v>
      </c>
      <c r="E1828" s="300">
        <v>3</v>
      </c>
      <c r="F1828" s="300">
        <f>E1828*D1828</f>
        <v>3</v>
      </c>
      <c r="G1828" s="302">
        <f>(2.6)+17*0.014*2</f>
        <v>3.08</v>
      </c>
      <c r="H1828" s="310" t="str">
        <f t="shared" si="1962"/>
        <v/>
      </c>
      <c r="I1828" s="311" t="str">
        <f t="shared" si="1963"/>
        <v/>
      </c>
      <c r="J1828" s="311" t="str">
        <f t="shared" si="1964"/>
        <v/>
      </c>
      <c r="K1828" s="311" t="str">
        <f t="shared" si="1965"/>
        <v/>
      </c>
      <c r="L1828" s="310">
        <f t="shared" si="1966"/>
        <v>9.24</v>
      </c>
      <c r="M1828" s="310" t="str">
        <f t="shared" si="1967"/>
        <v/>
      </c>
      <c r="N1828" s="311" t="str">
        <f t="shared" si="1968"/>
        <v/>
      </c>
    </row>
    <row r="1829" spans="1:14" s="294" customFormat="1">
      <c r="A1829" s="297"/>
      <c r="B1829" s="298"/>
      <c r="C1829" s="299" t="s">
        <v>1516</v>
      </c>
      <c r="D1829" s="299">
        <v>1</v>
      </c>
      <c r="E1829" s="300">
        <v>3</v>
      </c>
      <c r="F1829" s="300">
        <f>E1829*D1829</f>
        <v>3</v>
      </c>
      <c r="G1829" s="302">
        <v>2.8</v>
      </c>
      <c r="H1829" s="310" t="str">
        <f t="shared" si="1962"/>
        <v/>
      </c>
      <c r="I1829" s="311" t="str">
        <f t="shared" si="1963"/>
        <v/>
      </c>
      <c r="J1829" s="311" t="str">
        <f t="shared" si="1964"/>
        <v/>
      </c>
      <c r="K1829" s="311">
        <f t="shared" si="1965"/>
        <v>8.4</v>
      </c>
      <c r="L1829" s="310" t="str">
        <f t="shared" si="1966"/>
        <v/>
      </c>
      <c r="M1829" s="310" t="str">
        <f t="shared" si="1967"/>
        <v/>
      </c>
      <c r="N1829" s="311" t="str">
        <f t="shared" si="1968"/>
        <v/>
      </c>
    </row>
    <row r="1830" spans="1:14" s="294" customFormat="1">
      <c r="A1830" s="297" t="s">
        <v>1494</v>
      </c>
      <c r="B1830" s="301"/>
      <c r="C1830" s="299" t="s">
        <v>1496</v>
      </c>
      <c r="D1830" s="299">
        <v>1</v>
      </c>
      <c r="E1830" s="300">
        <f>11+12+11</f>
        <v>34</v>
      </c>
      <c r="F1830" s="300">
        <f t="shared" ref="F1830:F1831" si="1969">E1830*D1830</f>
        <v>34</v>
      </c>
      <c r="G1830" s="302">
        <f>(0.2+0.5)*2+17*0.008*2</f>
        <v>1.67</v>
      </c>
      <c r="H1830" s="310" t="str">
        <f t="shared" si="1962"/>
        <v/>
      </c>
      <c r="I1830" s="311">
        <f t="shared" si="1963"/>
        <v>56.78</v>
      </c>
      <c r="J1830" s="311" t="str">
        <f t="shared" si="1964"/>
        <v/>
      </c>
      <c r="K1830" s="311" t="str">
        <f t="shared" si="1965"/>
        <v/>
      </c>
      <c r="L1830" s="310" t="str">
        <f t="shared" si="1966"/>
        <v/>
      </c>
      <c r="M1830" s="310" t="str">
        <f t="shared" si="1967"/>
        <v/>
      </c>
      <c r="N1830" s="311" t="str">
        <f t="shared" si="1968"/>
        <v/>
      </c>
    </row>
    <row r="1831" spans="1:14" s="294" customFormat="1">
      <c r="A1831" s="297" t="s">
        <v>1517</v>
      </c>
      <c r="B1831" s="301"/>
      <c r="C1831" s="299" t="s">
        <v>1496</v>
      </c>
      <c r="D1831" s="299">
        <v>1</v>
      </c>
      <c r="E1831" s="300">
        <v>34</v>
      </c>
      <c r="F1831" s="300">
        <f t="shared" si="1969"/>
        <v>34</v>
      </c>
      <c r="G1831" s="302">
        <f>(0.5*2)+17*0.008*2</f>
        <v>1.27</v>
      </c>
      <c r="H1831" s="310" t="str">
        <f t="shared" si="1962"/>
        <v/>
      </c>
      <c r="I1831" s="311">
        <f t="shared" si="1963"/>
        <v>43.18</v>
      </c>
      <c r="J1831" s="311" t="str">
        <f t="shared" si="1964"/>
        <v/>
      </c>
      <c r="K1831" s="311" t="str">
        <f t="shared" si="1965"/>
        <v/>
      </c>
      <c r="L1831" s="310" t="str">
        <f t="shared" si="1966"/>
        <v/>
      </c>
      <c r="M1831" s="310" t="str">
        <f t="shared" si="1967"/>
        <v/>
      </c>
      <c r="N1831" s="311" t="str">
        <f t="shared" si="1968"/>
        <v/>
      </c>
    </row>
    <row r="1832" spans="1:14">
      <c r="A1832" s="297" t="s">
        <v>1520</v>
      </c>
      <c r="B1832" s="254"/>
      <c r="C1832" s="299" t="s">
        <v>1492</v>
      </c>
      <c r="D1832" s="299">
        <v>1</v>
      </c>
      <c r="E1832" s="300">
        <v>6</v>
      </c>
      <c r="F1832" s="300">
        <f>E1832*D1832</f>
        <v>6</v>
      </c>
      <c r="G1832" s="302">
        <v>3</v>
      </c>
      <c r="H1832" s="310" t="str">
        <f t="shared" si="1962"/>
        <v/>
      </c>
      <c r="I1832" s="311" t="str">
        <f t="shared" si="1963"/>
        <v/>
      </c>
      <c r="J1832" s="311" t="str">
        <f t="shared" si="1964"/>
        <v/>
      </c>
      <c r="K1832" s="311" t="str">
        <f t="shared" si="1965"/>
        <v/>
      </c>
      <c r="L1832" s="310">
        <f t="shared" si="1966"/>
        <v>18</v>
      </c>
      <c r="M1832" s="310" t="str">
        <f t="shared" si="1967"/>
        <v/>
      </c>
      <c r="N1832" s="311" t="str">
        <f t="shared" si="1968"/>
        <v/>
      </c>
    </row>
    <row r="1833" spans="1:14">
      <c r="A1833" s="297"/>
      <c r="B1833" s="254"/>
      <c r="C1833" s="299" t="s">
        <v>1498</v>
      </c>
      <c r="D1833" s="299">
        <v>1</v>
      </c>
      <c r="E1833" s="300">
        <v>6</v>
      </c>
      <c r="F1833" s="300">
        <f>E1833*D1833</f>
        <v>6</v>
      </c>
      <c r="G1833" s="302">
        <v>4.5</v>
      </c>
      <c r="H1833" s="310" t="str">
        <f t="shared" si="1962"/>
        <v/>
      </c>
      <c r="I1833" s="311" t="str">
        <f t="shared" si="1963"/>
        <v/>
      </c>
      <c r="J1833" s="311" t="str">
        <f t="shared" si="1964"/>
        <v/>
      </c>
      <c r="K1833" s="311" t="str">
        <f t="shared" si="1965"/>
        <v/>
      </c>
      <c r="L1833" s="310" t="str">
        <f t="shared" si="1966"/>
        <v/>
      </c>
      <c r="M1833" s="310">
        <f t="shared" si="1967"/>
        <v>27</v>
      </c>
      <c r="N1833" s="311" t="str">
        <f t="shared" si="1968"/>
        <v/>
      </c>
    </row>
    <row r="1834" spans="1:14">
      <c r="A1834" s="297"/>
      <c r="B1834" s="254"/>
      <c r="C1834" s="299" t="s">
        <v>1498</v>
      </c>
      <c r="D1834" s="299">
        <v>1</v>
      </c>
      <c r="E1834" s="300">
        <v>3</v>
      </c>
      <c r="F1834" s="300">
        <f>E1834*D1834</f>
        <v>3</v>
      </c>
      <c r="G1834" s="302">
        <v>1.8</v>
      </c>
      <c r="H1834" s="310" t="str">
        <f t="shared" ref="H1834" si="1970">IF(C1834="T6",G1834*F1834,"")</f>
        <v/>
      </c>
      <c r="I1834" s="311" t="str">
        <f t="shared" ref="I1834" si="1971">IF(C1834="T8",F1834*G1834,"")</f>
        <v/>
      </c>
      <c r="J1834" s="311" t="str">
        <f t="shared" ref="J1834" si="1972">IF(C1834="T10",F1834*G1834,"")</f>
        <v/>
      </c>
      <c r="K1834" s="311" t="str">
        <f t="shared" ref="K1834" si="1973">IF(C1834="T12",F1834*G1834,"")</f>
        <v/>
      </c>
      <c r="L1834" s="310" t="str">
        <f t="shared" ref="L1834" si="1974">IF(C1834="T14",F1834*G1834,"")</f>
        <v/>
      </c>
      <c r="M1834" s="310">
        <f t="shared" ref="M1834" si="1975">IF(C1834="T16",G1834*F1834,"")</f>
        <v>5.4</v>
      </c>
      <c r="N1834" s="311" t="str">
        <f t="shared" ref="N1834" si="1976">IF(C1834="T20",G1834*F1834,"")</f>
        <v/>
      </c>
    </row>
    <row r="1835" spans="1:14" ht="16.5">
      <c r="A1835" s="303"/>
      <c r="B1835" s="254"/>
      <c r="C1835" s="299"/>
      <c r="D1835" s="299"/>
      <c r="E1835" s="300"/>
      <c r="F1835" s="300"/>
      <c r="G1835" s="302"/>
      <c r="H1835" s="310"/>
      <c r="I1835" s="311"/>
      <c r="J1835" s="311"/>
      <c r="K1835" s="311"/>
      <c r="L1835" s="310"/>
      <c r="M1835" s="310"/>
      <c r="N1835" s="311"/>
    </row>
    <row r="1836" spans="1:14" ht="16.5">
      <c r="A1836" s="303" t="s">
        <v>1426</v>
      </c>
      <c r="B1836" s="254"/>
      <c r="C1836" s="299"/>
      <c r="D1836" s="299"/>
      <c r="E1836" s="300"/>
      <c r="F1836" s="300"/>
      <c r="G1836" s="302"/>
      <c r="H1836" s="310"/>
      <c r="I1836" s="311"/>
      <c r="J1836" s="311"/>
      <c r="K1836" s="311"/>
      <c r="L1836" s="310"/>
      <c r="M1836" s="310"/>
      <c r="N1836" s="311"/>
    </row>
    <row r="1837" spans="1:14" s="294" customFormat="1">
      <c r="A1837" s="297" t="s">
        <v>1515</v>
      </c>
      <c r="B1837" s="298"/>
      <c r="C1837" s="299" t="s">
        <v>1498</v>
      </c>
      <c r="D1837" s="299">
        <v>1</v>
      </c>
      <c r="E1837" s="300">
        <v>3</v>
      </c>
      <c r="F1837" s="300">
        <f>E1837*D1837</f>
        <v>3</v>
      </c>
      <c r="G1837" s="299">
        <f>(6.25)+17*0.016*2</f>
        <v>6.7939999999999996</v>
      </c>
      <c r="H1837" s="310" t="str">
        <f t="shared" ref="H1837:H1844" si="1977">IF(C1837="T6",G1837*F1837,"")</f>
        <v/>
      </c>
      <c r="I1837" s="311" t="str">
        <f t="shared" ref="I1837:I1844" si="1978">IF(C1837="T8",F1837*G1837,"")</f>
        <v/>
      </c>
      <c r="J1837" s="311" t="str">
        <f t="shared" ref="J1837:J1844" si="1979">IF(C1837="T10",F1837*G1837,"")</f>
        <v/>
      </c>
      <c r="K1837" s="311" t="str">
        <f t="shared" ref="K1837:K1844" si="1980">IF(C1837="T12",F1837*G1837,"")</f>
        <v/>
      </c>
      <c r="L1837" s="310" t="str">
        <f t="shared" ref="L1837:L1844" si="1981">IF(C1837="T14",F1837*G1837,"")</f>
        <v/>
      </c>
      <c r="M1837" s="310">
        <f t="shared" ref="M1837:M1844" si="1982">IF(C1837="T16",G1837*F1837,"")</f>
        <v>20.38</v>
      </c>
      <c r="N1837" s="311" t="str">
        <f t="shared" ref="N1837:N1844" si="1983">IF(C1837="T20",G1837*F1837,"")</f>
        <v/>
      </c>
    </row>
    <row r="1838" spans="1:14" s="294" customFormat="1">
      <c r="A1838" s="297" t="s">
        <v>1515</v>
      </c>
      <c r="B1838" s="298"/>
      <c r="C1838" s="299" t="s">
        <v>1492</v>
      </c>
      <c r="D1838" s="299">
        <v>1</v>
      </c>
      <c r="E1838" s="300">
        <v>3</v>
      </c>
      <c r="F1838" s="300">
        <f>E1838*D1838</f>
        <v>3</v>
      </c>
      <c r="G1838" s="302">
        <f>(6.25)+17*0.014*2</f>
        <v>6.73</v>
      </c>
      <c r="H1838" s="310" t="str">
        <f t="shared" si="1977"/>
        <v/>
      </c>
      <c r="I1838" s="311" t="str">
        <f t="shared" si="1978"/>
        <v/>
      </c>
      <c r="J1838" s="311" t="str">
        <f t="shared" si="1979"/>
        <v/>
      </c>
      <c r="K1838" s="311" t="str">
        <f t="shared" si="1980"/>
        <v/>
      </c>
      <c r="L1838" s="310">
        <f t="shared" si="1981"/>
        <v>20.190000000000001</v>
      </c>
      <c r="M1838" s="310" t="str">
        <f t="shared" si="1982"/>
        <v/>
      </c>
      <c r="N1838" s="311" t="str">
        <f t="shared" si="1983"/>
        <v/>
      </c>
    </row>
    <row r="1839" spans="1:14" s="294" customFormat="1">
      <c r="A1839" s="297"/>
      <c r="B1839" s="298"/>
      <c r="C1839" s="299" t="s">
        <v>1516</v>
      </c>
      <c r="D1839" s="299">
        <v>1</v>
      </c>
      <c r="E1839" s="300">
        <v>6</v>
      </c>
      <c r="F1839" s="300">
        <f>E1839*D1839</f>
        <v>6</v>
      </c>
      <c r="G1839" s="302">
        <v>6.85</v>
      </c>
      <c r="H1839" s="310" t="str">
        <f t="shared" si="1977"/>
        <v/>
      </c>
      <c r="I1839" s="311" t="str">
        <f t="shared" si="1978"/>
        <v/>
      </c>
      <c r="J1839" s="311" t="str">
        <f t="shared" si="1979"/>
        <v/>
      </c>
      <c r="K1839" s="311">
        <f t="shared" si="1980"/>
        <v>41.1</v>
      </c>
      <c r="L1839" s="310" t="str">
        <f t="shared" si="1981"/>
        <v/>
      </c>
      <c r="M1839" s="310" t="str">
        <f t="shared" si="1982"/>
        <v/>
      </c>
      <c r="N1839" s="311" t="str">
        <f t="shared" si="1983"/>
        <v/>
      </c>
    </row>
    <row r="1840" spans="1:14" s="294" customFormat="1">
      <c r="A1840" s="297" t="s">
        <v>1494</v>
      </c>
      <c r="B1840" s="301"/>
      <c r="C1840" s="299" t="s">
        <v>1496</v>
      </c>
      <c r="D1840" s="299">
        <v>1</v>
      </c>
      <c r="E1840" s="300">
        <f>20*3</f>
        <v>60</v>
      </c>
      <c r="F1840" s="300">
        <f t="shared" ref="F1840:F1841" si="1984">E1840*D1840</f>
        <v>60</v>
      </c>
      <c r="G1840" s="302">
        <f>(0.2+0.7)*2+17*0.008*2</f>
        <v>2.0699999999999998</v>
      </c>
      <c r="H1840" s="310" t="str">
        <f t="shared" si="1977"/>
        <v/>
      </c>
      <c r="I1840" s="311">
        <f t="shared" si="1978"/>
        <v>124.2</v>
      </c>
      <c r="J1840" s="311" t="str">
        <f t="shared" si="1979"/>
        <v/>
      </c>
      <c r="K1840" s="311" t="str">
        <f t="shared" si="1980"/>
        <v/>
      </c>
      <c r="L1840" s="310" t="str">
        <f t="shared" si="1981"/>
        <v/>
      </c>
      <c r="M1840" s="310" t="str">
        <f t="shared" si="1982"/>
        <v/>
      </c>
      <c r="N1840" s="311" t="str">
        <f t="shared" si="1983"/>
        <v/>
      </c>
    </row>
    <row r="1841" spans="1:14" s="294" customFormat="1">
      <c r="A1841" s="297" t="s">
        <v>1517</v>
      </c>
      <c r="B1841" s="301"/>
      <c r="C1841" s="299" t="s">
        <v>1496</v>
      </c>
      <c r="D1841" s="299">
        <v>1</v>
      </c>
      <c r="E1841" s="300">
        <f>20*3</f>
        <v>60</v>
      </c>
      <c r="F1841" s="300">
        <f t="shared" si="1984"/>
        <v>60</v>
      </c>
      <c r="G1841" s="302">
        <f>(0.7*2)+17*0.008*2</f>
        <v>1.67</v>
      </c>
      <c r="H1841" s="310" t="str">
        <f t="shared" si="1977"/>
        <v/>
      </c>
      <c r="I1841" s="311">
        <f t="shared" si="1978"/>
        <v>100.2</v>
      </c>
      <c r="J1841" s="311" t="str">
        <f t="shared" si="1979"/>
        <v/>
      </c>
      <c r="K1841" s="311" t="str">
        <f t="shared" si="1980"/>
        <v/>
      </c>
      <c r="L1841" s="310" t="str">
        <f t="shared" si="1981"/>
        <v/>
      </c>
      <c r="M1841" s="310" t="str">
        <f t="shared" si="1982"/>
        <v/>
      </c>
      <c r="N1841" s="311" t="str">
        <f t="shared" si="1983"/>
        <v/>
      </c>
    </row>
    <row r="1842" spans="1:14">
      <c r="A1842" s="297" t="s">
        <v>1520</v>
      </c>
      <c r="B1842" s="254"/>
      <c r="C1842" s="299" t="s">
        <v>1498</v>
      </c>
      <c r="D1842" s="299">
        <v>1</v>
      </c>
      <c r="E1842" s="300">
        <v>12</v>
      </c>
      <c r="F1842" s="300">
        <f>E1842*D1842</f>
        <v>12</v>
      </c>
      <c r="G1842" s="302">
        <v>4.5</v>
      </c>
      <c r="H1842" s="310" t="str">
        <f t="shared" si="1977"/>
        <v/>
      </c>
      <c r="I1842" s="311" t="str">
        <f t="shared" si="1978"/>
        <v/>
      </c>
      <c r="J1842" s="311" t="str">
        <f t="shared" si="1979"/>
        <v/>
      </c>
      <c r="K1842" s="311" t="str">
        <f t="shared" si="1980"/>
        <v/>
      </c>
      <c r="L1842" s="310" t="str">
        <f t="shared" si="1981"/>
        <v/>
      </c>
      <c r="M1842" s="310">
        <f t="shared" si="1982"/>
        <v>54</v>
      </c>
      <c r="N1842" s="311" t="str">
        <f t="shared" si="1983"/>
        <v/>
      </c>
    </row>
    <row r="1843" spans="1:14">
      <c r="A1843" s="297"/>
      <c r="B1843" s="254"/>
      <c r="C1843" s="299" t="s">
        <v>1498</v>
      </c>
      <c r="D1843" s="299">
        <v>1</v>
      </c>
      <c r="E1843" s="300">
        <v>3</v>
      </c>
      <c r="F1843" s="300">
        <f>E1843*D1843</f>
        <v>3</v>
      </c>
      <c r="G1843" s="302">
        <v>5.85</v>
      </c>
      <c r="H1843" s="310" t="str">
        <f t="shared" si="1977"/>
        <v/>
      </c>
      <c r="I1843" s="311" t="str">
        <f t="shared" si="1978"/>
        <v/>
      </c>
      <c r="J1843" s="311" t="str">
        <f t="shared" si="1979"/>
        <v/>
      </c>
      <c r="K1843" s="311" t="str">
        <f t="shared" si="1980"/>
        <v/>
      </c>
      <c r="L1843" s="310" t="str">
        <f t="shared" si="1981"/>
        <v/>
      </c>
      <c r="M1843" s="310">
        <f t="shared" si="1982"/>
        <v>17.55</v>
      </c>
      <c r="N1843" s="311" t="str">
        <f t="shared" si="1983"/>
        <v/>
      </c>
    </row>
    <row r="1844" spans="1:14">
      <c r="A1844" s="297"/>
      <c r="B1844" s="254"/>
      <c r="C1844" s="299" t="s">
        <v>1521</v>
      </c>
      <c r="D1844" s="299">
        <v>1</v>
      </c>
      <c r="E1844" s="300">
        <v>6</v>
      </c>
      <c r="F1844" s="300">
        <f>E1844*D1844</f>
        <v>6</v>
      </c>
      <c r="G1844" s="302">
        <v>6.25</v>
      </c>
      <c r="H1844" s="310" t="str">
        <f t="shared" si="1977"/>
        <v/>
      </c>
      <c r="I1844" s="311" t="str">
        <f t="shared" si="1978"/>
        <v/>
      </c>
      <c r="J1844" s="311" t="str">
        <f t="shared" si="1979"/>
        <v/>
      </c>
      <c r="K1844" s="311" t="str">
        <f t="shared" si="1980"/>
        <v/>
      </c>
      <c r="L1844" s="310" t="str">
        <f t="shared" si="1981"/>
        <v/>
      </c>
      <c r="M1844" s="310" t="str">
        <f t="shared" si="1982"/>
        <v/>
      </c>
      <c r="N1844" s="311">
        <f t="shared" si="1983"/>
        <v>37.5</v>
      </c>
    </row>
    <row r="1845" spans="1:14" ht="16.5">
      <c r="A1845" s="303"/>
      <c r="B1845" s="254"/>
      <c r="C1845" s="299"/>
      <c r="D1845" s="299"/>
      <c r="E1845" s="300"/>
      <c r="F1845" s="300"/>
      <c r="G1845" s="302"/>
      <c r="H1845" s="310"/>
      <c r="I1845" s="311"/>
      <c r="J1845" s="311"/>
      <c r="K1845" s="311"/>
      <c r="L1845" s="310"/>
      <c r="M1845" s="310"/>
      <c r="N1845" s="311"/>
    </row>
    <row r="1846" spans="1:14" ht="16.5">
      <c r="A1846" s="303" t="s">
        <v>1427</v>
      </c>
      <c r="B1846" s="254"/>
      <c r="C1846" s="299"/>
      <c r="D1846" s="299"/>
      <c r="E1846" s="300"/>
      <c r="F1846" s="300"/>
      <c r="G1846" s="302"/>
      <c r="H1846" s="310"/>
      <c r="I1846" s="311"/>
      <c r="J1846" s="311"/>
      <c r="K1846" s="311"/>
      <c r="L1846" s="310"/>
      <c r="M1846" s="310"/>
      <c r="N1846" s="311"/>
    </row>
    <row r="1847" spans="1:14" s="294" customFormat="1">
      <c r="A1847" s="297" t="s">
        <v>1515</v>
      </c>
      <c r="B1847" s="298"/>
      <c r="C1847" s="299" t="s">
        <v>1519</v>
      </c>
      <c r="D1847" s="299">
        <v>1</v>
      </c>
      <c r="E1847" s="300">
        <v>3</v>
      </c>
      <c r="F1847" s="300">
        <f>E1847*D1847</f>
        <v>3</v>
      </c>
      <c r="G1847" s="299">
        <f>(5.8)+17*0.01*2</f>
        <v>6.14</v>
      </c>
      <c r="H1847" s="310" t="str">
        <f t="shared" ref="H1847:H1854" si="1985">IF(C1847="T6",G1847*F1847,"")</f>
        <v/>
      </c>
      <c r="I1847" s="311" t="str">
        <f t="shared" ref="I1847:I1854" si="1986">IF(C1847="T8",F1847*G1847,"")</f>
        <v/>
      </c>
      <c r="J1847" s="311">
        <f t="shared" ref="J1847:J1854" si="1987">IF(C1847="T10",F1847*G1847,"")</f>
        <v>18.420000000000002</v>
      </c>
      <c r="K1847" s="311" t="str">
        <f t="shared" ref="K1847:K1854" si="1988">IF(C1847="T12",F1847*G1847,"")</f>
        <v/>
      </c>
      <c r="L1847" s="310" t="str">
        <f t="shared" ref="L1847:L1854" si="1989">IF(C1847="T14",F1847*G1847,"")</f>
        <v/>
      </c>
      <c r="M1847" s="310" t="str">
        <f t="shared" ref="M1847:M1854" si="1990">IF(C1847="T16",G1847*F1847,"")</f>
        <v/>
      </c>
      <c r="N1847" s="311" t="str">
        <f t="shared" ref="N1847:N1854" si="1991">IF(C1847="T20",G1847*F1847,"")</f>
        <v/>
      </c>
    </row>
    <row r="1848" spans="1:14" s="294" customFormat="1">
      <c r="A1848" s="297" t="s">
        <v>1515</v>
      </c>
      <c r="B1848" s="298"/>
      <c r="C1848" s="299" t="s">
        <v>1492</v>
      </c>
      <c r="D1848" s="299">
        <v>1</v>
      </c>
      <c r="E1848" s="300">
        <v>3</v>
      </c>
      <c r="F1848" s="300">
        <f>E1848*D1848</f>
        <v>3</v>
      </c>
      <c r="G1848" s="302">
        <f>(5.8)+17*0.014*2</f>
        <v>6.28</v>
      </c>
      <c r="H1848" s="310" t="str">
        <f t="shared" si="1985"/>
        <v/>
      </c>
      <c r="I1848" s="311" t="str">
        <f t="shared" si="1986"/>
        <v/>
      </c>
      <c r="J1848" s="311" t="str">
        <f t="shared" si="1987"/>
        <v/>
      </c>
      <c r="K1848" s="311" t="str">
        <f t="shared" si="1988"/>
        <v/>
      </c>
      <c r="L1848" s="310">
        <f t="shared" si="1989"/>
        <v>18.84</v>
      </c>
      <c r="M1848" s="310" t="str">
        <f t="shared" si="1990"/>
        <v/>
      </c>
      <c r="N1848" s="311" t="str">
        <f t="shared" si="1991"/>
        <v/>
      </c>
    </row>
    <row r="1849" spans="1:14" s="294" customFormat="1">
      <c r="A1849" s="297"/>
      <c r="B1849" s="298"/>
      <c r="C1849" s="299" t="s">
        <v>1519</v>
      </c>
      <c r="D1849" s="299">
        <v>1</v>
      </c>
      <c r="E1849" s="300">
        <v>2</v>
      </c>
      <c r="F1849" s="300">
        <f>E1849*D1849</f>
        <v>2</v>
      </c>
      <c r="G1849" s="302">
        <v>5.95</v>
      </c>
      <c r="H1849" s="310" t="str">
        <f t="shared" si="1985"/>
        <v/>
      </c>
      <c r="I1849" s="311" t="str">
        <f t="shared" si="1986"/>
        <v/>
      </c>
      <c r="J1849" s="311">
        <f t="shared" si="1987"/>
        <v>11.9</v>
      </c>
      <c r="K1849" s="311" t="str">
        <f t="shared" si="1988"/>
        <v/>
      </c>
      <c r="L1849" s="310" t="str">
        <f t="shared" si="1989"/>
        <v/>
      </c>
      <c r="M1849" s="310" t="str">
        <f t="shared" si="1990"/>
        <v/>
      </c>
      <c r="N1849" s="311" t="str">
        <f t="shared" si="1991"/>
        <v/>
      </c>
    </row>
    <row r="1850" spans="1:14" s="294" customFormat="1">
      <c r="A1850" s="297" t="s">
        <v>1494</v>
      </c>
      <c r="B1850" s="301"/>
      <c r="C1850" s="299" t="s">
        <v>1496</v>
      </c>
      <c r="D1850" s="299">
        <v>1</v>
      </c>
      <c r="E1850" s="300">
        <f>11+12+11</f>
        <v>34</v>
      </c>
      <c r="F1850" s="300">
        <f t="shared" ref="F1850:F1851" si="1992">E1850*D1850</f>
        <v>34</v>
      </c>
      <c r="G1850" s="302">
        <f>(0.2+0.5)*2+17*0.008*2</f>
        <v>1.67</v>
      </c>
      <c r="H1850" s="310" t="str">
        <f t="shared" si="1985"/>
        <v/>
      </c>
      <c r="I1850" s="311">
        <f t="shared" si="1986"/>
        <v>56.78</v>
      </c>
      <c r="J1850" s="311" t="str">
        <f t="shared" si="1987"/>
        <v/>
      </c>
      <c r="K1850" s="311" t="str">
        <f t="shared" si="1988"/>
        <v/>
      </c>
      <c r="L1850" s="310" t="str">
        <f t="shared" si="1989"/>
        <v/>
      </c>
      <c r="M1850" s="310" t="str">
        <f t="shared" si="1990"/>
        <v/>
      </c>
      <c r="N1850" s="311" t="str">
        <f t="shared" si="1991"/>
        <v/>
      </c>
    </row>
    <row r="1851" spans="1:14" s="294" customFormat="1">
      <c r="A1851" s="297" t="s">
        <v>1517</v>
      </c>
      <c r="B1851" s="301"/>
      <c r="C1851" s="299" t="s">
        <v>1496</v>
      </c>
      <c r="D1851" s="299">
        <v>1</v>
      </c>
      <c r="E1851" s="300">
        <v>34</v>
      </c>
      <c r="F1851" s="300">
        <f t="shared" si="1992"/>
        <v>34</v>
      </c>
      <c r="G1851" s="302">
        <f>(0.5*2)+17*0.008*2</f>
        <v>1.27</v>
      </c>
      <c r="H1851" s="310" t="str">
        <f t="shared" si="1985"/>
        <v/>
      </c>
      <c r="I1851" s="311">
        <f t="shared" si="1986"/>
        <v>43.18</v>
      </c>
      <c r="J1851" s="311" t="str">
        <f t="shared" si="1987"/>
        <v/>
      </c>
      <c r="K1851" s="311" t="str">
        <f t="shared" si="1988"/>
        <v/>
      </c>
      <c r="L1851" s="310" t="str">
        <f t="shared" si="1989"/>
        <v/>
      </c>
      <c r="M1851" s="310" t="str">
        <f t="shared" si="1990"/>
        <v/>
      </c>
      <c r="N1851" s="311" t="str">
        <f t="shared" si="1991"/>
        <v/>
      </c>
    </row>
    <row r="1852" spans="1:14">
      <c r="A1852" s="297" t="s">
        <v>1520</v>
      </c>
      <c r="B1852" s="254"/>
      <c r="C1852" s="299" t="s">
        <v>1492</v>
      </c>
      <c r="D1852" s="299">
        <v>1</v>
      </c>
      <c r="E1852" s="300">
        <v>3</v>
      </c>
      <c r="F1852" s="300">
        <f>E1852*D1852</f>
        <v>3</v>
      </c>
      <c r="G1852" s="302">
        <v>4.3</v>
      </c>
      <c r="H1852" s="310" t="str">
        <f t="shared" si="1985"/>
        <v/>
      </c>
      <c r="I1852" s="311" t="str">
        <f t="shared" si="1986"/>
        <v/>
      </c>
      <c r="J1852" s="311" t="str">
        <f t="shared" si="1987"/>
        <v/>
      </c>
      <c r="K1852" s="311" t="str">
        <f t="shared" si="1988"/>
        <v/>
      </c>
      <c r="L1852" s="310">
        <f t="shared" si="1989"/>
        <v>12.9</v>
      </c>
      <c r="M1852" s="310" t="str">
        <f t="shared" si="1990"/>
        <v/>
      </c>
      <c r="N1852" s="311" t="str">
        <f t="shared" si="1991"/>
        <v/>
      </c>
    </row>
    <row r="1853" spans="1:14">
      <c r="A1853" s="297"/>
      <c r="B1853" s="254"/>
      <c r="C1853" s="299" t="s">
        <v>1516</v>
      </c>
      <c r="D1853" s="299">
        <v>1</v>
      </c>
      <c r="E1853" s="300">
        <v>3</v>
      </c>
      <c r="F1853" s="300">
        <f>E1853*D1853</f>
        <v>3</v>
      </c>
      <c r="G1853" s="302">
        <v>1.5</v>
      </c>
      <c r="H1853" s="310" t="str">
        <f t="shared" si="1985"/>
        <v/>
      </c>
      <c r="I1853" s="311" t="str">
        <f t="shared" si="1986"/>
        <v/>
      </c>
      <c r="J1853" s="311" t="str">
        <f t="shared" si="1987"/>
        <v/>
      </c>
      <c r="K1853" s="311">
        <f t="shared" si="1988"/>
        <v>4.5</v>
      </c>
      <c r="L1853" s="310" t="str">
        <f t="shared" si="1989"/>
        <v/>
      </c>
      <c r="M1853" s="310" t="str">
        <f t="shared" si="1990"/>
        <v/>
      </c>
      <c r="N1853" s="311" t="str">
        <f t="shared" si="1991"/>
        <v/>
      </c>
    </row>
    <row r="1854" spans="1:14">
      <c r="A1854" s="253"/>
      <c r="B1854" s="254"/>
      <c r="C1854" s="299" t="s">
        <v>1516</v>
      </c>
      <c r="D1854" s="299">
        <v>1</v>
      </c>
      <c r="E1854" s="300">
        <v>3</v>
      </c>
      <c r="F1854" s="300">
        <f>E1854*D1854</f>
        <v>3</v>
      </c>
      <c r="G1854" s="302">
        <v>5.4</v>
      </c>
      <c r="H1854" s="310" t="str">
        <f t="shared" si="1985"/>
        <v/>
      </c>
      <c r="I1854" s="311" t="str">
        <f t="shared" si="1986"/>
        <v/>
      </c>
      <c r="J1854" s="311" t="str">
        <f t="shared" si="1987"/>
        <v/>
      </c>
      <c r="K1854" s="311">
        <f t="shared" si="1988"/>
        <v>16.2</v>
      </c>
      <c r="L1854" s="310" t="str">
        <f t="shared" si="1989"/>
        <v/>
      </c>
      <c r="M1854" s="310" t="str">
        <f t="shared" si="1990"/>
        <v/>
      </c>
      <c r="N1854" s="311" t="str">
        <f t="shared" si="1991"/>
        <v/>
      </c>
    </row>
    <row r="1855" spans="1:14">
      <c r="A1855" s="253"/>
      <c r="B1855" s="254"/>
      <c r="C1855" s="299"/>
      <c r="D1855" s="299"/>
      <c r="E1855" s="300"/>
      <c r="F1855" s="300"/>
      <c r="G1855" s="302"/>
      <c r="H1855" s="310"/>
      <c r="I1855" s="311"/>
      <c r="J1855" s="311"/>
      <c r="K1855" s="311"/>
      <c r="L1855" s="310"/>
      <c r="M1855" s="310"/>
      <c r="N1855" s="311"/>
    </row>
    <row r="1856" spans="1:14" ht="16.5">
      <c r="A1856" s="303" t="s">
        <v>1390</v>
      </c>
      <c r="B1856" s="254"/>
      <c r="C1856" s="299"/>
      <c r="D1856" s="299"/>
      <c r="E1856" s="300"/>
      <c r="F1856" s="300"/>
      <c r="G1856" s="302"/>
      <c r="H1856" s="310"/>
      <c r="I1856" s="311"/>
      <c r="J1856" s="311"/>
      <c r="K1856" s="311"/>
      <c r="L1856" s="310"/>
      <c r="M1856" s="310"/>
      <c r="N1856" s="311"/>
    </row>
    <row r="1857" spans="1:14" s="294" customFormat="1">
      <c r="A1857" s="297" t="s">
        <v>1515</v>
      </c>
      <c r="B1857" s="298"/>
      <c r="C1857" s="299" t="s">
        <v>1519</v>
      </c>
      <c r="D1857" s="299">
        <v>1</v>
      </c>
      <c r="E1857" s="300">
        <v>6</v>
      </c>
      <c r="F1857" s="300">
        <f>E1857*D1857</f>
        <v>6</v>
      </c>
      <c r="G1857" s="299">
        <f>(5.78)+17*0.01*2</f>
        <v>6.12</v>
      </c>
      <c r="H1857" s="310" t="str">
        <f t="shared" ref="H1857:H1860" si="1993">IF(C1857="T6",G1857*F1857,"")</f>
        <v/>
      </c>
      <c r="I1857" s="311" t="str">
        <f t="shared" ref="I1857:I1860" si="1994">IF(C1857="T8",F1857*G1857,"")</f>
        <v/>
      </c>
      <c r="J1857" s="311">
        <f t="shared" ref="J1857:J1860" si="1995">IF(C1857="T10",F1857*G1857,"")</f>
        <v>36.72</v>
      </c>
      <c r="K1857" s="311" t="str">
        <f t="shared" ref="K1857:K1860" si="1996">IF(C1857="T12",F1857*G1857,"")</f>
        <v/>
      </c>
      <c r="L1857" s="310" t="str">
        <f t="shared" ref="L1857:L1860" si="1997">IF(C1857="T14",F1857*G1857,"")</f>
        <v/>
      </c>
      <c r="M1857" s="310" t="str">
        <f t="shared" ref="M1857:M1860" si="1998">IF(C1857="T16",G1857*F1857,"")</f>
        <v/>
      </c>
      <c r="N1857" s="311" t="str">
        <f t="shared" ref="N1857:N1860" si="1999">IF(C1857="T20",G1857*F1857,"")</f>
        <v/>
      </c>
    </row>
    <row r="1858" spans="1:14" s="294" customFormat="1">
      <c r="A1858" s="297" t="s">
        <v>1515</v>
      </c>
      <c r="B1858" s="298"/>
      <c r="C1858" s="299" t="s">
        <v>1516</v>
      </c>
      <c r="D1858" s="299">
        <v>1</v>
      </c>
      <c r="E1858" s="300">
        <v>3</v>
      </c>
      <c r="F1858" s="300">
        <f>E1858*D1858</f>
        <v>3</v>
      </c>
      <c r="G1858" s="299">
        <f>(5.78)+17*0.012*2</f>
        <v>6.1879999999999997</v>
      </c>
      <c r="H1858" s="310" t="str">
        <f t="shared" si="1993"/>
        <v/>
      </c>
      <c r="I1858" s="311" t="str">
        <f t="shared" si="1994"/>
        <v/>
      </c>
      <c r="J1858" s="311" t="str">
        <f t="shared" si="1995"/>
        <v/>
      </c>
      <c r="K1858" s="311">
        <f t="shared" si="1996"/>
        <v>18.559999999999999</v>
      </c>
      <c r="L1858" s="310" t="str">
        <f t="shared" si="1997"/>
        <v/>
      </c>
      <c r="M1858" s="310" t="str">
        <f t="shared" si="1998"/>
        <v/>
      </c>
      <c r="N1858" s="311" t="str">
        <f t="shared" si="1999"/>
        <v/>
      </c>
    </row>
    <row r="1859" spans="1:14" s="294" customFormat="1">
      <c r="A1859" s="297" t="s">
        <v>1494</v>
      </c>
      <c r="B1859" s="301"/>
      <c r="C1859" s="299" t="s">
        <v>1496</v>
      </c>
      <c r="D1859" s="299">
        <v>1</v>
      </c>
      <c r="E1859" s="300">
        <f>5.78/0.15</f>
        <v>39</v>
      </c>
      <c r="F1859" s="300">
        <f t="shared" ref="F1859:F1860" si="2000">E1859*D1859</f>
        <v>39</v>
      </c>
      <c r="G1859" s="302">
        <f>(0.2+0.2)*2+17*0.008*2</f>
        <v>1.07</v>
      </c>
      <c r="H1859" s="310" t="str">
        <f t="shared" si="1993"/>
        <v/>
      </c>
      <c r="I1859" s="311">
        <f t="shared" si="1994"/>
        <v>41.73</v>
      </c>
      <c r="J1859" s="311" t="str">
        <f t="shared" si="1995"/>
        <v/>
      </c>
      <c r="K1859" s="311" t="str">
        <f t="shared" si="1996"/>
        <v/>
      </c>
      <c r="L1859" s="310" t="str">
        <f t="shared" si="1997"/>
        <v/>
      </c>
      <c r="M1859" s="310" t="str">
        <f t="shared" si="1998"/>
        <v/>
      </c>
      <c r="N1859" s="311" t="str">
        <f t="shared" si="1999"/>
        <v/>
      </c>
    </row>
    <row r="1860" spans="1:14" s="294" customFormat="1">
      <c r="A1860" s="297" t="s">
        <v>1517</v>
      </c>
      <c r="B1860" s="301"/>
      <c r="C1860" s="299" t="s">
        <v>1496</v>
      </c>
      <c r="D1860" s="299">
        <v>1</v>
      </c>
      <c r="E1860" s="300">
        <v>39</v>
      </c>
      <c r="F1860" s="300">
        <f t="shared" si="2000"/>
        <v>39</v>
      </c>
      <c r="G1860" s="302">
        <f>(0.2*2)+17*0.008*2</f>
        <v>0.67</v>
      </c>
      <c r="H1860" s="310" t="str">
        <f t="shared" si="1993"/>
        <v/>
      </c>
      <c r="I1860" s="311">
        <f t="shared" si="1994"/>
        <v>26.13</v>
      </c>
      <c r="J1860" s="311" t="str">
        <f t="shared" si="1995"/>
        <v/>
      </c>
      <c r="K1860" s="311" t="str">
        <f t="shared" si="1996"/>
        <v/>
      </c>
      <c r="L1860" s="310" t="str">
        <f t="shared" si="1997"/>
        <v/>
      </c>
      <c r="M1860" s="310" t="str">
        <f t="shared" si="1998"/>
        <v/>
      </c>
      <c r="N1860" s="311" t="str">
        <f t="shared" si="1999"/>
        <v/>
      </c>
    </row>
    <row r="1861" spans="1:14" ht="16.5">
      <c r="A1861" s="305"/>
      <c r="B1861" s="254"/>
      <c r="C1861" s="299"/>
      <c r="D1861" s="299"/>
      <c r="E1861" s="300"/>
      <c r="F1861" s="300"/>
      <c r="G1861" s="302"/>
      <c r="H1861" s="310"/>
      <c r="I1861" s="311"/>
      <c r="J1861" s="311"/>
      <c r="K1861" s="311"/>
      <c r="L1861" s="310"/>
      <c r="M1861" s="310"/>
      <c r="N1861" s="311"/>
    </row>
    <row r="1862" spans="1:14" ht="16.5">
      <c r="A1862" s="303" t="s">
        <v>1390</v>
      </c>
      <c r="B1862" s="254"/>
      <c r="C1862" s="299"/>
      <c r="D1862" s="299"/>
      <c r="E1862" s="300"/>
      <c r="F1862" s="300"/>
      <c r="G1862" s="302"/>
      <c r="H1862" s="310"/>
      <c r="I1862" s="311"/>
      <c r="J1862" s="311"/>
      <c r="K1862" s="311"/>
      <c r="L1862" s="310"/>
      <c r="M1862" s="310"/>
      <c r="N1862" s="311"/>
    </row>
    <row r="1863" spans="1:14" s="294" customFormat="1">
      <c r="A1863" s="297" t="s">
        <v>1515</v>
      </c>
      <c r="B1863" s="298"/>
      <c r="C1863" s="299" t="s">
        <v>1519</v>
      </c>
      <c r="D1863" s="299">
        <v>4</v>
      </c>
      <c r="E1863" s="300">
        <v>6</v>
      </c>
      <c r="F1863" s="300">
        <f>E1863*D1863</f>
        <v>24</v>
      </c>
      <c r="G1863" s="299">
        <f>(2.44)+17*0.01*2</f>
        <v>2.78</v>
      </c>
      <c r="H1863" s="310" t="str">
        <f t="shared" ref="H1863:H1866" si="2001">IF(C1863="T6",G1863*F1863,"")</f>
        <v/>
      </c>
      <c r="I1863" s="311" t="str">
        <f t="shared" ref="I1863:I1866" si="2002">IF(C1863="T8",F1863*G1863,"")</f>
        <v/>
      </c>
      <c r="J1863" s="311">
        <f t="shared" ref="J1863:J1866" si="2003">IF(C1863="T10",F1863*G1863,"")</f>
        <v>66.72</v>
      </c>
      <c r="K1863" s="311" t="str">
        <f t="shared" ref="K1863:K1866" si="2004">IF(C1863="T12",F1863*G1863,"")</f>
        <v/>
      </c>
      <c r="L1863" s="310" t="str">
        <f t="shared" ref="L1863:L1866" si="2005">IF(C1863="T14",F1863*G1863,"")</f>
        <v/>
      </c>
      <c r="M1863" s="310" t="str">
        <f t="shared" ref="M1863:M1866" si="2006">IF(C1863="T16",G1863*F1863,"")</f>
        <v/>
      </c>
      <c r="N1863" s="311" t="str">
        <f t="shared" ref="N1863:N1866" si="2007">IF(C1863="T20",G1863*F1863,"")</f>
        <v/>
      </c>
    </row>
    <row r="1864" spans="1:14" s="294" customFormat="1">
      <c r="A1864" s="297" t="s">
        <v>1515</v>
      </c>
      <c r="B1864" s="298"/>
      <c r="C1864" s="299" t="s">
        <v>1516</v>
      </c>
      <c r="D1864" s="299">
        <v>4</v>
      </c>
      <c r="E1864" s="300">
        <v>3</v>
      </c>
      <c r="F1864" s="300">
        <f>E1864*D1864</f>
        <v>12</v>
      </c>
      <c r="G1864" s="299">
        <f>(2.44)+17*0.012*2</f>
        <v>2.8479999999999999</v>
      </c>
      <c r="H1864" s="310" t="str">
        <f t="shared" si="2001"/>
        <v/>
      </c>
      <c r="I1864" s="311" t="str">
        <f t="shared" si="2002"/>
        <v/>
      </c>
      <c r="J1864" s="311" t="str">
        <f t="shared" si="2003"/>
        <v/>
      </c>
      <c r="K1864" s="311">
        <f t="shared" si="2004"/>
        <v>34.18</v>
      </c>
      <c r="L1864" s="310" t="str">
        <f t="shared" si="2005"/>
        <v/>
      </c>
      <c r="M1864" s="310" t="str">
        <f t="shared" si="2006"/>
        <v/>
      </c>
      <c r="N1864" s="311" t="str">
        <f t="shared" si="2007"/>
        <v/>
      </c>
    </row>
    <row r="1865" spans="1:14" s="294" customFormat="1">
      <c r="A1865" s="297" t="s">
        <v>1494</v>
      </c>
      <c r="B1865" s="301"/>
      <c r="C1865" s="299" t="s">
        <v>1496</v>
      </c>
      <c r="D1865" s="299">
        <v>4</v>
      </c>
      <c r="E1865" s="300">
        <f>2.44/0.15</f>
        <v>16</v>
      </c>
      <c r="F1865" s="300">
        <f t="shared" ref="F1865:F1866" si="2008">E1865*D1865</f>
        <v>64</v>
      </c>
      <c r="G1865" s="302">
        <f>(0.2+0.2)*2+17*0.008*2</f>
        <v>1.07</v>
      </c>
      <c r="H1865" s="310" t="str">
        <f t="shared" si="2001"/>
        <v/>
      </c>
      <c r="I1865" s="311">
        <f t="shared" si="2002"/>
        <v>68.48</v>
      </c>
      <c r="J1865" s="311" t="str">
        <f t="shared" si="2003"/>
        <v/>
      </c>
      <c r="K1865" s="311" t="str">
        <f t="shared" si="2004"/>
        <v/>
      </c>
      <c r="L1865" s="310" t="str">
        <f t="shared" si="2005"/>
        <v/>
      </c>
      <c r="M1865" s="310" t="str">
        <f t="shared" si="2006"/>
        <v/>
      </c>
      <c r="N1865" s="311" t="str">
        <f t="shared" si="2007"/>
        <v/>
      </c>
    </row>
    <row r="1866" spans="1:14" s="294" customFormat="1">
      <c r="A1866" s="297" t="s">
        <v>1517</v>
      </c>
      <c r="B1866" s="301"/>
      <c r="C1866" s="299" t="s">
        <v>1496</v>
      </c>
      <c r="D1866" s="299">
        <v>4</v>
      </c>
      <c r="E1866" s="300">
        <v>16</v>
      </c>
      <c r="F1866" s="300">
        <f t="shared" si="2008"/>
        <v>64</v>
      </c>
      <c r="G1866" s="302">
        <f>(0.2*2)+17*0.008*2</f>
        <v>0.67</v>
      </c>
      <c r="H1866" s="310" t="str">
        <f t="shared" si="2001"/>
        <v/>
      </c>
      <c r="I1866" s="311">
        <f t="shared" si="2002"/>
        <v>42.88</v>
      </c>
      <c r="J1866" s="311" t="str">
        <f t="shared" si="2003"/>
        <v/>
      </c>
      <c r="K1866" s="311" t="str">
        <f t="shared" si="2004"/>
        <v/>
      </c>
      <c r="L1866" s="310" t="str">
        <f t="shared" si="2005"/>
        <v/>
      </c>
      <c r="M1866" s="310" t="str">
        <f t="shared" si="2006"/>
        <v/>
      </c>
      <c r="N1866" s="311" t="str">
        <f t="shared" si="2007"/>
        <v/>
      </c>
    </row>
    <row r="1867" spans="1:14">
      <c r="A1867" s="253"/>
      <c r="B1867" s="254"/>
      <c r="C1867" s="299"/>
      <c r="D1867" s="299"/>
      <c r="E1867" s="300"/>
      <c r="F1867" s="300"/>
      <c r="G1867" s="302"/>
      <c r="H1867" s="310"/>
      <c r="I1867" s="311"/>
      <c r="J1867" s="311"/>
      <c r="K1867" s="311"/>
      <c r="L1867" s="310"/>
      <c r="M1867" s="310"/>
      <c r="N1867" s="311"/>
    </row>
    <row r="1868" spans="1:14" ht="16.5">
      <c r="A1868" s="303" t="s">
        <v>1428</v>
      </c>
      <c r="B1868" s="254"/>
      <c r="C1868" s="299"/>
      <c r="D1868" s="299"/>
      <c r="E1868" s="300"/>
      <c r="F1868" s="300"/>
      <c r="G1868" s="302"/>
      <c r="H1868" s="310"/>
      <c r="I1868" s="311"/>
      <c r="J1868" s="311"/>
      <c r="K1868" s="311"/>
      <c r="L1868" s="310"/>
      <c r="M1868" s="310"/>
      <c r="N1868" s="311"/>
    </row>
    <row r="1869" spans="1:14" s="294" customFormat="1">
      <c r="A1869" s="297" t="s">
        <v>1515</v>
      </c>
      <c r="B1869" s="298"/>
      <c r="C1869" s="299" t="s">
        <v>1519</v>
      </c>
      <c r="D1869" s="299">
        <v>1</v>
      </c>
      <c r="E1869" s="300">
        <v>3</v>
      </c>
      <c r="F1869" s="300">
        <f>E1869*D1869</f>
        <v>3</v>
      </c>
      <c r="G1869" s="299">
        <f>(2.8)+17*0.01*2</f>
        <v>3.14</v>
      </c>
      <c r="H1869" s="310" t="str">
        <f t="shared" ref="H1869:H1874" si="2009">IF(C1869="T6",G1869*F1869,"")</f>
        <v/>
      </c>
      <c r="I1869" s="311" t="str">
        <f t="shared" ref="I1869:I1874" si="2010">IF(C1869="T8",F1869*G1869,"")</f>
        <v/>
      </c>
      <c r="J1869" s="311">
        <f t="shared" ref="J1869:J1874" si="2011">IF(C1869="T10",F1869*G1869,"")</f>
        <v>9.42</v>
      </c>
      <c r="K1869" s="311" t="str">
        <f t="shared" ref="K1869:K1874" si="2012">IF(C1869="T12",F1869*G1869,"")</f>
        <v/>
      </c>
      <c r="L1869" s="310" t="str">
        <f t="shared" ref="L1869:L1874" si="2013">IF(C1869="T14",F1869*G1869,"")</f>
        <v/>
      </c>
      <c r="M1869" s="310" t="str">
        <f t="shared" ref="M1869:M1874" si="2014">IF(C1869="T16",G1869*F1869,"")</f>
        <v/>
      </c>
      <c r="N1869" s="311" t="str">
        <f t="shared" ref="N1869:N1874" si="2015">IF(C1869="T20",G1869*F1869,"")</f>
        <v/>
      </c>
    </row>
    <row r="1870" spans="1:14" s="294" customFormat="1">
      <c r="A1870" s="297" t="s">
        <v>1515</v>
      </c>
      <c r="B1870" s="298"/>
      <c r="C1870" s="299" t="s">
        <v>1516</v>
      </c>
      <c r="D1870" s="299">
        <v>1</v>
      </c>
      <c r="E1870" s="300">
        <v>3</v>
      </c>
      <c r="F1870" s="300">
        <f>E1870*D1870</f>
        <v>3</v>
      </c>
      <c r="G1870" s="302">
        <f>(2.8)+17*0.014*2</f>
        <v>3.28</v>
      </c>
      <c r="H1870" s="310" t="str">
        <f t="shared" si="2009"/>
        <v/>
      </c>
      <c r="I1870" s="311" t="str">
        <f t="shared" si="2010"/>
        <v/>
      </c>
      <c r="J1870" s="311" t="str">
        <f t="shared" si="2011"/>
        <v/>
      </c>
      <c r="K1870" s="311">
        <f t="shared" si="2012"/>
        <v>9.84</v>
      </c>
      <c r="L1870" s="310" t="str">
        <f t="shared" si="2013"/>
        <v/>
      </c>
      <c r="M1870" s="310" t="str">
        <f t="shared" si="2014"/>
        <v/>
      </c>
      <c r="N1870" s="311" t="str">
        <f t="shared" si="2015"/>
        <v/>
      </c>
    </row>
    <row r="1871" spans="1:14" s="294" customFormat="1">
      <c r="A1871" s="297" t="s">
        <v>1494</v>
      </c>
      <c r="B1871" s="301"/>
      <c r="C1871" s="299" t="s">
        <v>1496</v>
      </c>
      <c r="D1871" s="299">
        <v>1</v>
      </c>
      <c r="E1871" s="300">
        <f>8+9+8</f>
        <v>25</v>
      </c>
      <c r="F1871" s="300">
        <f t="shared" ref="F1871:F1872" si="2016">E1871*D1871</f>
        <v>25</v>
      </c>
      <c r="G1871" s="302">
        <f>(0.2+0.25)*2+17*0.008*2</f>
        <v>1.17</v>
      </c>
      <c r="H1871" s="310" t="str">
        <f t="shared" si="2009"/>
        <v/>
      </c>
      <c r="I1871" s="311">
        <f t="shared" si="2010"/>
        <v>29.25</v>
      </c>
      <c r="J1871" s="311" t="str">
        <f t="shared" si="2011"/>
        <v/>
      </c>
      <c r="K1871" s="311" t="str">
        <f t="shared" si="2012"/>
        <v/>
      </c>
      <c r="L1871" s="310" t="str">
        <f t="shared" si="2013"/>
        <v/>
      </c>
      <c r="M1871" s="310" t="str">
        <f t="shared" si="2014"/>
        <v/>
      </c>
      <c r="N1871" s="311" t="str">
        <f t="shared" si="2015"/>
        <v/>
      </c>
    </row>
    <row r="1872" spans="1:14" s="294" customFormat="1">
      <c r="A1872" s="297" t="s">
        <v>1517</v>
      </c>
      <c r="B1872" s="301"/>
      <c r="C1872" s="299" t="s">
        <v>1496</v>
      </c>
      <c r="D1872" s="299">
        <v>1</v>
      </c>
      <c r="E1872" s="300">
        <v>25</v>
      </c>
      <c r="F1872" s="300">
        <f t="shared" si="2016"/>
        <v>25</v>
      </c>
      <c r="G1872" s="302">
        <f>(0.25*2)+17*0.008*2</f>
        <v>0.77</v>
      </c>
      <c r="H1872" s="310" t="str">
        <f t="shared" si="2009"/>
        <v/>
      </c>
      <c r="I1872" s="311">
        <f t="shared" si="2010"/>
        <v>19.25</v>
      </c>
      <c r="J1872" s="311" t="str">
        <f t="shared" si="2011"/>
        <v/>
      </c>
      <c r="K1872" s="311" t="str">
        <f t="shared" si="2012"/>
        <v/>
      </c>
      <c r="L1872" s="310" t="str">
        <f t="shared" si="2013"/>
        <v/>
      </c>
      <c r="M1872" s="310" t="str">
        <f t="shared" si="2014"/>
        <v/>
      </c>
      <c r="N1872" s="311" t="str">
        <f t="shared" si="2015"/>
        <v/>
      </c>
    </row>
    <row r="1873" spans="1:14">
      <c r="A1873" s="297" t="s">
        <v>1520</v>
      </c>
      <c r="B1873" s="254"/>
      <c r="C1873" s="299" t="s">
        <v>1519</v>
      </c>
      <c r="D1873" s="299">
        <v>1</v>
      </c>
      <c r="E1873" s="300">
        <v>3</v>
      </c>
      <c r="F1873" s="300">
        <f>E1873*D1873</f>
        <v>3</v>
      </c>
      <c r="G1873" s="302">
        <v>1</v>
      </c>
      <c r="H1873" s="310" t="str">
        <f t="shared" si="2009"/>
        <v/>
      </c>
      <c r="I1873" s="311" t="str">
        <f t="shared" si="2010"/>
        <v/>
      </c>
      <c r="J1873" s="311">
        <f t="shared" si="2011"/>
        <v>3</v>
      </c>
      <c r="K1873" s="311" t="str">
        <f t="shared" si="2012"/>
        <v/>
      </c>
      <c r="L1873" s="310" t="str">
        <f t="shared" si="2013"/>
        <v/>
      </c>
      <c r="M1873" s="310" t="str">
        <f t="shared" si="2014"/>
        <v/>
      </c>
      <c r="N1873" s="311" t="str">
        <f t="shared" si="2015"/>
        <v/>
      </c>
    </row>
    <row r="1874" spans="1:14">
      <c r="A1874" s="297"/>
      <c r="B1874" s="254"/>
      <c r="C1874" s="299" t="s">
        <v>1492</v>
      </c>
      <c r="D1874" s="299">
        <v>1</v>
      </c>
      <c r="E1874" s="300">
        <v>3</v>
      </c>
      <c r="F1874" s="300">
        <f>E1874*D1874</f>
        <v>3</v>
      </c>
      <c r="G1874" s="302">
        <v>3</v>
      </c>
      <c r="H1874" s="310" t="str">
        <f t="shared" si="2009"/>
        <v/>
      </c>
      <c r="I1874" s="311" t="str">
        <f t="shared" si="2010"/>
        <v/>
      </c>
      <c r="J1874" s="311" t="str">
        <f t="shared" si="2011"/>
        <v/>
      </c>
      <c r="K1874" s="311" t="str">
        <f t="shared" si="2012"/>
        <v/>
      </c>
      <c r="L1874" s="310">
        <f t="shared" si="2013"/>
        <v>9</v>
      </c>
      <c r="M1874" s="310" t="str">
        <f t="shared" si="2014"/>
        <v/>
      </c>
      <c r="N1874" s="311" t="str">
        <f t="shared" si="2015"/>
        <v/>
      </c>
    </row>
    <row r="1875" spans="1:14" ht="16.5">
      <c r="A1875" s="303"/>
      <c r="B1875" s="254"/>
      <c r="C1875" s="299"/>
      <c r="D1875" s="299"/>
      <c r="E1875" s="300"/>
      <c r="F1875" s="300"/>
      <c r="G1875" s="302"/>
      <c r="H1875" s="310"/>
      <c r="I1875" s="311"/>
      <c r="J1875" s="311"/>
      <c r="K1875" s="311"/>
      <c r="L1875" s="310"/>
      <c r="M1875" s="310"/>
      <c r="N1875" s="311"/>
    </row>
    <row r="1876" spans="1:14" ht="16.5">
      <c r="A1876" s="303" t="s">
        <v>1429</v>
      </c>
      <c r="B1876" s="254"/>
      <c r="C1876" s="299"/>
      <c r="D1876" s="299"/>
      <c r="E1876" s="300"/>
      <c r="F1876" s="300"/>
      <c r="G1876" s="302"/>
      <c r="H1876" s="310"/>
      <c r="I1876" s="311"/>
      <c r="J1876" s="311"/>
      <c r="K1876" s="311"/>
      <c r="L1876" s="310"/>
      <c r="M1876" s="310"/>
      <c r="N1876" s="311"/>
    </row>
    <row r="1877" spans="1:14" s="294" customFormat="1">
      <c r="A1877" s="297" t="s">
        <v>1515</v>
      </c>
      <c r="B1877" s="298"/>
      <c r="C1877" s="299" t="s">
        <v>1519</v>
      </c>
      <c r="D1877" s="299">
        <v>1</v>
      </c>
      <c r="E1877" s="300">
        <v>3</v>
      </c>
      <c r="F1877" s="300">
        <f>E1877*D1877</f>
        <v>3</v>
      </c>
      <c r="G1877" s="299">
        <f>4.15+17*0.01*2</f>
        <v>4.49</v>
      </c>
      <c r="H1877" s="310" t="str">
        <f t="shared" ref="H1877:H1883" si="2017">IF(C1877="T6",G1877*F1877,"")</f>
        <v/>
      </c>
      <c r="I1877" s="311" t="str">
        <f t="shared" ref="I1877:I1883" si="2018">IF(C1877="T8",F1877*G1877,"")</f>
        <v/>
      </c>
      <c r="J1877" s="311">
        <f t="shared" ref="J1877:J1883" si="2019">IF(C1877="T10",F1877*G1877,"")</f>
        <v>13.47</v>
      </c>
      <c r="K1877" s="311" t="str">
        <f t="shared" ref="K1877:K1883" si="2020">IF(C1877="T12",F1877*G1877,"")</f>
        <v/>
      </c>
      <c r="L1877" s="310" t="str">
        <f t="shared" ref="L1877:L1883" si="2021">IF(C1877="T14",F1877*G1877,"")</f>
        <v/>
      </c>
      <c r="M1877" s="310" t="str">
        <f t="shared" ref="M1877:M1883" si="2022">IF(C1877="T16",G1877*F1877,"")</f>
        <v/>
      </c>
      <c r="N1877" s="311" t="str">
        <f t="shared" ref="N1877:N1883" si="2023">IF(C1877="T20",G1877*F1877,"")</f>
        <v/>
      </c>
    </row>
    <row r="1878" spans="1:14" s="294" customFormat="1">
      <c r="A1878" s="297" t="s">
        <v>1515</v>
      </c>
      <c r="B1878" s="298"/>
      <c r="C1878" s="299" t="s">
        <v>1492</v>
      </c>
      <c r="D1878" s="299">
        <v>1</v>
      </c>
      <c r="E1878" s="300">
        <v>3</v>
      </c>
      <c r="F1878" s="300">
        <f>E1878*D1878</f>
        <v>3</v>
      </c>
      <c r="G1878" s="302">
        <f>(4.15)+17*0.014*2</f>
        <v>4.63</v>
      </c>
      <c r="H1878" s="310" t="str">
        <f t="shared" si="2017"/>
        <v/>
      </c>
      <c r="I1878" s="311" t="str">
        <f t="shared" si="2018"/>
        <v/>
      </c>
      <c r="J1878" s="311" t="str">
        <f t="shared" si="2019"/>
        <v/>
      </c>
      <c r="K1878" s="311" t="str">
        <f t="shared" si="2020"/>
        <v/>
      </c>
      <c r="L1878" s="310">
        <f t="shared" si="2021"/>
        <v>13.89</v>
      </c>
      <c r="M1878" s="310" t="str">
        <f t="shared" si="2022"/>
        <v/>
      </c>
      <c r="N1878" s="311" t="str">
        <f t="shared" si="2023"/>
        <v/>
      </c>
    </row>
    <row r="1879" spans="1:14" s="294" customFormat="1">
      <c r="A1879" s="297"/>
      <c r="B1879" s="298"/>
      <c r="C1879" s="299" t="s">
        <v>1519</v>
      </c>
      <c r="D1879" s="299">
        <v>1</v>
      </c>
      <c r="E1879" s="300">
        <v>2</v>
      </c>
      <c r="F1879" s="300">
        <f>E1879*D1879</f>
        <v>2</v>
      </c>
      <c r="G1879" s="302">
        <v>4.5999999999999996</v>
      </c>
      <c r="H1879" s="310" t="str">
        <f t="shared" si="2017"/>
        <v/>
      </c>
      <c r="I1879" s="311" t="str">
        <f t="shared" si="2018"/>
        <v/>
      </c>
      <c r="J1879" s="311">
        <f t="shared" si="2019"/>
        <v>9.1999999999999993</v>
      </c>
      <c r="K1879" s="311" t="str">
        <f t="shared" si="2020"/>
        <v/>
      </c>
      <c r="L1879" s="310" t="str">
        <f t="shared" si="2021"/>
        <v/>
      </c>
      <c r="M1879" s="310" t="str">
        <f t="shared" si="2022"/>
        <v/>
      </c>
      <c r="N1879" s="311" t="str">
        <f t="shared" si="2023"/>
        <v/>
      </c>
    </row>
    <row r="1880" spans="1:14" s="294" customFormat="1">
      <c r="A1880" s="297" t="s">
        <v>1494</v>
      </c>
      <c r="B1880" s="301"/>
      <c r="C1880" s="299" t="s">
        <v>1496</v>
      </c>
      <c r="D1880" s="299">
        <v>1</v>
      </c>
      <c r="E1880" s="300">
        <f>13+13+20</f>
        <v>46</v>
      </c>
      <c r="F1880" s="300">
        <f t="shared" ref="F1880:F1881" si="2024">E1880*D1880</f>
        <v>46</v>
      </c>
      <c r="G1880" s="302">
        <f>(0.2+0.5)*2+17*0.008*2</f>
        <v>1.67</v>
      </c>
      <c r="H1880" s="310" t="str">
        <f t="shared" si="2017"/>
        <v/>
      </c>
      <c r="I1880" s="311">
        <f t="shared" si="2018"/>
        <v>76.819999999999993</v>
      </c>
      <c r="J1880" s="311" t="str">
        <f t="shared" si="2019"/>
        <v/>
      </c>
      <c r="K1880" s="311" t="str">
        <f t="shared" si="2020"/>
        <v/>
      </c>
      <c r="L1880" s="310" t="str">
        <f t="shared" si="2021"/>
        <v/>
      </c>
      <c r="M1880" s="310" t="str">
        <f t="shared" si="2022"/>
        <v/>
      </c>
      <c r="N1880" s="311" t="str">
        <f t="shared" si="2023"/>
        <v/>
      </c>
    </row>
    <row r="1881" spans="1:14" s="294" customFormat="1">
      <c r="A1881" s="297" t="s">
        <v>1517</v>
      </c>
      <c r="B1881" s="301"/>
      <c r="C1881" s="299" t="s">
        <v>1496</v>
      </c>
      <c r="D1881" s="299">
        <v>1</v>
      </c>
      <c r="E1881" s="300">
        <v>46</v>
      </c>
      <c r="F1881" s="300">
        <f t="shared" si="2024"/>
        <v>46</v>
      </c>
      <c r="G1881" s="302">
        <f>(0.5*2)+17*0.008*2</f>
        <v>1.27</v>
      </c>
      <c r="H1881" s="310" t="str">
        <f t="shared" si="2017"/>
        <v/>
      </c>
      <c r="I1881" s="311">
        <f t="shared" si="2018"/>
        <v>58.42</v>
      </c>
      <c r="J1881" s="311" t="str">
        <f t="shared" si="2019"/>
        <v/>
      </c>
      <c r="K1881" s="311" t="str">
        <f t="shared" si="2020"/>
        <v/>
      </c>
      <c r="L1881" s="310" t="str">
        <f t="shared" si="2021"/>
        <v/>
      </c>
      <c r="M1881" s="310" t="str">
        <f t="shared" si="2022"/>
        <v/>
      </c>
      <c r="N1881" s="311" t="str">
        <f t="shared" si="2023"/>
        <v/>
      </c>
    </row>
    <row r="1882" spans="1:14">
      <c r="A1882" s="297" t="s">
        <v>1520</v>
      </c>
      <c r="B1882" s="254"/>
      <c r="C1882" s="299" t="s">
        <v>1492</v>
      </c>
      <c r="D1882" s="299">
        <v>1</v>
      </c>
      <c r="E1882" s="300">
        <v>6</v>
      </c>
      <c r="F1882" s="300">
        <f>E1882*D1882</f>
        <v>6</v>
      </c>
      <c r="G1882" s="302">
        <v>2.9</v>
      </c>
      <c r="H1882" s="310" t="str">
        <f t="shared" si="2017"/>
        <v/>
      </c>
      <c r="I1882" s="311" t="str">
        <f t="shared" si="2018"/>
        <v/>
      </c>
      <c r="J1882" s="311" t="str">
        <f t="shared" si="2019"/>
        <v/>
      </c>
      <c r="K1882" s="311" t="str">
        <f t="shared" si="2020"/>
        <v/>
      </c>
      <c r="L1882" s="310">
        <f t="shared" si="2021"/>
        <v>17.399999999999999</v>
      </c>
      <c r="M1882" s="310" t="str">
        <f t="shared" si="2022"/>
        <v/>
      </c>
      <c r="N1882" s="311" t="str">
        <f t="shared" si="2023"/>
        <v/>
      </c>
    </row>
    <row r="1883" spans="1:14">
      <c r="A1883" s="297"/>
      <c r="B1883" s="254"/>
      <c r="C1883" s="299" t="s">
        <v>1516</v>
      </c>
      <c r="D1883" s="299">
        <v>1</v>
      </c>
      <c r="E1883" s="300">
        <v>3</v>
      </c>
      <c r="F1883" s="300">
        <f>E1883*D1883</f>
        <v>3</v>
      </c>
      <c r="G1883" s="302">
        <v>3.85</v>
      </c>
      <c r="H1883" s="310" t="str">
        <f t="shared" si="2017"/>
        <v/>
      </c>
      <c r="I1883" s="311" t="str">
        <f t="shared" si="2018"/>
        <v/>
      </c>
      <c r="J1883" s="311" t="str">
        <f t="shared" si="2019"/>
        <v/>
      </c>
      <c r="K1883" s="311">
        <f t="shared" si="2020"/>
        <v>11.55</v>
      </c>
      <c r="L1883" s="310" t="str">
        <f t="shared" si="2021"/>
        <v/>
      </c>
      <c r="M1883" s="310" t="str">
        <f t="shared" si="2022"/>
        <v/>
      </c>
      <c r="N1883" s="311" t="str">
        <f t="shared" si="2023"/>
        <v/>
      </c>
    </row>
    <row r="1884" spans="1:14" ht="16.5">
      <c r="A1884" s="303"/>
      <c r="B1884" s="254"/>
      <c r="C1884" s="299"/>
      <c r="D1884" s="299"/>
      <c r="E1884" s="300"/>
      <c r="F1884" s="300"/>
      <c r="G1884" s="302"/>
      <c r="H1884" s="310"/>
      <c r="I1884" s="311"/>
      <c r="J1884" s="311"/>
      <c r="K1884" s="311"/>
      <c r="L1884" s="310"/>
      <c r="M1884" s="310"/>
      <c r="N1884" s="311"/>
    </row>
    <row r="1885" spans="1:14" ht="16.5">
      <c r="A1885" s="303" t="s">
        <v>1430</v>
      </c>
      <c r="B1885" s="254"/>
      <c r="C1885" s="299"/>
      <c r="D1885" s="299"/>
      <c r="E1885" s="300"/>
      <c r="F1885" s="300"/>
      <c r="G1885" s="302"/>
      <c r="H1885" s="310"/>
      <c r="I1885" s="311"/>
      <c r="J1885" s="311"/>
      <c r="K1885" s="311"/>
      <c r="L1885" s="310"/>
      <c r="M1885" s="310"/>
      <c r="N1885" s="311"/>
    </row>
    <row r="1886" spans="1:14" s="294" customFormat="1">
      <c r="A1886" s="297" t="s">
        <v>1515</v>
      </c>
      <c r="B1886" s="298"/>
      <c r="C1886" s="299" t="s">
        <v>1498</v>
      </c>
      <c r="D1886" s="299">
        <v>1</v>
      </c>
      <c r="E1886" s="300">
        <v>3</v>
      </c>
      <c r="F1886" s="300">
        <f>E1886*D1886</f>
        <v>3</v>
      </c>
      <c r="G1886" s="299">
        <f>2.2+17*0.016*2</f>
        <v>2.7440000000000002</v>
      </c>
      <c r="H1886" s="310" t="str">
        <f t="shared" ref="H1886:H1893" si="2025">IF(C1886="T6",G1886*F1886,"")</f>
        <v/>
      </c>
      <c r="I1886" s="311" t="str">
        <f t="shared" ref="I1886:I1893" si="2026">IF(C1886="T8",F1886*G1886,"")</f>
        <v/>
      </c>
      <c r="J1886" s="311" t="str">
        <f t="shared" ref="J1886:J1893" si="2027">IF(C1886="T10",F1886*G1886,"")</f>
        <v/>
      </c>
      <c r="K1886" s="311" t="str">
        <f t="shared" ref="K1886:K1893" si="2028">IF(C1886="T12",F1886*G1886,"")</f>
        <v/>
      </c>
      <c r="L1886" s="310" t="str">
        <f t="shared" ref="L1886:L1893" si="2029">IF(C1886="T14",F1886*G1886,"")</f>
        <v/>
      </c>
      <c r="M1886" s="310">
        <f t="shared" ref="M1886:M1893" si="2030">IF(C1886="T16",G1886*F1886,"")</f>
        <v>8.23</v>
      </c>
      <c r="N1886" s="311" t="str">
        <f t="shared" ref="N1886:N1893" si="2031">IF(C1886="T20",G1886*F1886,"")</f>
        <v/>
      </c>
    </row>
    <row r="1887" spans="1:14" s="294" customFormat="1">
      <c r="A1887" s="297" t="s">
        <v>1515</v>
      </c>
      <c r="B1887" s="298"/>
      <c r="C1887" s="299" t="s">
        <v>1492</v>
      </c>
      <c r="D1887" s="299">
        <v>1</v>
      </c>
      <c r="E1887" s="300">
        <v>3</v>
      </c>
      <c r="F1887" s="300">
        <f>E1887*D1887</f>
        <v>3</v>
      </c>
      <c r="G1887" s="302">
        <f>(2.2)+17*0.014*2</f>
        <v>2.68</v>
      </c>
      <c r="H1887" s="310" t="str">
        <f t="shared" si="2025"/>
        <v/>
      </c>
      <c r="I1887" s="311" t="str">
        <f t="shared" si="2026"/>
        <v/>
      </c>
      <c r="J1887" s="311" t="str">
        <f t="shared" si="2027"/>
        <v/>
      </c>
      <c r="K1887" s="311" t="str">
        <f t="shared" si="2028"/>
        <v/>
      </c>
      <c r="L1887" s="310">
        <f t="shared" si="2029"/>
        <v>8.0399999999999991</v>
      </c>
      <c r="M1887" s="310" t="str">
        <f t="shared" si="2030"/>
        <v/>
      </c>
      <c r="N1887" s="311" t="str">
        <f t="shared" si="2031"/>
        <v/>
      </c>
    </row>
    <row r="1888" spans="1:14" s="294" customFormat="1">
      <c r="A1888" s="297"/>
      <c r="B1888" s="298"/>
      <c r="C1888" s="299" t="s">
        <v>1516</v>
      </c>
      <c r="D1888" s="299">
        <v>1</v>
      </c>
      <c r="E1888" s="300">
        <v>2</v>
      </c>
      <c r="F1888" s="300">
        <f>E1888*D1888</f>
        <v>2</v>
      </c>
      <c r="G1888" s="302">
        <v>2.6</v>
      </c>
      <c r="H1888" s="310" t="str">
        <f t="shared" si="2025"/>
        <v/>
      </c>
      <c r="I1888" s="311" t="str">
        <f t="shared" si="2026"/>
        <v/>
      </c>
      <c r="J1888" s="311" t="str">
        <f t="shared" si="2027"/>
        <v/>
      </c>
      <c r="K1888" s="311">
        <f t="shared" si="2028"/>
        <v>5.2</v>
      </c>
      <c r="L1888" s="310" t="str">
        <f t="shared" si="2029"/>
        <v/>
      </c>
      <c r="M1888" s="310" t="str">
        <f t="shared" si="2030"/>
        <v/>
      </c>
      <c r="N1888" s="311" t="str">
        <f t="shared" si="2031"/>
        <v/>
      </c>
    </row>
    <row r="1889" spans="1:14" s="294" customFormat="1">
      <c r="A1889" s="297" t="s">
        <v>1494</v>
      </c>
      <c r="B1889" s="301"/>
      <c r="C1889" s="299" t="s">
        <v>1496</v>
      </c>
      <c r="D1889" s="299">
        <v>1</v>
      </c>
      <c r="E1889" s="300">
        <f>11+12+11</f>
        <v>34</v>
      </c>
      <c r="F1889" s="300">
        <f t="shared" ref="F1889:F1890" si="2032">E1889*D1889</f>
        <v>34</v>
      </c>
      <c r="G1889" s="302">
        <f>(0.2+0.5)*2+17*0.008*2</f>
        <v>1.67</v>
      </c>
      <c r="H1889" s="310" t="str">
        <f t="shared" si="2025"/>
        <v/>
      </c>
      <c r="I1889" s="311">
        <f t="shared" si="2026"/>
        <v>56.78</v>
      </c>
      <c r="J1889" s="311" t="str">
        <f t="shared" si="2027"/>
        <v/>
      </c>
      <c r="K1889" s="311" t="str">
        <f t="shared" si="2028"/>
        <v/>
      </c>
      <c r="L1889" s="310" t="str">
        <f t="shared" si="2029"/>
        <v/>
      </c>
      <c r="M1889" s="310" t="str">
        <f t="shared" si="2030"/>
        <v/>
      </c>
      <c r="N1889" s="311" t="str">
        <f t="shared" si="2031"/>
        <v/>
      </c>
    </row>
    <row r="1890" spans="1:14" s="294" customFormat="1">
      <c r="A1890" s="297" t="s">
        <v>1517</v>
      </c>
      <c r="B1890" s="301"/>
      <c r="C1890" s="299" t="s">
        <v>1496</v>
      </c>
      <c r="D1890" s="299">
        <v>1</v>
      </c>
      <c r="E1890" s="300">
        <v>34</v>
      </c>
      <c r="F1890" s="300">
        <f t="shared" si="2032"/>
        <v>34</v>
      </c>
      <c r="G1890" s="302">
        <f>(0.5*2)+17*0.008*2</f>
        <v>1.27</v>
      </c>
      <c r="H1890" s="310" t="str">
        <f t="shared" si="2025"/>
        <v/>
      </c>
      <c r="I1890" s="311">
        <f t="shared" si="2026"/>
        <v>43.18</v>
      </c>
      <c r="J1890" s="311" t="str">
        <f t="shared" si="2027"/>
        <v/>
      </c>
      <c r="K1890" s="311" t="str">
        <f t="shared" si="2028"/>
        <v/>
      </c>
      <c r="L1890" s="310" t="str">
        <f t="shared" si="2029"/>
        <v/>
      </c>
      <c r="M1890" s="310" t="str">
        <f t="shared" si="2030"/>
        <v/>
      </c>
      <c r="N1890" s="311" t="str">
        <f t="shared" si="2031"/>
        <v/>
      </c>
    </row>
    <row r="1891" spans="1:14">
      <c r="A1891" s="297" t="s">
        <v>1520</v>
      </c>
      <c r="B1891" s="254"/>
      <c r="C1891" s="299" t="s">
        <v>1492</v>
      </c>
      <c r="D1891" s="299">
        <v>1</v>
      </c>
      <c r="E1891" s="300">
        <v>6</v>
      </c>
      <c r="F1891" s="300">
        <f>E1891*D1891</f>
        <v>6</v>
      </c>
      <c r="G1891" s="302">
        <v>3</v>
      </c>
      <c r="H1891" s="310" t="str">
        <f t="shared" si="2025"/>
        <v/>
      </c>
      <c r="I1891" s="311" t="str">
        <f t="shared" si="2026"/>
        <v/>
      </c>
      <c r="J1891" s="311" t="str">
        <f t="shared" si="2027"/>
        <v/>
      </c>
      <c r="K1891" s="311" t="str">
        <f t="shared" si="2028"/>
        <v/>
      </c>
      <c r="L1891" s="310">
        <f t="shared" si="2029"/>
        <v>18</v>
      </c>
      <c r="M1891" s="310" t="str">
        <f t="shared" si="2030"/>
        <v/>
      </c>
      <c r="N1891" s="311" t="str">
        <f t="shared" si="2031"/>
        <v/>
      </c>
    </row>
    <row r="1892" spans="1:14">
      <c r="A1892" s="297"/>
      <c r="B1892" s="254"/>
      <c r="C1892" s="299" t="s">
        <v>1498</v>
      </c>
      <c r="D1892" s="299">
        <v>1</v>
      </c>
      <c r="E1892" s="300">
        <v>6</v>
      </c>
      <c r="F1892" s="300">
        <f>E1892*D1892</f>
        <v>6</v>
      </c>
      <c r="G1892" s="302">
        <v>4.5</v>
      </c>
      <c r="H1892" s="310" t="str">
        <f t="shared" si="2025"/>
        <v/>
      </c>
      <c r="I1892" s="311" t="str">
        <f t="shared" si="2026"/>
        <v/>
      </c>
      <c r="J1892" s="311" t="str">
        <f t="shared" si="2027"/>
        <v/>
      </c>
      <c r="K1892" s="311" t="str">
        <f t="shared" si="2028"/>
        <v/>
      </c>
      <c r="L1892" s="310" t="str">
        <f t="shared" si="2029"/>
        <v/>
      </c>
      <c r="M1892" s="310">
        <f t="shared" si="2030"/>
        <v>27</v>
      </c>
      <c r="N1892" s="311" t="str">
        <f t="shared" si="2031"/>
        <v/>
      </c>
    </row>
    <row r="1893" spans="1:14" ht="16.5">
      <c r="A1893" s="303"/>
      <c r="B1893" s="254"/>
      <c r="C1893" s="299" t="s">
        <v>1498</v>
      </c>
      <c r="D1893" s="299">
        <v>1</v>
      </c>
      <c r="E1893" s="300">
        <v>3</v>
      </c>
      <c r="F1893" s="300">
        <f>E1893*D1893</f>
        <v>3</v>
      </c>
      <c r="G1893" s="302">
        <v>1.8</v>
      </c>
      <c r="H1893" s="310" t="str">
        <f t="shared" si="2025"/>
        <v/>
      </c>
      <c r="I1893" s="311" t="str">
        <f t="shared" si="2026"/>
        <v/>
      </c>
      <c r="J1893" s="311" t="str">
        <f t="shared" si="2027"/>
        <v/>
      </c>
      <c r="K1893" s="311" t="str">
        <f t="shared" si="2028"/>
        <v/>
      </c>
      <c r="L1893" s="310" t="str">
        <f t="shared" si="2029"/>
        <v/>
      </c>
      <c r="M1893" s="310">
        <f t="shared" si="2030"/>
        <v>5.4</v>
      </c>
      <c r="N1893" s="311" t="str">
        <f t="shared" si="2031"/>
        <v/>
      </c>
    </row>
    <row r="1894" spans="1:14" ht="16.5">
      <c r="A1894" s="303"/>
      <c r="B1894" s="254"/>
      <c r="C1894" s="299"/>
      <c r="D1894" s="299"/>
      <c r="E1894" s="300"/>
      <c r="F1894" s="300"/>
      <c r="G1894" s="302"/>
      <c r="H1894" s="310"/>
      <c r="I1894" s="311"/>
      <c r="J1894" s="311"/>
      <c r="K1894" s="311"/>
      <c r="L1894" s="310"/>
      <c r="M1894" s="310"/>
      <c r="N1894" s="311"/>
    </row>
    <row r="1895" spans="1:14" ht="16.5">
      <c r="A1895" s="303" t="s">
        <v>1432</v>
      </c>
      <c r="B1895" s="254"/>
      <c r="C1895" s="299"/>
      <c r="D1895" s="299"/>
      <c r="E1895" s="300"/>
      <c r="F1895" s="300"/>
      <c r="G1895" s="302"/>
      <c r="H1895" s="310"/>
      <c r="I1895" s="311"/>
      <c r="J1895" s="311"/>
      <c r="K1895" s="311"/>
      <c r="L1895" s="310"/>
      <c r="M1895" s="310"/>
      <c r="N1895" s="311"/>
    </row>
    <row r="1896" spans="1:14" s="294" customFormat="1">
      <c r="A1896" s="297" t="s">
        <v>1515</v>
      </c>
      <c r="B1896" s="298"/>
      <c r="C1896" s="299" t="s">
        <v>1498</v>
      </c>
      <c r="D1896" s="299">
        <v>1</v>
      </c>
      <c r="E1896" s="300">
        <v>3</v>
      </c>
      <c r="F1896" s="300">
        <f>E1896*D1896</f>
        <v>3</v>
      </c>
      <c r="G1896" s="299">
        <f>6.25+17*0.016*2</f>
        <v>6.7939999999999996</v>
      </c>
      <c r="H1896" s="310" t="str">
        <f t="shared" ref="H1896:H1904" si="2033">IF(C1896="T6",G1896*F1896,"")</f>
        <v/>
      </c>
      <c r="I1896" s="311" t="str">
        <f t="shared" ref="I1896:I1904" si="2034">IF(C1896="T8",F1896*G1896,"")</f>
        <v/>
      </c>
      <c r="J1896" s="311" t="str">
        <f t="shared" ref="J1896:J1904" si="2035">IF(C1896="T10",F1896*G1896,"")</f>
        <v/>
      </c>
      <c r="K1896" s="311" t="str">
        <f t="shared" ref="K1896:K1904" si="2036">IF(C1896="T12",F1896*G1896,"")</f>
        <v/>
      </c>
      <c r="L1896" s="310" t="str">
        <f t="shared" ref="L1896:L1904" si="2037">IF(C1896="T14",F1896*G1896,"")</f>
        <v/>
      </c>
      <c r="M1896" s="310">
        <f t="shared" ref="M1896:M1904" si="2038">IF(C1896="T16",G1896*F1896,"")</f>
        <v>20.38</v>
      </c>
      <c r="N1896" s="311" t="str">
        <f t="shared" ref="N1896:N1904" si="2039">IF(C1896="T20",G1896*F1896,"")</f>
        <v/>
      </c>
    </row>
    <row r="1897" spans="1:14" s="294" customFormat="1">
      <c r="A1897" s="297" t="s">
        <v>1515</v>
      </c>
      <c r="B1897" s="298"/>
      <c r="C1897" s="299" t="s">
        <v>1492</v>
      </c>
      <c r="D1897" s="299">
        <v>1</v>
      </c>
      <c r="E1897" s="300">
        <v>3</v>
      </c>
      <c r="F1897" s="300">
        <f>E1897*D1897</f>
        <v>3</v>
      </c>
      <c r="G1897" s="302">
        <f>(6.25)+17*0.014*2</f>
        <v>6.73</v>
      </c>
      <c r="H1897" s="310" t="str">
        <f t="shared" si="2033"/>
        <v/>
      </c>
      <c r="I1897" s="311" t="str">
        <f t="shared" si="2034"/>
        <v/>
      </c>
      <c r="J1897" s="311" t="str">
        <f t="shared" si="2035"/>
        <v/>
      </c>
      <c r="K1897" s="311" t="str">
        <f t="shared" si="2036"/>
        <v/>
      </c>
      <c r="L1897" s="310">
        <f t="shared" si="2037"/>
        <v>20.190000000000001</v>
      </c>
      <c r="M1897" s="310" t="str">
        <f t="shared" si="2038"/>
        <v/>
      </c>
      <c r="N1897" s="311" t="str">
        <f t="shared" si="2039"/>
        <v/>
      </c>
    </row>
    <row r="1898" spans="1:14" s="294" customFormat="1">
      <c r="A1898" s="297"/>
      <c r="B1898" s="298"/>
      <c r="C1898" s="299" t="s">
        <v>1516</v>
      </c>
      <c r="D1898" s="299">
        <v>1</v>
      </c>
      <c r="E1898" s="300">
        <v>4</v>
      </c>
      <c r="F1898" s="300">
        <f>E1898*D1898</f>
        <v>4</v>
      </c>
      <c r="G1898" s="302">
        <v>6.6</v>
      </c>
      <c r="H1898" s="310" t="str">
        <f t="shared" si="2033"/>
        <v/>
      </c>
      <c r="I1898" s="311" t="str">
        <f t="shared" si="2034"/>
        <v/>
      </c>
      <c r="J1898" s="311" t="str">
        <f t="shared" si="2035"/>
        <v/>
      </c>
      <c r="K1898" s="311">
        <f t="shared" si="2036"/>
        <v>26.4</v>
      </c>
      <c r="L1898" s="310" t="str">
        <f t="shared" si="2037"/>
        <v/>
      </c>
      <c r="M1898" s="310" t="str">
        <f t="shared" si="2038"/>
        <v/>
      </c>
      <c r="N1898" s="311" t="str">
        <f t="shared" si="2039"/>
        <v/>
      </c>
    </row>
    <row r="1899" spans="1:14" s="294" customFormat="1">
      <c r="A1899" s="297" t="s">
        <v>1494</v>
      </c>
      <c r="B1899" s="301"/>
      <c r="C1899" s="299" t="s">
        <v>1496</v>
      </c>
      <c r="D1899" s="299">
        <v>1</v>
      </c>
      <c r="E1899" s="300">
        <f>20*3</f>
        <v>60</v>
      </c>
      <c r="F1899" s="300">
        <f t="shared" ref="F1899:F1900" si="2040">E1899*D1899</f>
        <v>60</v>
      </c>
      <c r="G1899" s="302">
        <f>(0.2+0.7)*2+17*0.008*2</f>
        <v>2.0699999999999998</v>
      </c>
      <c r="H1899" s="310" t="str">
        <f t="shared" si="2033"/>
        <v/>
      </c>
      <c r="I1899" s="311">
        <f t="shared" si="2034"/>
        <v>124.2</v>
      </c>
      <c r="J1899" s="311" t="str">
        <f t="shared" si="2035"/>
        <v/>
      </c>
      <c r="K1899" s="311" t="str">
        <f t="shared" si="2036"/>
        <v/>
      </c>
      <c r="L1899" s="310" t="str">
        <f t="shared" si="2037"/>
        <v/>
      </c>
      <c r="M1899" s="310" t="str">
        <f t="shared" si="2038"/>
        <v/>
      </c>
      <c r="N1899" s="311" t="str">
        <f t="shared" si="2039"/>
        <v/>
      </c>
    </row>
    <row r="1900" spans="1:14" s="294" customFormat="1">
      <c r="A1900" s="297" t="s">
        <v>1517</v>
      </c>
      <c r="B1900" s="301"/>
      <c r="C1900" s="299" t="s">
        <v>1496</v>
      </c>
      <c r="D1900" s="299">
        <v>1</v>
      </c>
      <c r="E1900" s="300">
        <v>60</v>
      </c>
      <c r="F1900" s="300">
        <f t="shared" si="2040"/>
        <v>60</v>
      </c>
      <c r="G1900" s="302">
        <f>(0.7*2)+17*0.008*2</f>
        <v>1.67</v>
      </c>
      <c r="H1900" s="310" t="str">
        <f t="shared" si="2033"/>
        <v/>
      </c>
      <c r="I1900" s="311">
        <f t="shared" si="2034"/>
        <v>100.2</v>
      </c>
      <c r="J1900" s="311" t="str">
        <f t="shared" si="2035"/>
        <v/>
      </c>
      <c r="K1900" s="311" t="str">
        <f t="shared" si="2036"/>
        <v/>
      </c>
      <c r="L1900" s="310" t="str">
        <f t="shared" si="2037"/>
        <v/>
      </c>
      <c r="M1900" s="310" t="str">
        <f t="shared" si="2038"/>
        <v/>
      </c>
      <c r="N1900" s="311" t="str">
        <f t="shared" si="2039"/>
        <v/>
      </c>
    </row>
    <row r="1901" spans="1:14">
      <c r="A1901" s="297" t="s">
        <v>1520</v>
      </c>
      <c r="B1901" s="254"/>
      <c r="C1901" s="299" t="s">
        <v>1498</v>
      </c>
      <c r="D1901" s="299">
        <v>1</v>
      </c>
      <c r="E1901" s="300">
        <v>6</v>
      </c>
      <c r="F1901" s="300">
        <f>E1901*D1901</f>
        <v>6</v>
      </c>
      <c r="G1901" s="302">
        <v>4.5</v>
      </c>
      <c r="H1901" s="310" t="str">
        <f t="shared" si="2033"/>
        <v/>
      </c>
      <c r="I1901" s="311" t="str">
        <f t="shared" si="2034"/>
        <v/>
      </c>
      <c r="J1901" s="311" t="str">
        <f t="shared" si="2035"/>
        <v/>
      </c>
      <c r="K1901" s="311" t="str">
        <f t="shared" si="2036"/>
        <v/>
      </c>
      <c r="L1901" s="310" t="str">
        <f t="shared" si="2037"/>
        <v/>
      </c>
      <c r="M1901" s="310">
        <f t="shared" si="2038"/>
        <v>27</v>
      </c>
      <c r="N1901" s="311" t="str">
        <f t="shared" si="2039"/>
        <v/>
      </c>
    </row>
    <row r="1902" spans="1:14">
      <c r="A1902" s="297"/>
      <c r="B1902" s="254"/>
      <c r="C1902" s="299" t="s">
        <v>1498</v>
      </c>
      <c r="D1902" s="299">
        <v>1</v>
      </c>
      <c r="E1902" s="300">
        <v>6</v>
      </c>
      <c r="F1902" s="300">
        <f>E1902*D1902</f>
        <v>6</v>
      </c>
      <c r="G1902" s="302">
        <v>4.5</v>
      </c>
      <c r="H1902" s="310" t="str">
        <f t="shared" si="2033"/>
        <v/>
      </c>
      <c r="I1902" s="311" t="str">
        <f t="shared" si="2034"/>
        <v/>
      </c>
      <c r="J1902" s="311" t="str">
        <f t="shared" si="2035"/>
        <v/>
      </c>
      <c r="K1902" s="311" t="str">
        <f t="shared" si="2036"/>
        <v/>
      </c>
      <c r="L1902" s="310" t="str">
        <f t="shared" si="2037"/>
        <v/>
      </c>
      <c r="M1902" s="310">
        <f t="shared" si="2038"/>
        <v>27</v>
      </c>
      <c r="N1902" s="311" t="str">
        <f t="shared" si="2039"/>
        <v/>
      </c>
    </row>
    <row r="1903" spans="1:14" ht="16.5">
      <c r="A1903" s="303"/>
      <c r="B1903" s="254"/>
      <c r="C1903" s="299" t="s">
        <v>1498</v>
      </c>
      <c r="D1903" s="299">
        <v>1</v>
      </c>
      <c r="E1903" s="300">
        <v>3</v>
      </c>
      <c r="F1903" s="300">
        <f>E1903*D1903</f>
        <v>3</v>
      </c>
      <c r="G1903" s="302">
        <v>5.85</v>
      </c>
      <c r="H1903" s="310" t="str">
        <f t="shared" si="2033"/>
        <v/>
      </c>
      <c r="I1903" s="311" t="str">
        <f t="shared" si="2034"/>
        <v/>
      </c>
      <c r="J1903" s="311" t="str">
        <f t="shared" si="2035"/>
        <v/>
      </c>
      <c r="K1903" s="311" t="str">
        <f t="shared" si="2036"/>
        <v/>
      </c>
      <c r="L1903" s="310" t="str">
        <f t="shared" si="2037"/>
        <v/>
      </c>
      <c r="M1903" s="310">
        <f t="shared" si="2038"/>
        <v>17.55</v>
      </c>
      <c r="N1903" s="311" t="str">
        <f t="shared" si="2039"/>
        <v/>
      </c>
    </row>
    <row r="1904" spans="1:14" ht="16.5">
      <c r="A1904" s="303"/>
      <c r="B1904" s="254"/>
      <c r="C1904" s="299" t="s">
        <v>1521</v>
      </c>
      <c r="D1904" s="299">
        <v>1</v>
      </c>
      <c r="E1904" s="300">
        <v>3</v>
      </c>
      <c r="F1904" s="300">
        <f>E1904*D1904</f>
        <v>3</v>
      </c>
      <c r="G1904" s="302">
        <v>6.25</v>
      </c>
      <c r="H1904" s="310" t="str">
        <f t="shared" si="2033"/>
        <v/>
      </c>
      <c r="I1904" s="311" t="str">
        <f t="shared" si="2034"/>
        <v/>
      </c>
      <c r="J1904" s="311" t="str">
        <f t="shared" si="2035"/>
        <v/>
      </c>
      <c r="K1904" s="311" t="str">
        <f t="shared" si="2036"/>
        <v/>
      </c>
      <c r="L1904" s="310" t="str">
        <f t="shared" si="2037"/>
        <v/>
      </c>
      <c r="M1904" s="310" t="str">
        <f t="shared" si="2038"/>
        <v/>
      </c>
      <c r="N1904" s="311">
        <f t="shared" si="2039"/>
        <v>18.75</v>
      </c>
    </row>
    <row r="1905" spans="1:14" ht="16.5">
      <c r="A1905" s="303"/>
      <c r="B1905" s="254"/>
      <c r="C1905" s="299"/>
      <c r="D1905" s="299"/>
      <c r="E1905" s="300"/>
      <c r="F1905" s="300"/>
      <c r="G1905" s="302"/>
      <c r="H1905" s="310"/>
      <c r="I1905" s="311"/>
      <c r="J1905" s="311"/>
      <c r="K1905" s="311"/>
      <c r="L1905" s="310"/>
      <c r="M1905" s="310"/>
      <c r="N1905" s="311"/>
    </row>
    <row r="1906" spans="1:14" ht="16.5">
      <c r="A1906" s="303" t="s">
        <v>1431</v>
      </c>
      <c r="B1906" s="254"/>
      <c r="C1906" s="299"/>
      <c r="D1906" s="299"/>
      <c r="E1906" s="300"/>
      <c r="F1906" s="300"/>
      <c r="G1906" s="302"/>
      <c r="H1906" s="310"/>
      <c r="I1906" s="311"/>
      <c r="J1906" s="311"/>
      <c r="K1906" s="311"/>
      <c r="L1906" s="310"/>
      <c r="M1906" s="310"/>
      <c r="N1906" s="311"/>
    </row>
    <row r="1907" spans="1:14" s="294" customFormat="1">
      <c r="A1907" s="297" t="s">
        <v>1515</v>
      </c>
      <c r="B1907" s="298"/>
      <c r="C1907" s="299" t="s">
        <v>1498</v>
      </c>
      <c r="D1907" s="299">
        <v>1</v>
      </c>
      <c r="E1907" s="300">
        <v>3</v>
      </c>
      <c r="F1907" s="300">
        <f>E1907*D1907</f>
        <v>3</v>
      </c>
      <c r="G1907" s="299">
        <f>6.25+17*0.016*2</f>
        <v>6.7939999999999996</v>
      </c>
      <c r="H1907" s="310" t="str">
        <f t="shared" ref="H1907:H1914" si="2041">IF(C1907="T6",G1907*F1907,"")</f>
        <v/>
      </c>
      <c r="I1907" s="311" t="str">
        <f t="shared" ref="I1907:I1914" si="2042">IF(C1907="T8",F1907*G1907,"")</f>
        <v/>
      </c>
      <c r="J1907" s="311" t="str">
        <f t="shared" ref="J1907:J1914" si="2043">IF(C1907="T10",F1907*G1907,"")</f>
        <v/>
      </c>
      <c r="K1907" s="311" t="str">
        <f t="shared" ref="K1907:K1914" si="2044">IF(C1907="T12",F1907*G1907,"")</f>
        <v/>
      </c>
      <c r="L1907" s="310" t="str">
        <f t="shared" ref="L1907:L1914" si="2045">IF(C1907="T14",F1907*G1907,"")</f>
        <v/>
      </c>
      <c r="M1907" s="310">
        <f t="shared" ref="M1907:M1914" si="2046">IF(C1907="T16",G1907*F1907,"")</f>
        <v>20.38</v>
      </c>
      <c r="N1907" s="311" t="str">
        <f t="shared" ref="N1907:N1914" si="2047">IF(C1907="T20",G1907*F1907,"")</f>
        <v/>
      </c>
    </row>
    <row r="1908" spans="1:14" s="294" customFormat="1">
      <c r="A1908" s="297" t="s">
        <v>1515</v>
      </c>
      <c r="B1908" s="298"/>
      <c r="C1908" s="299" t="s">
        <v>1492</v>
      </c>
      <c r="D1908" s="299">
        <v>1</v>
      </c>
      <c r="E1908" s="300">
        <v>3</v>
      </c>
      <c r="F1908" s="300">
        <f>E1908*D1908</f>
        <v>3</v>
      </c>
      <c r="G1908" s="302">
        <f>(6.25)+17*0.014*2</f>
        <v>6.73</v>
      </c>
      <c r="H1908" s="310" t="str">
        <f t="shared" si="2041"/>
        <v/>
      </c>
      <c r="I1908" s="311" t="str">
        <f t="shared" si="2042"/>
        <v/>
      </c>
      <c r="J1908" s="311" t="str">
        <f t="shared" si="2043"/>
        <v/>
      </c>
      <c r="K1908" s="311" t="str">
        <f t="shared" si="2044"/>
        <v/>
      </c>
      <c r="L1908" s="310">
        <f t="shared" si="2045"/>
        <v>20.190000000000001</v>
      </c>
      <c r="M1908" s="310" t="str">
        <f t="shared" si="2046"/>
        <v/>
      </c>
      <c r="N1908" s="311" t="str">
        <f t="shared" si="2047"/>
        <v/>
      </c>
    </row>
    <row r="1909" spans="1:14" s="294" customFormat="1">
      <c r="A1909" s="297"/>
      <c r="B1909" s="298"/>
      <c r="C1909" s="299" t="s">
        <v>1516</v>
      </c>
      <c r="D1909" s="299">
        <v>1</v>
      </c>
      <c r="E1909" s="300">
        <v>4</v>
      </c>
      <c r="F1909" s="300">
        <f>E1909*D1909</f>
        <v>4</v>
      </c>
      <c r="G1909" s="302">
        <v>6.6</v>
      </c>
      <c r="H1909" s="310" t="str">
        <f t="shared" si="2041"/>
        <v/>
      </c>
      <c r="I1909" s="311" t="str">
        <f t="shared" si="2042"/>
        <v/>
      </c>
      <c r="J1909" s="311" t="str">
        <f t="shared" si="2043"/>
        <v/>
      </c>
      <c r="K1909" s="311">
        <f t="shared" si="2044"/>
        <v>26.4</v>
      </c>
      <c r="L1909" s="310" t="str">
        <f t="shared" si="2045"/>
        <v/>
      </c>
      <c r="M1909" s="310" t="str">
        <f t="shared" si="2046"/>
        <v/>
      </c>
      <c r="N1909" s="311" t="str">
        <f t="shared" si="2047"/>
        <v/>
      </c>
    </row>
    <row r="1910" spans="1:14" s="294" customFormat="1">
      <c r="A1910" s="297" t="s">
        <v>1494</v>
      </c>
      <c r="B1910" s="301"/>
      <c r="C1910" s="299" t="s">
        <v>1496</v>
      </c>
      <c r="D1910" s="299">
        <v>1</v>
      </c>
      <c r="E1910" s="300">
        <f>20*3</f>
        <v>60</v>
      </c>
      <c r="F1910" s="300">
        <f t="shared" ref="F1910:F1911" si="2048">E1910*D1910</f>
        <v>60</v>
      </c>
      <c r="G1910" s="302">
        <f>(0.2+0.7)*2+17*0.008*2</f>
        <v>2.0699999999999998</v>
      </c>
      <c r="H1910" s="310" t="str">
        <f t="shared" si="2041"/>
        <v/>
      </c>
      <c r="I1910" s="311">
        <f t="shared" si="2042"/>
        <v>124.2</v>
      </c>
      <c r="J1910" s="311" t="str">
        <f t="shared" si="2043"/>
        <v/>
      </c>
      <c r="K1910" s="311" t="str">
        <f t="shared" si="2044"/>
        <v/>
      </c>
      <c r="L1910" s="310" t="str">
        <f t="shared" si="2045"/>
        <v/>
      </c>
      <c r="M1910" s="310" t="str">
        <f t="shared" si="2046"/>
        <v/>
      </c>
      <c r="N1910" s="311" t="str">
        <f t="shared" si="2047"/>
        <v/>
      </c>
    </row>
    <row r="1911" spans="1:14" s="294" customFormat="1">
      <c r="A1911" s="297" t="s">
        <v>1517</v>
      </c>
      <c r="B1911" s="301"/>
      <c r="C1911" s="299" t="s">
        <v>1496</v>
      </c>
      <c r="D1911" s="299">
        <v>1</v>
      </c>
      <c r="E1911" s="300">
        <v>60</v>
      </c>
      <c r="F1911" s="300">
        <f t="shared" si="2048"/>
        <v>60</v>
      </c>
      <c r="G1911" s="302">
        <f>(0.7*2)+17*0.008*2</f>
        <v>1.67</v>
      </c>
      <c r="H1911" s="310" t="str">
        <f t="shared" si="2041"/>
        <v/>
      </c>
      <c r="I1911" s="311">
        <f t="shared" si="2042"/>
        <v>100.2</v>
      </c>
      <c r="J1911" s="311" t="str">
        <f t="shared" si="2043"/>
        <v/>
      </c>
      <c r="K1911" s="311" t="str">
        <f t="shared" si="2044"/>
        <v/>
      </c>
      <c r="L1911" s="310" t="str">
        <f t="shared" si="2045"/>
        <v/>
      </c>
      <c r="M1911" s="310" t="str">
        <f t="shared" si="2046"/>
        <v/>
      </c>
      <c r="N1911" s="311" t="str">
        <f t="shared" si="2047"/>
        <v/>
      </c>
    </row>
    <row r="1912" spans="1:14">
      <c r="A1912" s="297" t="s">
        <v>1520</v>
      </c>
      <c r="B1912" s="254"/>
      <c r="C1912" s="299" t="s">
        <v>1498</v>
      </c>
      <c r="D1912" s="299">
        <v>1</v>
      </c>
      <c r="E1912" s="300">
        <v>6</v>
      </c>
      <c r="F1912" s="300">
        <f>E1912*D1912</f>
        <v>6</v>
      </c>
      <c r="G1912" s="302">
        <v>4.5</v>
      </c>
      <c r="H1912" s="310" t="str">
        <f t="shared" si="2041"/>
        <v/>
      </c>
      <c r="I1912" s="311" t="str">
        <f t="shared" si="2042"/>
        <v/>
      </c>
      <c r="J1912" s="311" t="str">
        <f t="shared" si="2043"/>
        <v/>
      </c>
      <c r="K1912" s="311" t="str">
        <f t="shared" si="2044"/>
        <v/>
      </c>
      <c r="L1912" s="310" t="str">
        <f t="shared" si="2045"/>
        <v/>
      </c>
      <c r="M1912" s="310">
        <f t="shared" si="2046"/>
        <v>27</v>
      </c>
      <c r="N1912" s="311" t="str">
        <f t="shared" si="2047"/>
        <v/>
      </c>
    </row>
    <row r="1913" spans="1:14">
      <c r="A1913" s="297"/>
      <c r="B1913" s="254"/>
      <c r="C1913" s="299" t="s">
        <v>1498</v>
      </c>
      <c r="D1913" s="299">
        <v>1</v>
      </c>
      <c r="E1913" s="300">
        <v>6</v>
      </c>
      <c r="F1913" s="300">
        <f>E1913*D1913</f>
        <v>6</v>
      </c>
      <c r="G1913" s="302">
        <v>4.5</v>
      </c>
      <c r="H1913" s="310" t="str">
        <f t="shared" si="2041"/>
        <v/>
      </c>
      <c r="I1913" s="311" t="str">
        <f t="shared" si="2042"/>
        <v/>
      </c>
      <c r="J1913" s="311" t="str">
        <f t="shared" si="2043"/>
        <v/>
      </c>
      <c r="K1913" s="311" t="str">
        <f t="shared" si="2044"/>
        <v/>
      </c>
      <c r="L1913" s="310" t="str">
        <f t="shared" si="2045"/>
        <v/>
      </c>
      <c r="M1913" s="310">
        <f t="shared" si="2046"/>
        <v>27</v>
      </c>
      <c r="N1913" s="311" t="str">
        <f t="shared" si="2047"/>
        <v/>
      </c>
    </row>
    <row r="1914" spans="1:14" ht="16.5">
      <c r="A1914" s="303"/>
      <c r="B1914" s="254"/>
      <c r="C1914" s="299" t="s">
        <v>1498</v>
      </c>
      <c r="D1914" s="299">
        <v>1</v>
      </c>
      <c r="E1914" s="300">
        <v>3</v>
      </c>
      <c r="F1914" s="300">
        <f>E1914*D1914</f>
        <v>3</v>
      </c>
      <c r="G1914" s="302">
        <v>5.85</v>
      </c>
      <c r="H1914" s="310" t="str">
        <f t="shared" si="2041"/>
        <v/>
      </c>
      <c r="I1914" s="311" t="str">
        <f t="shared" si="2042"/>
        <v/>
      </c>
      <c r="J1914" s="311" t="str">
        <f t="shared" si="2043"/>
        <v/>
      </c>
      <c r="K1914" s="311" t="str">
        <f t="shared" si="2044"/>
        <v/>
      </c>
      <c r="L1914" s="310" t="str">
        <f t="shared" si="2045"/>
        <v/>
      </c>
      <c r="M1914" s="310">
        <f t="shared" si="2046"/>
        <v>17.55</v>
      </c>
      <c r="N1914" s="311" t="str">
        <f t="shared" si="2047"/>
        <v/>
      </c>
    </row>
    <row r="1915" spans="1:14">
      <c r="A1915" s="253"/>
      <c r="B1915" s="254"/>
      <c r="C1915" s="299"/>
      <c r="D1915" s="299"/>
      <c r="E1915" s="300"/>
      <c r="F1915" s="300"/>
      <c r="G1915" s="302"/>
      <c r="H1915" s="310"/>
      <c r="I1915" s="311"/>
      <c r="J1915" s="311"/>
      <c r="K1915" s="311"/>
      <c r="L1915" s="310"/>
      <c r="M1915" s="310"/>
      <c r="N1915" s="311"/>
    </row>
    <row r="1916" spans="1:14" ht="16.5">
      <c r="A1916" s="303" t="s">
        <v>1433</v>
      </c>
      <c r="B1916" s="254"/>
      <c r="C1916" s="299"/>
      <c r="D1916" s="299"/>
      <c r="E1916" s="300"/>
      <c r="F1916" s="300"/>
      <c r="G1916" s="302"/>
      <c r="H1916" s="310"/>
      <c r="I1916" s="311"/>
      <c r="J1916" s="311"/>
      <c r="K1916" s="311"/>
      <c r="L1916" s="310"/>
      <c r="M1916" s="310"/>
      <c r="N1916" s="311"/>
    </row>
    <row r="1917" spans="1:14" s="294" customFormat="1">
      <c r="A1917" s="297" t="s">
        <v>1515</v>
      </c>
      <c r="B1917" s="298"/>
      <c r="C1917" s="299" t="s">
        <v>1519</v>
      </c>
      <c r="D1917" s="299">
        <v>1</v>
      </c>
      <c r="E1917" s="300">
        <v>3</v>
      </c>
      <c r="F1917" s="300">
        <f>E1917*D1917</f>
        <v>3</v>
      </c>
      <c r="G1917" s="299">
        <f>4.6+17*0.01*2</f>
        <v>4.9400000000000004</v>
      </c>
      <c r="H1917" s="310" t="str">
        <f t="shared" ref="H1917:H1923" si="2049">IF(C1917="T6",G1917*F1917,"")</f>
        <v/>
      </c>
      <c r="I1917" s="311" t="str">
        <f t="shared" ref="I1917:I1923" si="2050">IF(C1917="T8",F1917*G1917,"")</f>
        <v/>
      </c>
      <c r="J1917" s="311">
        <f t="shared" ref="J1917:J1923" si="2051">IF(C1917="T10",F1917*G1917,"")</f>
        <v>14.82</v>
      </c>
      <c r="K1917" s="311" t="str">
        <f t="shared" ref="K1917:K1923" si="2052">IF(C1917="T12",F1917*G1917,"")</f>
        <v/>
      </c>
      <c r="L1917" s="310" t="str">
        <f t="shared" ref="L1917:L1923" si="2053">IF(C1917="T14",F1917*G1917,"")</f>
        <v/>
      </c>
      <c r="M1917" s="310" t="str">
        <f t="shared" ref="M1917:M1923" si="2054">IF(C1917="T16",G1917*F1917,"")</f>
        <v/>
      </c>
      <c r="N1917" s="311" t="str">
        <f t="shared" ref="N1917:N1923" si="2055">IF(C1917="T20",G1917*F1917,"")</f>
        <v/>
      </c>
    </row>
    <row r="1918" spans="1:14" s="294" customFormat="1">
      <c r="A1918" s="297" t="s">
        <v>1515</v>
      </c>
      <c r="B1918" s="298"/>
      <c r="C1918" s="299" t="s">
        <v>1516</v>
      </c>
      <c r="D1918" s="299">
        <v>1</v>
      </c>
      <c r="E1918" s="300">
        <v>3</v>
      </c>
      <c r="F1918" s="300">
        <f>E1918*D1918</f>
        <v>3</v>
      </c>
      <c r="G1918" s="302">
        <f>(4.6)+17*0.012*2</f>
        <v>5.01</v>
      </c>
      <c r="H1918" s="310" t="str">
        <f t="shared" si="2049"/>
        <v/>
      </c>
      <c r="I1918" s="311" t="str">
        <f t="shared" si="2050"/>
        <v/>
      </c>
      <c r="J1918" s="311" t="str">
        <f t="shared" si="2051"/>
        <v/>
      </c>
      <c r="K1918" s="311">
        <f t="shared" si="2052"/>
        <v>15.03</v>
      </c>
      <c r="L1918" s="310" t="str">
        <f t="shared" si="2053"/>
        <v/>
      </c>
      <c r="M1918" s="310" t="str">
        <f t="shared" si="2054"/>
        <v/>
      </c>
      <c r="N1918" s="311" t="str">
        <f t="shared" si="2055"/>
        <v/>
      </c>
    </row>
    <row r="1919" spans="1:14" s="294" customFormat="1">
      <c r="A1919" s="297" t="s">
        <v>1494</v>
      </c>
      <c r="B1919" s="301"/>
      <c r="C1919" s="299" t="s">
        <v>1496</v>
      </c>
      <c r="D1919" s="299">
        <v>1</v>
      </c>
      <c r="E1919" s="300">
        <f>14+13+14</f>
        <v>41</v>
      </c>
      <c r="F1919" s="300">
        <f t="shared" ref="F1919:F1920" si="2056">E1919*D1919</f>
        <v>41</v>
      </c>
      <c r="G1919" s="302">
        <f>(0.2+0.55)*2+17*0.008*2</f>
        <v>1.77</v>
      </c>
      <c r="H1919" s="310" t="str">
        <f t="shared" si="2049"/>
        <v/>
      </c>
      <c r="I1919" s="311">
        <f t="shared" si="2050"/>
        <v>72.569999999999993</v>
      </c>
      <c r="J1919" s="311" t="str">
        <f t="shared" si="2051"/>
        <v/>
      </c>
      <c r="K1919" s="311" t="str">
        <f t="shared" si="2052"/>
        <v/>
      </c>
      <c r="L1919" s="310" t="str">
        <f t="shared" si="2053"/>
        <v/>
      </c>
      <c r="M1919" s="310" t="str">
        <f t="shared" si="2054"/>
        <v/>
      </c>
      <c r="N1919" s="311" t="str">
        <f t="shared" si="2055"/>
        <v/>
      </c>
    </row>
    <row r="1920" spans="1:14" s="294" customFormat="1">
      <c r="A1920" s="297" t="s">
        <v>1517</v>
      </c>
      <c r="B1920" s="301"/>
      <c r="C1920" s="299" t="s">
        <v>1496</v>
      </c>
      <c r="D1920" s="299">
        <v>1</v>
      </c>
      <c r="E1920" s="300">
        <v>41</v>
      </c>
      <c r="F1920" s="300">
        <f t="shared" si="2056"/>
        <v>41</v>
      </c>
      <c r="G1920" s="302">
        <f>(0.55*2)+17*0.008*2</f>
        <v>1.37</v>
      </c>
      <c r="H1920" s="310" t="str">
        <f t="shared" si="2049"/>
        <v/>
      </c>
      <c r="I1920" s="311">
        <f t="shared" si="2050"/>
        <v>56.17</v>
      </c>
      <c r="J1920" s="311" t="str">
        <f t="shared" si="2051"/>
        <v/>
      </c>
      <c r="K1920" s="311" t="str">
        <f t="shared" si="2052"/>
        <v/>
      </c>
      <c r="L1920" s="310" t="str">
        <f t="shared" si="2053"/>
        <v/>
      </c>
      <c r="M1920" s="310" t="str">
        <f t="shared" si="2054"/>
        <v/>
      </c>
      <c r="N1920" s="311" t="str">
        <f t="shared" si="2055"/>
        <v/>
      </c>
    </row>
    <row r="1921" spans="1:14">
      <c r="A1921" s="297" t="s">
        <v>1520</v>
      </c>
      <c r="B1921" s="254"/>
      <c r="C1921" s="299" t="s">
        <v>1492</v>
      </c>
      <c r="D1921" s="299">
        <v>1</v>
      </c>
      <c r="E1921" s="300">
        <v>3</v>
      </c>
      <c r="F1921" s="300">
        <f>E1921*D1921</f>
        <v>3</v>
      </c>
      <c r="G1921" s="302">
        <v>2.7</v>
      </c>
      <c r="H1921" s="310" t="str">
        <f t="shared" si="2049"/>
        <v/>
      </c>
      <c r="I1921" s="311" t="str">
        <f t="shared" si="2050"/>
        <v/>
      </c>
      <c r="J1921" s="311" t="str">
        <f t="shared" si="2051"/>
        <v/>
      </c>
      <c r="K1921" s="311" t="str">
        <f t="shared" si="2052"/>
        <v/>
      </c>
      <c r="L1921" s="310">
        <f t="shared" si="2053"/>
        <v>8.1</v>
      </c>
      <c r="M1921" s="310" t="str">
        <f t="shared" si="2054"/>
        <v/>
      </c>
      <c r="N1921" s="311" t="str">
        <f t="shared" si="2055"/>
        <v/>
      </c>
    </row>
    <row r="1922" spans="1:14">
      <c r="A1922" s="297"/>
      <c r="B1922" s="254"/>
      <c r="C1922" s="299" t="s">
        <v>1516</v>
      </c>
      <c r="D1922" s="299">
        <v>1</v>
      </c>
      <c r="E1922" s="300">
        <v>3</v>
      </c>
      <c r="F1922" s="300">
        <f>E1922*D1922</f>
        <v>3</v>
      </c>
      <c r="G1922" s="302">
        <v>2</v>
      </c>
      <c r="H1922" s="310" t="str">
        <f t="shared" si="2049"/>
        <v/>
      </c>
      <c r="I1922" s="311" t="str">
        <f t="shared" si="2050"/>
        <v/>
      </c>
      <c r="J1922" s="311" t="str">
        <f t="shared" si="2051"/>
        <v/>
      </c>
      <c r="K1922" s="311">
        <f t="shared" si="2052"/>
        <v>6</v>
      </c>
      <c r="L1922" s="310" t="str">
        <f t="shared" si="2053"/>
        <v/>
      </c>
      <c r="M1922" s="310" t="str">
        <f t="shared" si="2054"/>
        <v/>
      </c>
      <c r="N1922" s="311" t="str">
        <f t="shared" si="2055"/>
        <v/>
      </c>
    </row>
    <row r="1923" spans="1:14" ht="16.5">
      <c r="A1923" s="303"/>
      <c r="B1923" s="254"/>
      <c r="C1923" s="299" t="s">
        <v>1519</v>
      </c>
      <c r="D1923" s="299">
        <v>1</v>
      </c>
      <c r="E1923" s="300">
        <v>3</v>
      </c>
      <c r="F1923" s="300">
        <f>E1923*D1923</f>
        <v>3</v>
      </c>
      <c r="G1923" s="302">
        <v>4</v>
      </c>
      <c r="H1923" s="310" t="str">
        <f t="shared" si="2049"/>
        <v/>
      </c>
      <c r="I1923" s="311" t="str">
        <f t="shared" si="2050"/>
        <v/>
      </c>
      <c r="J1923" s="311">
        <f t="shared" si="2051"/>
        <v>12</v>
      </c>
      <c r="K1923" s="311" t="str">
        <f t="shared" si="2052"/>
        <v/>
      </c>
      <c r="L1923" s="310" t="str">
        <f t="shared" si="2053"/>
        <v/>
      </c>
      <c r="M1923" s="310" t="str">
        <f t="shared" si="2054"/>
        <v/>
      </c>
      <c r="N1923" s="311" t="str">
        <f t="shared" si="2055"/>
        <v/>
      </c>
    </row>
    <row r="1924" spans="1:14" ht="16.5">
      <c r="A1924" s="303"/>
      <c r="B1924" s="254"/>
      <c r="C1924" s="299"/>
      <c r="D1924" s="299"/>
      <c r="E1924" s="300"/>
      <c r="F1924" s="300"/>
      <c r="G1924" s="302"/>
      <c r="H1924" s="310"/>
      <c r="I1924" s="311"/>
      <c r="J1924" s="311"/>
      <c r="K1924" s="311"/>
      <c r="L1924" s="310"/>
      <c r="M1924" s="310"/>
      <c r="N1924" s="311"/>
    </row>
    <row r="1925" spans="1:14" ht="16.5">
      <c r="A1925" s="303" t="s">
        <v>1434</v>
      </c>
      <c r="B1925" s="254"/>
      <c r="C1925" s="299"/>
      <c r="D1925" s="299"/>
      <c r="E1925" s="300"/>
      <c r="F1925" s="300"/>
      <c r="G1925" s="302"/>
      <c r="H1925" s="310"/>
      <c r="I1925" s="311"/>
      <c r="J1925" s="311"/>
      <c r="K1925" s="311"/>
      <c r="L1925" s="310"/>
      <c r="M1925" s="310"/>
      <c r="N1925" s="311"/>
    </row>
    <row r="1926" spans="1:14" s="294" customFormat="1">
      <c r="A1926" s="297" t="s">
        <v>1515</v>
      </c>
      <c r="B1926" s="298"/>
      <c r="C1926" s="299" t="s">
        <v>1519</v>
      </c>
      <c r="D1926" s="299">
        <v>1</v>
      </c>
      <c r="E1926" s="300">
        <v>3</v>
      </c>
      <c r="F1926" s="300">
        <f>E1926*D1926</f>
        <v>3</v>
      </c>
      <c r="G1926" s="299">
        <f>2.75+17*0.01*2</f>
        <v>3.09</v>
      </c>
      <c r="H1926" s="310" t="str">
        <f t="shared" ref="H1926:H1931" si="2057">IF(C1926="T6",G1926*F1926,"")</f>
        <v/>
      </c>
      <c r="I1926" s="311" t="str">
        <f t="shared" ref="I1926:I1931" si="2058">IF(C1926="T8",F1926*G1926,"")</f>
        <v/>
      </c>
      <c r="J1926" s="311">
        <f t="shared" ref="J1926:J1931" si="2059">IF(C1926="T10",F1926*G1926,"")</f>
        <v>9.27</v>
      </c>
      <c r="K1926" s="311" t="str">
        <f t="shared" ref="K1926:K1931" si="2060">IF(C1926="T12",F1926*G1926,"")</f>
        <v/>
      </c>
      <c r="L1926" s="310" t="str">
        <f t="shared" ref="L1926:L1931" si="2061">IF(C1926="T14",F1926*G1926,"")</f>
        <v/>
      </c>
      <c r="M1926" s="310" t="str">
        <f t="shared" ref="M1926:M1931" si="2062">IF(C1926="T16",G1926*F1926,"")</f>
        <v/>
      </c>
      <c r="N1926" s="311" t="str">
        <f t="shared" ref="N1926:N1931" si="2063">IF(C1926="T20",G1926*F1926,"")</f>
        <v/>
      </c>
    </row>
    <row r="1927" spans="1:14" s="294" customFormat="1">
      <c r="A1927" s="297" t="s">
        <v>1515</v>
      </c>
      <c r="B1927" s="298"/>
      <c r="C1927" s="299" t="s">
        <v>1492</v>
      </c>
      <c r="D1927" s="299">
        <v>1</v>
      </c>
      <c r="E1927" s="300">
        <v>3</v>
      </c>
      <c r="F1927" s="300">
        <f>E1927*D1927</f>
        <v>3</v>
      </c>
      <c r="G1927" s="302">
        <f>(2.75)+17*0.014*2</f>
        <v>3.23</v>
      </c>
      <c r="H1927" s="310" t="str">
        <f t="shared" si="2057"/>
        <v/>
      </c>
      <c r="I1927" s="311" t="str">
        <f t="shared" si="2058"/>
        <v/>
      </c>
      <c r="J1927" s="311" t="str">
        <f t="shared" si="2059"/>
        <v/>
      </c>
      <c r="K1927" s="311" t="str">
        <f t="shared" si="2060"/>
        <v/>
      </c>
      <c r="L1927" s="310">
        <f t="shared" si="2061"/>
        <v>9.69</v>
      </c>
      <c r="M1927" s="310" t="str">
        <f t="shared" si="2062"/>
        <v/>
      </c>
      <c r="N1927" s="311" t="str">
        <f t="shared" si="2063"/>
        <v/>
      </c>
    </row>
    <row r="1928" spans="1:14" s="294" customFormat="1">
      <c r="A1928" s="297" t="s">
        <v>1494</v>
      </c>
      <c r="B1928" s="301"/>
      <c r="C1928" s="299" t="s">
        <v>1496</v>
      </c>
      <c r="D1928" s="299">
        <v>1</v>
      </c>
      <c r="E1928" s="300">
        <f>9+10+9</f>
        <v>28</v>
      </c>
      <c r="F1928" s="300">
        <f t="shared" ref="F1928:F1929" si="2064">E1928*D1928</f>
        <v>28</v>
      </c>
      <c r="G1928" s="302">
        <f>(0.2+0.3)*2+17*0.008*2</f>
        <v>1.27</v>
      </c>
      <c r="H1928" s="310" t="str">
        <f t="shared" si="2057"/>
        <v/>
      </c>
      <c r="I1928" s="311">
        <f t="shared" si="2058"/>
        <v>35.56</v>
      </c>
      <c r="J1928" s="311" t="str">
        <f t="shared" si="2059"/>
        <v/>
      </c>
      <c r="K1928" s="311" t="str">
        <f t="shared" si="2060"/>
        <v/>
      </c>
      <c r="L1928" s="310" t="str">
        <f t="shared" si="2061"/>
        <v/>
      </c>
      <c r="M1928" s="310" t="str">
        <f t="shared" si="2062"/>
        <v/>
      </c>
      <c r="N1928" s="311" t="str">
        <f t="shared" si="2063"/>
        <v/>
      </c>
    </row>
    <row r="1929" spans="1:14" s="294" customFormat="1">
      <c r="A1929" s="297" t="s">
        <v>1517</v>
      </c>
      <c r="B1929" s="301"/>
      <c r="C1929" s="299" t="s">
        <v>1496</v>
      </c>
      <c r="D1929" s="299">
        <v>1</v>
      </c>
      <c r="E1929" s="300">
        <v>28</v>
      </c>
      <c r="F1929" s="300">
        <f t="shared" si="2064"/>
        <v>28</v>
      </c>
      <c r="G1929" s="302">
        <f>(0.3*2)+17*0.008*2</f>
        <v>0.87</v>
      </c>
      <c r="H1929" s="310" t="str">
        <f t="shared" si="2057"/>
        <v/>
      </c>
      <c r="I1929" s="311">
        <f t="shared" si="2058"/>
        <v>24.36</v>
      </c>
      <c r="J1929" s="311" t="str">
        <f t="shared" si="2059"/>
        <v/>
      </c>
      <c r="K1929" s="311" t="str">
        <f t="shared" si="2060"/>
        <v/>
      </c>
      <c r="L1929" s="310" t="str">
        <f t="shared" si="2061"/>
        <v/>
      </c>
      <c r="M1929" s="310" t="str">
        <f t="shared" si="2062"/>
        <v/>
      </c>
      <c r="N1929" s="311" t="str">
        <f t="shared" si="2063"/>
        <v/>
      </c>
    </row>
    <row r="1930" spans="1:14">
      <c r="A1930" s="297" t="s">
        <v>1520</v>
      </c>
      <c r="B1930" s="254"/>
      <c r="C1930" s="299" t="s">
        <v>1492</v>
      </c>
      <c r="D1930" s="299">
        <v>1</v>
      </c>
      <c r="E1930" s="300">
        <v>3</v>
      </c>
      <c r="F1930" s="300">
        <f>E1930*D1930</f>
        <v>3</v>
      </c>
      <c r="G1930" s="302">
        <v>3.5</v>
      </c>
      <c r="H1930" s="310" t="str">
        <f t="shared" si="2057"/>
        <v/>
      </c>
      <c r="I1930" s="311" t="str">
        <f t="shared" si="2058"/>
        <v/>
      </c>
      <c r="J1930" s="311" t="str">
        <f t="shared" si="2059"/>
        <v/>
      </c>
      <c r="K1930" s="311" t="str">
        <f t="shared" si="2060"/>
        <v/>
      </c>
      <c r="L1930" s="310">
        <f t="shared" si="2061"/>
        <v>10.5</v>
      </c>
      <c r="M1930" s="310" t="str">
        <f t="shared" si="2062"/>
        <v/>
      </c>
      <c r="N1930" s="311" t="str">
        <f t="shared" si="2063"/>
        <v/>
      </c>
    </row>
    <row r="1931" spans="1:14">
      <c r="A1931" s="297"/>
      <c r="B1931" s="254"/>
      <c r="C1931" s="299" t="s">
        <v>1516</v>
      </c>
      <c r="D1931" s="299">
        <v>1</v>
      </c>
      <c r="E1931" s="300">
        <v>3</v>
      </c>
      <c r="F1931" s="300">
        <f>E1931*D1931</f>
        <v>3</v>
      </c>
      <c r="G1931" s="302">
        <v>1</v>
      </c>
      <c r="H1931" s="310" t="str">
        <f t="shared" si="2057"/>
        <v/>
      </c>
      <c r="I1931" s="311" t="str">
        <f t="shared" si="2058"/>
        <v/>
      </c>
      <c r="J1931" s="311" t="str">
        <f t="shared" si="2059"/>
        <v/>
      </c>
      <c r="K1931" s="311">
        <f t="shared" si="2060"/>
        <v>3</v>
      </c>
      <c r="L1931" s="310" t="str">
        <f t="shared" si="2061"/>
        <v/>
      </c>
      <c r="M1931" s="310" t="str">
        <f t="shared" si="2062"/>
        <v/>
      </c>
      <c r="N1931" s="311" t="str">
        <f t="shared" si="2063"/>
        <v/>
      </c>
    </row>
    <row r="1932" spans="1:14">
      <c r="A1932" s="253"/>
      <c r="B1932" s="254"/>
      <c r="C1932" s="299"/>
      <c r="D1932" s="299"/>
      <c r="E1932" s="300"/>
      <c r="F1932" s="300"/>
      <c r="G1932" s="302"/>
      <c r="H1932" s="310"/>
      <c r="I1932" s="311"/>
      <c r="J1932" s="311"/>
      <c r="K1932" s="311"/>
      <c r="L1932" s="310"/>
      <c r="M1932" s="310"/>
      <c r="N1932" s="311"/>
    </row>
    <row r="1933" spans="1:14" ht="16.5">
      <c r="A1933" s="303" t="s">
        <v>1388</v>
      </c>
      <c r="B1933" s="254"/>
      <c r="C1933" s="299"/>
      <c r="D1933" s="299"/>
      <c r="E1933" s="300"/>
      <c r="F1933" s="300"/>
      <c r="G1933" s="302"/>
      <c r="H1933" s="310"/>
      <c r="I1933" s="311"/>
      <c r="J1933" s="311"/>
      <c r="K1933" s="311"/>
      <c r="L1933" s="310"/>
      <c r="M1933" s="310"/>
      <c r="N1933" s="311"/>
    </row>
    <row r="1934" spans="1:14" s="294" customFormat="1">
      <c r="A1934" s="297" t="s">
        <v>1515</v>
      </c>
      <c r="B1934" s="298"/>
      <c r="C1934" s="299" t="s">
        <v>1519</v>
      </c>
      <c r="D1934" s="299">
        <v>4</v>
      </c>
      <c r="E1934" s="300">
        <v>3</v>
      </c>
      <c r="F1934" s="300">
        <f>E1934*D1934</f>
        <v>12</v>
      </c>
      <c r="G1934" s="299">
        <f>1+17*0.01*2</f>
        <v>1.34</v>
      </c>
      <c r="H1934" s="310" t="str">
        <f t="shared" ref="H1934:H1937" si="2065">IF(C1934="T6",G1934*F1934,"")</f>
        <v/>
      </c>
      <c r="I1934" s="311" t="str">
        <f t="shared" ref="I1934:I1937" si="2066">IF(C1934="T8",F1934*G1934,"")</f>
        <v/>
      </c>
      <c r="J1934" s="311">
        <f t="shared" ref="J1934:J1937" si="2067">IF(C1934="T10",F1934*G1934,"")</f>
        <v>16.079999999999998</v>
      </c>
      <c r="K1934" s="311" t="str">
        <f t="shared" ref="K1934:K1937" si="2068">IF(C1934="T12",F1934*G1934,"")</f>
        <v/>
      </c>
      <c r="L1934" s="310" t="str">
        <f t="shared" ref="L1934:L1937" si="2069">IF(C1934="T14",F1934*G1934,"")</f>
        <v/>
      </c>
      <c r="M1934" s="310" t="str">
        <f t="shared" ref="M1934:M1937" si="2070">IF(C1934="T16",G1934*F1934,"")</f>
        <v/>
      </c>
      <c r="N1934" s="311" t="str">
        <f t="shared" ref="N1934:N1937" si="2071">IF(C1934="T20",G1934*F1934,"")</f>
        <v/>
      </c>
    </row>
    <row r="1935" spans="1:14" s="294" customFormat="1">
      <c r="A1935" s="297" t="s">
        <v>1515</v>
      </c>
      <c r="B1935" s="298"/>
      <c r="C1935" s="299" t="s">
        <v>1492</v>
      </c>
      <c r="D1935" s="299">
        <v>4</v>
      </c>
      <c r="E1935" s="300">
        <v>3</v>
      </c>
      <c r="F1935" s="300">
        <f>E1935*D1935</f>
        <v>12</v>
      </c>
      <c r="G1935" s="302">
        <f>(1)+17*0.014*2</f>
        <v>1.48</v>
      </c>
      <c r="H1935" s="310" t="str">
        <f t="shared" si="2065"/>
        <v/>
      </c>
      <c r="I1935" s="311" t="str">
        <f t="shared" si="2066"/>
        <v/>
      </c>
      <c r="J1935" s="311" t="str">
        <f t="shared" si="2067"/>
        <v/>
      </c>
      <c r="K1935" s="311" t="str">
        <f t="shared" si="2068"/>
        <v/>
      </c>
      <c r="L1935" s="310">
        <f t="shared" si="2069"/>
        <v>17.760000000000002</v>
      </c>
      <c r="M1935" s="310" t="str">
        <f t="shared" si="2070"/>
        <v/>
      </c>
      <c r="N1935" s="311" t="str">
        <f t="shared" si="2071"/>
        <v/>
      </c>
    </row>
    <row r="1936" spans="1:14" s="294" customFormat="1">
      <c r="A1936" s="297" t="s">
        <v>1494</v>
      </c>
      <c r="B1936" s="301"/>
      <c r="C1936" s="299" t="s">
        <v>1496</v>
      </c>
      <c r="D1936" s="299">
        <v>4</v>
      </c>
      <c r="E1936" s="300">
        <f>1/0.15</f>
        <v>7</v>
      </c>
      <c r="F1936" s="300">
        <f t="shared" ref="F1936:F1937" si="2072">E1936*D1936</f>
        <v>28</v>
      </c>
      <c r="G1936" s="302">
        <f>(0.2+0.15)*2+17*0.008*2</f>
        <v>0.97</v>
      </c>
      <c r="H1936" s="310" t="str">
        <f t="shared" si="2065"/>
        <v/>
      </c>
      <c r="I1936" s="311">
        <f t="shared" si="2066"/>
        <v>27.16</v>
      </c>
      <c r="J1936" s="311" t="str">
        <f t="shared" si="2067"/>
        <v/>
      </c>
      <c r="K1936" s="311" t="str">
        <f t="shared" si="2068"/>
        <v/>
      </c>
      <c r="L1936" s="310" t="str">
        <f t="shared" si="2069"/>
        <v/>
      </c>
      <c r="M1936" s="310" t="str">
        <f t="shared" si="2070"/>
        <v/>
      </c>
      <c r="N1936" s="311" t="str">
        <f t="shared" si="2071"/>
        <v/>
      </c>
    </row>
    <row r="1937" spans="1:14" s="294" customFormat="1">
      <c r="A1937" s="297" t="s">
        <v>1517</v>
      </c>
      <c r="B1937" s="301"/>
      <c r="C1937" s="299" t="s">
        <v>1496</v>
      </c>
      <c r="D1937" s="299">
        <v>4</v>
      </c>
      <c r="E1937" s="300">
        <f>1/0.15</f>
        <v>7</v>
      </c>
      <c r="F1937" s="300">
        <f t="shared" si="2072"/>
        <v>28</v>
      </c>
      <c r="G1937" s="302">
        <f>(0.15*2)+17*0.008*2</f>
        <v>0.56999999999999995</v>
      </c>
      <c r="H1937" s="310" t="str">
        <f t="shared" si="2065"/>
        <v/>
      </c>
      <c r="I1937" s="311">
        <f t="shared" si="2066"/>
        <v>15.96</v>
      </c>
      <c r="J1937" s="311" t="str">
        <f t="shared" si="2067"/>
        <v/>
      </c>
      <c r="K1937" s="311" t="str">
        <f t="shared" si="2068"/>
        <v/>
      </c>
      <c r="L1937" s="310" t="str">
        <f t="shared" si="2069"/>
        <v/>
      </c>
      <c r="M1937" s="310" t="str">
        <f t="shared" si="2070"/>
        <v/>
      </c>
      <c r="N1937" s="311" t="str">
        <f t="shared" si="2071"/>
        <v/>
      </c>
    </row>
    <row r="1938" spans="1:14">
      <c r="A1938" s="253"/>
      <c r="B1938" s="254"/>
      <c r="C1938" s="299"/>
      <c r="D1938" s="299"/>
      <c r="E1938" s="300"/>
      <c r="F1938" s="300"/>
      <c r="G1938" s="302"/>
      <c r="H1938" s="310"/>
      <c r="I1938" s="311"/>
      <c r="J1938" s="311"/>
      <c r="K1938" s="311"/>
      <c r="L1938" s="310"/>
      <c r="M1938" s="310"/>
      <c r="N1938" s="311"/>
    </row>
    <row r="1939" spans="1:14" ht="16.5">
      <c r="A1939" s="303" t="s">
        <v>1436</v>
      </c>
      <c r="B1939" s="254"/>
      <c r="C1939" s="299"/>
      <c r="D1939" s="299"/>
      <c r="E1939" s="300"/>
      <c r="F1939" s="300"/>
      <c r="G1939" s="302"/>
      <c r="H1939" s="310"/>
      <c r="I1939" s="311"/>
      <c r="J1939" s="311"/>
      <c r="K1939" s="311"/>
      <c r="L1939" s="310"/>
      <c r="M1939" s="310"/>
      <c r="N1939" s="311"/>
    </row>
    <row r="1940" spans="1:14" s="294" customFormat="1">
      <c r="A1940" s="297" t="s">
        <v>1515</v>
      </c>
      <c r="B1940" s="298"/>
      <c r="C1940" s="299" t="s">
        <v>1519</v>
      </c>
      <c r="D1940" s="299">
        <v>1</v>
      </c>
      <c r="E1940" s="300">
        <v>3</v>
      </c>
      <c r="F1940" s="300">
        <f>E1940*D1940</f>
        <v>3</v>
      </c>
      <c r="G1940" s="299">
        <f>3.05+17*0.01*2</f>
        <v>3.39</v>
      </c>
      <c r="H1940" s="310" t="str">
        <f t="shared" ref="H1940:H1945" si="2073">IF(C1940="T6",G1940*F1940,"")</f>
        <v/>
      </c>
      <c r="I1940" s="311" t="str">
        <f t="shared" ref="I1940:I1945" si="2074">IF(C1940="T8",F1940*G1940,"")</f>
        <v/>
      </c>
      <c r="J1940" s="311">
        <f t="shared" ref="J1940:J1945" si="2075">IF(C1940="T10",F1940*G1940,"")</f>
        <v>10.17</v>
      </c>
      <c r="K1940" s="311" t="str">
        <f t="shared" ref="K1940:K1945" si="2076">IF(C1940="T12",F1940*G1940,"")</f>
        <v/>
      </c>
      <c r="L1940" s="310" t="str">
        <f t="shared" ref="L1940:L1945" si="2077">IF(C1940="T14",F1940*G1940,"")</f>
        <v/>
      </c>
      <c r="M1940" s="310" t="str">
        <f t="shared" ref="M1940:M1945" si="2078">IF(C1940="T16",G1940*F1940,"")</f>
        <v/>
      </c>
      <c r="N1940" s="311" t="str">
        <f t="shared" ref="N1940:N1945" si="2079">IF(C1940="T20",G1940*F1940,"")</f>
        <v/>
      </c>
    </row>
    <row r="1941" spans="1:14" s="294" customFormat="1">
      <c r="A1941" s="297" t="s">
        <v>1515</v>
      </c>
      <c r="B1941" s="298"/>
      <c r="C1941" s="299" t="s">
        <v>1492</v>
      </c>
      <c r="D1941" s="299">
        <v>1</v>
      </c>
      <c r="E1941" s="300">
        <v>3</v>
      </c>
      <c r="F1941" s="300">
        <f>E1941*D1941</f>
        <v>3</v>
      </c>
      <c r="G1941" s="302">
        <f>(3.05)+17*0.014*2</f>
        <v>3.53</v>
      </c>
      <c r="H1941" s="310" t="str">
        <f t="shared" si="2073"/>
        <v/>
      </c>
      <c r="I1941" s="311" t="str">
        <f t="shared" si="2074"/>
        <v/>
      </c>
      <c r="J1941" s="311" t="str">
        <f t="shared" si="2075"/>
        <v/>
      </c>
      <c r="K1941" s="311" t="str">
        <f t="shared" si="2076"/>
        <v/>
      </c>
      <c r="L1941" s="310">
        <f t="shared" si="2077"/>
        <v>10.59</v>
      </c>
      <c r="M1941" s="310" t="str">
        <f t="shared" si="2078"/>
        <v/>
      </c>
      <c r="N1941" s="311" t="str">
        <f t="shared" si="2079"/>
        <v/>
      </c>
    </row>
    <row r="1942" spans="1:14" s="294" customFormat="1">
      <c r="A1942" s="297" t="s">
        <v>1494</v>
      </c>
      <c r="B1942" s="301"/>
      <c r="C1942" s="299" t="s">
        <v>1496</v>
      </c>
      <c r="D1942" s="299">
        <v>1</v>
      </c>
      <c r="E1942" s="300">
        <f>10+9+10</f>
        <v>29</v>
      </c>
      <c r="F1942" s="300">
        <f t="shared" ref="F1942:F1943" si="2080">E1942*D1942</f>
        <v>29</v>
      </c>
      <c r="G1942" s="302">
        <f>(0.2+0.55)*2+17*0.008*2</f>
        <v>1.77</v>
      </c>
      <c r="H1942" s="310" t="str">
        <f t="shared" si="2073"/>
        <v/>
      </c>
      <c r="I1942" s="311">
        <f t="shared" si="2074"/>
        <v>51.33</v>
      </c>
      <c r="J1942" s="311" t="str">
        <f t="shared" si="2075"/>
        <v/>
      </c>
      <c r="K1942" s="311" t="str">
        <f t="shared" si="2076"/>
        <v/>
      </c>
      <c r="L1942" s="310" t="str">
        <f t="shared" si="2077"/>
        <v/>
      </c>
      <c r="M1942" s="310" t="str">
        <f t="shared" si="2078"/>
        <v/>
      </c>
      <c r="N1942" s="311" t="str">
        <f t="shared" si="2079"/>
        <v/>
      </c>
    </row>
    <row r="1943" spans="1:14" s="294" customFormat="1">
      <c r="A1943" s="297" t="s">
        <v>1517</v>
      </c>
      <c r="B1943" s="301"/>
      <c r="C1943" s="299" t="s">
        <v>1496</v>
      </c>
      <c r="D1943" s="299">
        <v>1</v>
      </c>
      <c r="E1943" s="300">
        <v>29</v>
      </c>
      <c r="F1943" s="300">
        <f t="shared" si="2080"/>
        <v>29</v>
      </c>
      <c r="G1943" s="302">
        <f>(0.55*2)+17*0.008*2</f>
        <v>1.37</v>
      </c>
      <c r="H1943" s="310" t="str">
        <f t="shared" si="2073"/>
        <v/>
      </c>
      <c r="I1943" s="311">
        <f t="shared" si="2074"/>
        <v>39.729999999999997</v>
      </c>
      <c r="J1943" s="311" t="str">
        <f t="shared" si="2075"/>
        <v/>
      </c>
      <c r="K1943" s="311" t="str">
        <f t="shared" si="2076"/>
        <v/>
      </c>
      <c r="L1943" s="310" t="str">
        <f t="shared" si="2077"/>
        <v/>
      </c>
      <c r="M1943" s="310" t="str">
        <f t="shared" si="2078"/>
        <v/>
      </c>
      <c r="N1943" s="311" t="str">
        <f t="shared" si="2079"/>
        <v/>
      </c>
    </row>
    <row r="1944" spans="1:14">
      <c r="A1944" s="297" t="s">
        <v>1518</v>
      </c>
      <c r="B1944" s="254"/>
      <c r="C1944" s="299" t="s">
        <v>1492</v>
      </c>
      <c r="D1944" s="299">
        <v>1</v>
      </c>
      <c r="E1944" s="300">
        <v>3</v>
      </c>
      <c r="F1944" s="300">
        <f>E1944*D1944</f>
        <v>3</v>
      </c>
      <c r="G1944" s="302">
        <v>3</v>
      </c>
      <c r="H1944" s="310" t="str">
        <f t="shared" si="2073"/>
        <v/>
      </c>
      <c r="I1944" s="311" t="str">
        <f t="shared" si="2074"/>
        <v/>
      </c>
      <c r="J1944" s="311" t="str">
        <f t="shared" si="2075"/>
        <v/>
      </c>
      <c r="K1944" s="311" t="str">
        <f t="shared" si="2076"/>
        <v/>
      </c>
      <c r="L1944" s="310">
        <f t="shared" si="2077"/>
        <v>9</v>
      </c>
      <c r="M1944" s="310" t="str">
        <f t="shared" si="2078"/>
        <v/>
      </c>
      <c r="N1944" s="311" t="str">
        <f t="shared" si="2079"/>
        <v/>
      </c>
    </row>
    <row r="1945" spans="1:14">
      <c r="A1945" s="297"/>
      <c r="B1945" s="254"/>
      <c r="C1945" s="299" t="s">
        <v>1492</v>
      </c>
      <c r="D1945" s="299">
        <v>1</v>
      </c>
      <c r="E1945" s="300">
        <v>3</v>
      </c>
      <c r="F1945" s="300">
        <f>E1945*D1945</f>
        <v>3</v>
      </c>
      <c r="G1945" s="302">
        <v>2.7</v>
      </c>
      <c r="H1945" s="310" t="str">
        <f t="shared" si="2073"/>
        <v/>
      </c>
      <c r="I1945" s="311" t="str">
        <f t="shared" si="2074"/>
        <v/>
      </c>
      <c r="J1945" s="311" t="str">
        <f t="shared" si="2075"/>
        <v/>
      </c>
      <c r="K1945" s="311" t="str">
        <f t="shared" si="2076"/>
        <v/>
      </c>
      <c r="L1945" s="310">
        <f t="shared" si="2077"/>
        <v>8.1</v>
      </c>
      <c r="M1945" s="310" t="str">
        <f t="shared" si="2078"/>
        <v/>
      </c>
      <c r="N1945" s="311" t="str">
        <f t="shared" si="2079"/>
        <v/>
      </c>
    </row>
    <row r="1946" spans="1:14" ht="16.5">
      <c r="A1946" s="303"/>
      <c r="B1946" s="254"/>
      <c r="C1946" s="299"/>
      <c r="D1946" s="299"/>
      <c r="E1946" s="300"/>
      <c r="F1946" s="300"/>
      <c r="G1946" s="302"/>
      <c r="H1946" s="310"/>
      <c r="I1946" s="311"/>
      <c r="J1946" s="311"/>
      <c r="K1946" s="311"/>
      <c r="L1946" s="310"/>
      <c r="M1946" s="310"/>
      <c r="N1946" s="311"/>
    </row>
    <row r="1947" spans="1:14" ht="16.5">
      <c r="A1947" s="303" t="s">
        <v>1437</v>
      </c>
      <c r="B1947" s="254"/>
      <c r="C1947" s="299"/>
      <c r="D1947" s="299"/>
      <c r="E1947" s="300"/>
      <c r="F1947" s="300"/>
      <c r="G1947" s="302"/>
      <c r="H1947" s="310"/>
      <c r="I1947" s="311"/>
      <c r="J1947" s="311"/>
      <c r="K1947" s="311"/>
      <c r="L1947" s="310"/>
      <c r="M1947" s="310"/>
      <c r="N1947" s="311"/>
    </row>
    <row r="1948" spans="1:14" s="294" customFormat="1">
      <c r="A1948" s="297" t="s">
        <v>1515</v>
      </c>
      <c r="B1948" s="298"/>
      <c r="C1948" s="299" t="s">
        <v>1519</v>
      </c>
      <c r="D1948" s="299">
        <v>1</v>
      </c>
      <c r="E1948" s="300">
        <v>3</v>
      </c>
      <c r="F1948" s="300">
        <f>E1948*D1948</f>
        <v>3</v>
      </c>
      <c r="G1948" s="299">
        <f>1.5+17*0.01*2</f>
        <v>1.84</v>
      </c>
      <c r="H1948" s="310" t="str">
        <f t="shared" ref="H1948:H1953" si="2081">IF(C1948="T6",G1948*F1948,"")</f>
        <v/>
      </c>
      <c r="I1948" s="311" t="str">
        <f t="shared" ref="I1948:I1953" si="2082">IF(C1948="T8",F1948*G1948,"")</f>
        <v/>
      </c>
      <c r="J1948" s="311">
        <f t="shared" ref="J1948:J1953" si="2083">IF(C1948="T10",F1948*G1948,"")</f>
        <v>5.52</v>
      </c>
      <c r="K1948" s="311" t="str">
        <f t="shared" ref="K1948:K1953" si="2084">IF(C1948="T12",F1948*G1948,"")</f>
        <v/>
      </c>
      <c r="L1948" s="310" t="str">
        <f t="shared" ref="L1948:L1953" si="2085">IF(C1948="T14",F1948*G1948,"")</f>
        <v/>
      </c>
      <c r="M1948" s="310" t="str">
        <f t="shared" ref="M1948:M1953" si="2086">IF(C1948="T16",G1948*F1948,"")</f>
        <v/>
      </c>
      <c r="N1948" s="311" t="str">
        <f t="shared" ref="N1948:N1953" si="2087">IF(C1948="T20",G1948*F1948,"")</f>
        <v/>
      </c>
    </row>
    <row r="1949" spans="1:14" s="294" customFormat="1">
      <c r="A1949" s="297" t="s">
        <v>1515</v>
      </c>
      <c r="B1949" s="298"/>
      <c r="C1949" s="299" t="s">
        <v>1516</v>
      </c>
      <c r="D1949" s="299">
        <v>1</v>
      </c>
      <c r="E1949" s="300">
        <v>3</v>
      </c>
      <c r="F1949" s="300">
        <f>E1949*D1949</f>
        <v>3</v>
      </c>
      <c r="G1949" s="302">
        <f>(1.5)+17*0.012*2</f>
        <v>1.91</v>
      </c>
      <c r="H1949" s="310" t="str">
        <f t="shared" si="2081"/>
        <v/>
      </c>
      <c r="I1949" s="311" t="str">
        <f t="shared" si="2082"/>
        <v/>
      </c>
      <c r="J1949" s="311" t="str">
        <f t="shared" si="2083"/>
        <v/>
      </c>
      <c r="K1949" s="311">
        <f t="shared" si="2084"/>
        <v>5.73</v>
      </c>
      <c r="L1949" s="310" t="str">
        <f t="shared" si="2085"/>
        <v/>
      </c>
      <c r="M1949" s="310" t="str">
        <f t="shared" si="2086"/>
        <v/>
      </c>
      <c r="N1949" s="311" t="str">
        <f t="shared" si="2087"/>
        <v/>
      </c>
    </row>
    <row r="1950" spans="1:14" s="294" customFormat="1">
      <c r="A1950" s="297" t="s">
        <v>1494</v>
      </c>
      <c r="B1950" s="301"/>
      <c r="C1950" s="299" t="s">
        <v>1496</v>
      </c>
      <c r="D1950" s="299">
        <v>1</v>
      </c>
      <c r="E1950" s="300">
        <f>5*3</f>
        <v>15</v>
      </c>
      <c r="F1950" s="300">
        <f t="shared" ref="F1950:F1951" si="2088">E1950*D1950</f>
        <v>15</v>
      </c>
      <c r="G1950" s="302">
        <f>(0.2+0.35)*2+17*0.008*2</f>
        <v>1.37</v>
      </c>
      <c r="H1950" s="310" t="str">
        <f t="shared" si="2081"/>
        <v/>
      </c>
      <c r="I1950" s="311">
        <f t="shared" si="2082"/>
        <v>20.55</v>
      </c>
      <c r="J1950" s="311" t="str">
        <f t="shared" si="2083"/>
        <v/>
      </c>
      <c r="K1950" s="311" t="str">
        <f t="shared" si="2084"/>
        <v/>
      </c>
      <c r="L1950" s="310" t="str">
        <f t="shared" si="2085"/>
        <v/>
      </c>
      <c r="M1950" s="310" t="str">
        <f t="shared" si="2086"/>
        <v/>
      </c>
      <c r="N1950" s="311" t="str">
        <f t="shared" si="2087"/>
        <v/>
      </c>
    </row>
    <row r="1951" spans="1:14" s="294" customFormat="1">
      <c r="A1951" s="297" t="s">
        <v>1517</v>
      </c>
      <c r="B1951" s="301"/>
      <c r="C1951" s="299" t="s">
        <v>1496</v>
      </c>
      <c r="D1951" s="299">
        <v>1</v>
      </c>
      <c r="E1951" s="300">
        <v>15</v>
      </c>
      <c r="F1951" s="300">
        <f t="shared" si="2088"/>
        <v>15</v>
      </c>
      <c r="G1951" s="302">
        <f>(0.35*2)+17*0.008*2</f>
        <v>0.97</v>
      </c>
      <c r="H1951" s="310" t="str">
        <f t="shared" si="2081"/>
        <v/>
      </c>
      <c r="I1951" s="311">
        <f t="shared" si="2082"/>
        <v>14.55</v>
      </c>
      <c r="J1951" s="311" t="str">
        <f t="shared" si="2083"/>
        <v/>
      </c>
      <c r="K1951" s="311" t="str">
        <f t="shared" si="2084"/>
        <v/>
      </c>
      <c r="L1951" s="310" t="str">
        <f t="shared" si="2085"/>
        <v/>
      </c>
      <c r="M1951" s="310" t="str">
        <f t="shared" si="2086"/>
        <v/>
      </c>
      <c r="N1951" s="311" t="str">
        <f t="shared" si="2087"/>
        <v/>
      </c>
    </row>
    <row r="1952" spans="1:14">
      <c r="A1952" s="297" t="s">
        <v>1518</v>
      </c>
      <c r="B1952" s="254"/>
      <c r="C1952" s="299" t="s">
        <v>1492</v>
      </c>
      <c r="D1952" s="299">
        <v>1</v>
      </c>
      <c r="E1952" s="300">
        <v>3</v>
      </c>
      <c r="F1952" s="300">
        <f>E1952*D1952</f>
        <v>3</v>
      </c>
      <c r="G1952" s="302">
        <v>3</v>
      </c>
      <c r="H1952" s="310" t="str">
        <f t="shared" si="2081"/>
        <v/>
      </c>
      <c r="I1952" s="311" t="str">
        <f t="shared" si="2082"/>
        <v/>
      </c>
      <c r="J1952" s="311" t="str">
        <f t="shared" si="2083"/>
        <v/>
      </c>
      <c r="K1952" s="311" t="str">
        <f t="shared" si="2084"/>
        <v/>
      </c>
      <c r="L1952" s="310">
        <f t="shared" si="2085"/>
        <v>9</v>
      </c>
      <c r="M1952" s="310" t="str">
        <f t="shared" si="2086"/>
        <v/>
      </c>
      <c r="N1952" s="311" t="str">
        <f t="shared" si="2087"/>
        <v/>
      </c>
    </row>
    <row r="1953" spans="1:14">
      <c r="A1953" s="297"/>
      <c r="B1953" s="254"/>
      <c r="C1953" s="299" t="s">
        <v>1492</v>
      </c>
      <c r="D1953" s="299">
        <v>1</v>
      </c>
      <c r="E1953" s="300">
        <v>3</v>
      </c>
      <c r="F1953" s="300">
        <f>E1953*D1953</f>
        <v>3</v>
      </c>
      <c r="G1953" s="302">
        <v>2.7</v>
      </c>
      <c r="H1953" s="310" t="str">
        <f t="shared" si="2081"/>
        <v/>
      </c>
      <c r="I1953" s="311" t="str">
        <f t="shared" si="2082"/>
        <v/>
      </c>
      <c r="J1953" s="311" t="str">
        <f t="shared" si="2083"/>
        <v/>
      </c>
      <c r="K1953" s="311" t="str">
        <f t="shared" si="2084"/>
        <v/>
      </c>
      <c r="L1953" s="310">
        <f t="shared" si="2085"/>
        <v>8.1</v>
      </c>
      <c r="M1953" s="310" t="str">
        <f t="shared" si="2086"/>
        <v/>
      </c>
      <c r="N1953" s="311" t="str">
        <f t="shared" si="2087"/>
        <v/>
      </c>
    </row>
    <row r="1954" spans="1:14">
      <c r="A1954" s="253"/>
      <c r="B1954" s="254"/>
      <c r="C1954" s="299"/>
      <c r="D1954" s="299"/>
      <c r="E1954" s="300"/>
      <c r="F1954" s="300"/>
      <c r="G1954" s="302"/>
      <c r="H1954" s="310"/>
      <c r="I1954" s="311"/>
      <c r="J1954" s="311"/>
      <c r="K1954" s="311"/>
      <c r="L1954" s="310"/>
      <c r="M1954" s="310"/>
      <c r="N1954" s="311"/>
    </row>
    <row r="1955" spans="1:14" ht="16.5">
      <c r="A1955" s="303" t="s">
        <v>1487</v>
      </c>
      <c r="B1955" s="254"/>
      <c r="C1955" s="299"/>
      <c r="D1955" s="299"/>
      <c r="E1955" s="300"/>
      <c r="F1955" s="300"/>
      <c r="G1955" s="302"/>
      <c r="H1955" s="310"/>
      <c r="I1955" s="311"/>
      <c r="J1955" s="311"/>
      <c r="K1955" s="311"/>
      <c r="L1955" s="310"/>
      <c r="M1955" s="310"/>
      <c r="N1955" s="311"/>
    </row>
    <row r="1956" spans="1:14" s="294" customFormat="1">
      <c r="A1956" s="297" t="s">
        <v>1515</v>
      </c>
      <c r="B1956" s="298"/>
      <c r="C1956" s="299" t="s">
        <v>1519</v>
      </c>
      <c r="D1956" s="299">
        <v>1</v>
      </c>
      <c r="E1956" s="300">
        <v>3</v>
      </c>
      <c r="F1956" s="300">
        <f>E1956*D1956</f>
        <v>3</v>
      </c>
      <c r="G1956" s="299">
        <f>1.5+17*0.01*2</f>
        <v>1.84</v>
      </c>
      <c r="H1956" s="310" t="str">
        <f t="shared" ref="H1956:H1961" si="2089">IF(C1956="T6",G1956*F1956,"")</f>
        <v/>
      </c>
      <c r="I1956" s="311" t="str">
        <f t="shared" ref="I1956:I1961" si="2090">IF(C1956="T8",F1956*G1956,"")</f>
        <v/>
      </c>
      <c r="J1956" s="311">
        <f t="shared" ref="J1956:J1961" si="2091">IF(C1956="T10",F1956*G1956,"")</f>
        <v>5.52</v>
      </c>
      <c r="K1956" s="311" t="str">
        <f t="shared" ref="K1956:K1961" si="2092">IF(C1956="T12",F1956*G1956,"")</f>
        <v/>
      </c>
      <c r="L1956" s="310" t="str">
        <f t="shared" ref="L1956:L1961" si="2093">IF(C1956="T14",F1956*G1956,"")</f>
        <v/>
      </c>
      <c r="M1956" s="310" t="str">
        <f t="shared" ref="M1956:M1961" si="2094">IF(C1956="T16",G1956*F1956,"")</f>
        <v/>
      </c>
      <c r="N1956" s="311" t="str">
        <f t="shared" ref="N1956:N1961" si="2095">IF(C1956="T20",G1956*F1956,"")</f>
        <v/>
      </c>
    </row>
    <row r="1957" spans="1:14" s="294" customFormat="1">
      <c r="A1957" s="297" t="s">
        <v>1515</v>
      </c>
      <c r="B1957" s="298"/>
      <c r="C1957" s="299" t="s">
        <v>1516</v>
      </c>
      <c r="D1957" s="299">
        <v>1</v>
      </c>
      <c r="E1957" s="300">
        <v>3</v>
      </c>
      <c r="F1957" s="300">
        <f>E1957*D1957</f>
        <v>3</v>
      </c>
      <c r="G1957" s="302">
        <f>(1.5)+17*0.012*2</f>
        <v>1.91</v>
      </c>
      <c r="H1957" s="310" t="str">
        <f t="shared" si="2089"/>
        <v/>
      </c>
      <c r="I1957" s="311" t="str">
        <f t="shared" si="2090"/>
        <v/>
      </c>
      <c r="J1957" s="311" t="str">
        <f t="shared" si="2091"/>
        <v/>
      </c>
      <c r="K1957" s="311">
        <f t="shared" si="2092"/>
        <v>5.73</v>
      </c>
      <c r="L1957" s="310" t="str">
        <f t="shared" si="2093"/>
        <v/>
      </c>
      <c r="M1957" s="310" t="str">
        <f t="shared" si="2094"/>
        <v/>
      </c>
      <c r="N1957" s="311" t="str">
        <f t="shared" si="2095"/>
        <v/>
      </c>
    </row>
    <row r="1958" spans="1:14" s="294" customFormat="1">
      <c r="A1958" s="297" t="s">
        <v>1494</v>
      </c>
      <c r="B1958" s="301"/>
      <c r="C1958" s="299" t="s">
        <v>1496</v>
      </c>
      <c r="D1958" s="299">
        <v>1</v>
      </c>
      <c r="E1958" s="300">
        <f>5*3</f>
        <v>15</v>
      </c>
      <c r="F1958" s="300">
        <f t="shared" ref="F1958:F1959" si="2096">E1958*D1958</f>
        <v>15</v>
      </c>
      <c r="G1958" s="302">
        <f>(0.2+0.35)*2+17*0.008*2</f>
        <v>1.37</v>
      </c>
      <c r="H1958" s="310" t="str">
        <f t="shared" si="2089"/>
        <v/>
      </c>
      <c r="I1958" s="311">
        <f t="shared" si="2090"/>
        <v>20.55</v>
      </c>
      <c r="J1958" s="311" t="str">
        <f t="shared" si="2091"/>
        <v/>
      </c>
      <c r="K1958" s="311" t="str">
        <f t="shared" si="2092"/>
        <v/>
      </c>
      <c r="L1958" s="310" t="str">
        <f t="shared" si="2093"/>
        <v/>
      </c>
      <c r="M1958" s="310" t="str">
        <f t="shared" si="2094"/>
        <v/>
      </c>
      <c r="N1958" s="311" t="str">
        <f t="shared" si="2095"/>
        <v/>
      </c>
    </row>
    <row r="1959" spans="1:14" s="294" customFormat="1">
      <c r="A1959" s="297" t="s">
        <v>1517</v>
      </c>
      <c r="B1959" s="301"/>
      <c r="C1959" s="299" t="s">
        <v>1496</v>
      </c>
      <c r="D1959" s="299">
        <v>1</v>
      </c>
      <c r="E1959" s="300">
        <v>15</v>
      </c>
      <c r="F1959" s="300">
        <f t="shared" si="2096"/>
        <v>15</v>
      </c>
      <c r="G1959" s="302">
        <f>(0.35*2)+17*0.008*2</f>
        <v>0.97</v>
      </c>
      <c r="H1959" s="310" t="str">
        <f t="shared" si="2089"/>
        <v/>
      </c>
      <c r="I1959" s="311">
        <f t="shared" si="2090"/>
        <v>14.55</v>
      </c>
      <c r="J1959" s="311" t="str">
        <f t="shared" si="2091"/>
        <v/>
      </c>
      <c r="K1959" s="311" t="str">
        <f t="shared" si="2092"/>
        <v/>
      </c>
      <c r="L1959" s="310" t="str">
        <f t="shared" si="2093"/>
        <v/>
      </c>
      <c r="M1959" s="310" t="str">
        <f t="shared" si="2094"/>
        <v/>
      </c>
      <c r="N1959" s="311" t="str">
        <f t="shared" si="2095"/>
        <v/>
      </c>
    </row>
    <row r="1960" spans="1:14">
      <c r="A1960" s="297" t="s">
        <v>1518</v>
      </c>
      <c r="B1960" s="254"/>
      <c r="C1960" s="299" t="s">
        <v>1492</v>
      </c>
      <c r="D1960" s="299">
        <v>1</v>
      </c>
      <c r="E1960" s="300">
        <v>3</v>
      </c>
      <c r="F1960" s="300">
        <f>E1960*D1960</f>
        <v>3</v>
      </c>
      <c r="G1960" s="302">
        <v>3</v>
      </c>
      <c r="H1960" s="310" t="str">
        <f t="shared" si="2089"/>
        <v/>
      </c>
      <c r="I1960" s="311" t="str">
        <f t="shared" si="2090"/>
        <v/>
      </c>
      <c r="J1960" s="311" t="str">
        <f t="shared" si="2091"/>
        <v/>
      </c>
      <c r="K1960" s="311" t="str">
        <f t="shared" si="2092"/>
        <v/>
      </c>
      <c r="L1960" s="310">
        <f t="shared" si="2093"/>
        <v>9</v>
      </c>
      <c r="M1960" s="310" t="str">
        <f t="shared" si="2094"/>
        <v/>
      </c>
      <c r="N1960" s="311" t="str">
        <f t="shared" si="2095"/>
        <v/>
      </c>
    </row>
    <row r="1961" spans="1:14">
      <c r="A1961" s="297"/>
      <c r="B1961" s="254"/>
      <c r="C1961" s="299" t="s">
        <v>1492</v>
      </c>
      <c r="D1961" s="299">
        <v>1</v>
      </c>
      <c r="E1961" s="300">
        <v>3</v>
      </c>
      <c r="F1961" s="300">
        <f>E1961*D1961</f>
        <v>3</v>
      </c>
      <c r="G1961" s="302">
        <v>2.7</v>
      </c>
      <c r="H1961" s="310" t="str">
        <f t="shared" si="2089"/>
        <v/>
      </c>
      <c r="I1961" s="311" t="str">
        <f t="shared" si="2090"/>
        <v/>
      </c>
      <c r="J1961" s="311" t="str">
        <f t="shared" si="2091"/>
        <v/>
      </c>
      <c r="K1961" s="311" t="str">
        <f t="shared" si="2092"/>
        <v/>
      </c>
      <c r="L1961" s="310">
        <f t="shared" si="2093"/>
        <v>8.1</v>
      </c>
      <c r="M1961" s="310" t="str">
        <f t="shared" si="2094"/>
        <v/>
      </c>
      <c r="N1961" s="311" t="str">
        <f t="shared" si="2095"/>
        <v/>
      </c>
    </row>
    <row r="1962" spans="1:14" ht="16.5">
      <c r="A1962" s="303"/>
      <c r="B1962" s="254"/>
      <c r="C1962" s="299"/>
      <c r="D1962" s="299"/>
      <c r="E1962" s="300"/>
      <c r="F1962" s="300"/>
      <c r="G1962" s="302"/>
      <c r="H1962" s="310"/>
      <c r="I1962" s="311"/>
      <c r="J1962" s="311"/>
      <c r="K1962" s="311"/>
      <c r="L1962" s="310"/>
      <c r="M1962" s="310"/>
      <c r="N1962" s="311"/>
    </row>
    <row r="1963" spans="1:14" ht="16.5">
      <c r="A1963" s="303" t="s">
        <v>1488</v>
      </c>
      <c r="B1963" s="254"/>
      <c r="C1963" s="299"/>
      <c r="D1963" s="299"/>
      <c r="E1963" s="300"/>
      <c r="F1963" s="300"/>
      <c r="G1963" s="302"/>
      <c r="H1963" s="310"/>
      <c r="I1963" s="311"/>
      <c r="J1963" s="311"/>
      <c r="K1963" s="311"/>
      <c r="L1963" s="310"/>
      <c r="M1963" s="310"/>
      <c r="N1963" s="311"/>
    </row>
    <row r="1964" spans="1:14" s="294" customFormat="1">
      <c r="A1964" s="297" t="s">
        <v>1515</v>
      </c>
      <c r="B1964" s="298"/>
      <c r="C1964" s="299" t="s">
        <v>1516</v>
      </c>
      <c r="D1964" s="299">
        <v>1</v>
      </c>
      <c r="E1964" s="300">
        <v>3</v>
      </c>
      <c r="F1964" s="300">
        <f>E1964*D1964</f>
        <v>3</v>
      </c>
      <c r="G1964" s="299">
        <f>5.81+17*0.01*2</f>
        <v>6.15</v>
      </c>
      <c r="H1964" s="310" t="str">
        <f t="shared" ref="H1964:H1970" si="2097">IF(C1964="T6",G1964*F1964,"")</f>
        <v/>
      </c>
      <c r="I1964" s="311" t="str">
        <f t="shared" ref="I1964:I1970" si="2098">IF(C1964="T8",F1964*G1964,"")</f>
        <v/>
      </c>
      <c r="J1964" s="311" t="str">
        <f t="shared" ref="J1964:J1970" si="2099">IF(C1964="T10",F1964*G1964,"")</f>
        <v/>
      </c>
      <c r="K1964" s="311">
        <f t="shared" ref="K1964:K1970" si="2100">IF(C1964="T12",F1964*G1964,"")</f>
        <v>18.45</v>
      </c>
      <c r="L1964" s="310" t="str">
        <f t="shared" ref="L1964:L1970" si="2101">IF(C1964="T14",F1964*G1964,"")</f>
        <v/>
      </c>
      <c r="M1964" s="310" t="str">
        <f t="shared" ref="M1964:M1970" si="2102">IF(C1964="T16",G1964*F1964,"")</f>
        <v/>
      </c>
      <c r="N1964" s="311" t="str">
        <f t="shared" ref="N1964:N1970" si="2103">IF(C1964="T20",G1964*F1964,"")</f>
        <v/>
      </c>
    </row>
    <row r="1965" spans="1:14" s="294" customFormat="1">
      <c r="A1965" s="297" t="s">
        <v>1515</v>
      </c>
      <c r="B1965" s="298"/>
      <c r="C1965" s="299" t="s">
        <v>1492</v>
      </c>
      <c r="D1965" s="299">
        <v>1</v>
      </c>
      <c r="E1965" s="300">
        <v>3</v>
      </c>
      <c r="F1965" s="300">
        <f>E1965*D1965</f>
        <v>3</v>
      </c>
      <c r="G1965" s="302">
        <f>(5.81)+17*0.012*2</f>
        <v>6.22</v>
      </c>
      <c r="H1965" s="310" t="str">
        <f t="shared" si="2097"/>
        <v/>
      </c>
      <c r="I1965" s="311" t="str">
        <f t="shared" si="2098"/>
        <v/>
      </c>
      <c r="J1965" s="311" t="str">
        <f t="shared" si="2099"/>
        <v/>
      </c>
      <c r="K1965" s="311" t="str">
        <f t="shared" si="2100"/>
        <v/>
      </c>
      <c r="L1965" s="310">
        <f t="shared" si="2101"/>
        <v>18.66</v>
      </c>
      <c r="M1965" s="310" t="str">
        <f t="shared" si="2102"/>
        <v/>
      </c>
      <c r="N1965" s="311" t="str">
        <f t="shared" si="2103"/>
        <v/>
      </c>
    </row>
    <row r="1966" spans="1:14" s="294" customFormat="1">
      <c r="A1966" s="297"/>
      <c r="B1966" s="298"/>
      <c r="C1966" s="299" t="s">
        <v>1516</v>
      </c>
      <c r="D1966" s="299">
        <v>1</v>
      </c>
      <c r="E1966" s="300">
        <v>3</v>
      </c>
      <c r="F1966" s="300">
        <f>E1966*D1966</f>
        <v>3</v>
      </c>
      <c r="G1966" s="302">
        <v>5.81</v>
      </c>
      <c r="H1966" s="310" t="str">
        <f t="shared" ref="H1966" si="2104">IF(C1966="T6",G1966*F1966,"")</f>
        <v/>
      </c>
      <c r="I1966" s="311" t="str">
        <f t="shared" ref="I1966" si="2105">IF(C1966="T8",F1966*G1966,"")</f>
        <v/>
      </c>
      <c r="J1966" s="311" t="str">
        <f t="shared" ref="J1966" si="2106">IF(C1966="T10",F1966*G1966,"")</f>
        <v/>
      </c>
      <c r="K1966" s="311">
        <f t="shared" ref="K1966" si="2107">IF(C1966="T12",F1966*G1966,"")</f>
        <v>17.43</v>
      </c>
      <c r="L1966" s="310" t="str">
        <f t="shared" ref="L1966" si="2108">IF(C1966="T14",F1966*G1966,"")</f>
        <v/>
      </c>
      <c r="M1966" s="310" t="str">
        <f t="shared" ref="M1966" si="2109">IF(C1966="T16",G1966*F1966,"")</f>
        <v/>
      </c>
      <c r="N1966" s="311" t="str">
        <f t="shared" ref="N1966" si="2110">IF(C1966="T20",G1966*F1966,"")</f>
        <v/>
      </c>
    </row>
    <row r="1967" spans="1:14" s="294" customFormat="1">
      <c r="A1967" s="297" t="s">
        <v>1494</v>
      </c>
      <c r="B1967" s="301"/>
      <c r="C1967" s="299" t="s">
        <v>1496</v>
      </c>
      <c r="D1967" s="299">
        <v>1</v>
      </c>
      <c r="E1967" s="300">
        <f>17+20+17</f>
        <v>54</v>
      </c>
      <c r="F1967" s="300">
        <f t="shared" ref="F1967:F1968" si="2111">E1967*D1967</f>
        <v>54</v>
      </c>
      <c r="G1967" s="302">
        <f>(0.2+0.55)*2+17*0.008*2</f>
        <v>1.77</v>
      </c>
      <c r="H1967" s="310" t="str">
        <f t="shared" si="2097"/>
        <v/>
      </c>
      <c r="I1967" s="311">
        <f t="shared" si="2098"/>
        <v>95.58</v>
      </c>
      <c r="J1967" s="311" t="str">
        <f t="shared" si="2099"/>
        <v/>
      </c>
      <c r="K1967" s="311" t="str">
        <f t="shared" si="2100"/>
        <v/>
      </c>
      <c r="L1967" s="310" t="str">
        <f t="shared" si="2101"/>
        <v/>
      </c>
      <c r="M1967" s="310" t="str">
        <f t="shared" si="2102"/>
        <v/>
      </c>
      <c r="N1967" s="311" t="str">
        <f t="shared" si="2103"/>
        <v/>
      </c>
    </row>
    <row r="1968" spans="1:14" s="294" customFormat="1">
      <c r="A1968" s="297" t="s">
        <v>1517</v>
      </c>
      <c r="B1968" s="301"/>
      <c r="C1968" s="299" t="s">
        <v>1496</v>
      </c>
      <c r="D1968" s="299">
        <v>1</v>
      </c>
      <c r="E1968" s="300">
        <v>54</v>
      </c>
      <c r="F1968" s="300">
        <f t="shared" si="2111"/>
        <v>54</v>
      </c>
      <c r="G1968" s="302">
        <f>(0.55*2)+17*0.008*2</f>
        <v>1.37</v>
      </c>
      <c r="H1968" s="310" t="str">
        <f t="shared" si="2097"/>
        <v/>
      </c>
      <c r="I1968" s="311">
        <f t="shared" si="2098"/>
        <v>73.98</v>
      </c>
      <c r="J1968" s="311" t="str">
        <f t="shared" si="2099"/>
        <v/>
      </c>
      <c r="K1968" s="311" t="str">
        <f t="shared" si="2100"/>
        <v/>
      </c>
      <c r="L1968" s="310" t="str">
        <f t="shared" si="2101"/>
        <v/>
      </c>
      <c r="M1968" s="310" t="str">
        <f t="shared" si="2102"/>
        <v/>
      </c>
      <c r="N1968" s="311" t="str">
        <f t="shared" si="2103"/>
        <v/>
      </c>
    </row>
    <row r="1969" spans="1:14">
      <c r="A1969" s="297" t="s">
        <v>1518</v>
      </c>
      <c r="B1969" s="254"/>
      <c r="C1969" s="299" t="s">
        <v>1492</v>
      </c>
      <c r="D1969" s="299">
        <v>1</v>
      </c>
      <c r="E1969" s="300">
        <v>3</v>
      </c>
      <c r="F1969" s="300">
        <f>E1969*D1969</f>
        <v>3</v>
      </c>
      <c r="G1969" s="302">
        <v>2.5</v>
      </c>
      <c r="H1969" s="310" t="str">
        <f t="shared" si="2097"/>
        <v/>
      </c>
      <c r="I1969" s="311" t="str">
        <f t="shared" si="2098"/>
        <v/>
      </c>
      <c r="J1969" s="311" t="str">
        <f t="shared" si="2099"/>
        <v/>
      </c>
      <c r="K1969" s="311" t="str">
        <f t="shared" si="2100"/>
        <v/>
      </c>
      <c r="L1969" s="310">
        <f t="shared" si="2101"/>
        <v>7.5</v>
      </c>
      <c r="M1969" s="310" t="str">
        <f t="shared" si="2102"/>
        <v/>
      </c>
      <c r="N1969" s="311" t="str">
        <f t="shared" si="2103"/>
        <v/>
      </c>
    </row>
    <row r="1970" spans="1:14">
      <c r="A1970" s="297"/>
      <c r="B1970" s="254"/>
      <c r="C1970" s="299" t="s">
        <v>1492</v>
      </c>
      <c r="D1970" s="299">
        <v>1</v>
      </c>
      <c r="E1970" s="300">
        <v>6</v>
      </c>
      <c r="F1970" s="300">
        <f>E1970*D1970</f>
        <v>6</v>
      </c>
      <c r="G1970" s="302">
        <v>3</v>
      </c>
      <c r="H1970" s="310" t="str">
        <f t="shared" si="2097"/>
        <v/>
      </c>
      <c r="I1970" s="311" t="str">
        <f t="shared" si="2098"/>
        <v/>
      </c>
      <c r="J1970" s="311" t="str">
        <f t="shared" si="2099"/>
        <v/>
      </c>
      <c r="K1970" s="311" t="str">
        <f t="shared" si="2100"/>
        <v/>
      </c>
      <c r="L1970" s="310">
        <f t="shared" si="2101"/>
        <v>18</v>
      </c>
      <c r="M1970" s="310" t="str">
        <f t="shared" si="2102"/>
        <v/>
      </c>
      <c r="N1970" s="311" t="str">
        <f t="shared" si="2103"/>
        <v/>
      </c>
    </row>
    <row r="1971" spans="1:14">
      <c r="A1971" s="297" t="s">
        <v>1518</v>
      </c>
      <c r="B1971" s="254"/>
      <c r="C1971" s="299" t="s">
        <v>1492</v>
      </c>
      <c r="D1971" s="299">
        <v>1</v>
      </c>
      <c r="E1971" s="300">
        <v>3</v>
      </c>
      <c r="F1971" s="300">
        <f>E1971*D1971</f>
        <v>3</v>
      </c>
      <c r="G1971" s="302">
        <v>5.4</v>
      </c>
      <c r="H1971" s="310" t="str">
        <f t="shared" ref="H1971" si="2112">IF(C1971="T6",G1971*F1971,"")</f>
        <v/>
      </c>
      <c r="I1971" s="311" t="str">
        <f t="shared" ref="I1971" si="2113">IF(C1971="T8",F1971*G1971,"")</f>
        <v/>
      </c>
      <c r="J1971" s="311" t="str">
        <f t="shared" ref="J1971" si="2114">IF(C1971="T10",F1971*G1971,"")</f>
        <v/>
      </c>
      <c r="K1971" s="311" t="str">
        <f t="shared" ref="K1971" si="2115">IF(C1971="T12",F1971*G1971,"")</f>
        <v/>
      </c>
      <c r="L1971" s="310">
        <f t="shared" ref="L1971" si="2116">IF(C1971="T14",F1971*G1971,"")</f>
        <v>16.2</v>
      </c>
      <c r="M1971" s="310" t="str">
        <f t="shared" ref="M1971" si="2117">IF(C1971="T16",G1971*F1971,"")</f>
        <v/>
      </c>
      <c r="N1971" s="311" t="str">
        <f t="shared" ref="N1971" si="2118">IF(C1971="T20",G1971*F1971,"")</f>
        <v/>
      </c>
    </row>
    <row r="1972" spans="1:14" ht="16.5">
      <c r="A1972" s="303"/>
      <c r="B1972" s="254"/>
      <c r="C1972" s="299"/>
      <c r="D1972" s="299"/>
      <c r="E1972" s="300"/>
      <c r="F1972" s="300"/>
      <c r="G1972" s="302"/>
      <c r="H1972" s="310"/>
      <c r="I1972" s="311"/>
      <c r="J1972" s="311"/>
      <c r="K1972" s="311"/>
      <c r="L1972" s="310"/>
      <c r="M1972" s="310"/>
      <c r="N1972" s="311"/>
    </row>
    <row r="1973" spans="1:14" ht="16.5">
      <c r="A1973" s="303" t="s">
        <v>1438</v>
      </c>
      <c r="B1973" s="254"/>
      <c r="C1973" s="299"/>
      <c r="D1973" s="299"/>
      <c r="E1973" s="300"/>
      <c r="F1973" s="300"/>
      <c r="G1973" s="302"/>
      <c r="H1973" s="310"/>
      <c r="I1973" s="311"/>
      <c r="J1973" s="311"/>
      <c r="K1973" s="311"/>
      <c r="L1973" s="310"/>
      <c r="M1973" s="310"/>
      <c r="N1973" s="311"/>
    </row>
    <row r="1974" spans="1:14" s="294" customFormat="1">
      <c r="A1974" s="297" t="s">
        <v>1515</v>
      </c>
      <c r="B1974" s="298"/>
      <c r="C1974" s="299" t="s">
        <v>1519</v>
      </c>
      <c r="D1974" s="299">
        <v>1</v>
      </c>
      <c r="E1974" s="300">
        <v>3</v>
      </c>
      <c r="F1974" s="300">
        <f>E1974*D1974</f>
        <v>3</v>
      </c>
      <c r="G1974" s="299">
        <f>2.84+17*0.01*2</f>
        <v>3.18</v>
      </c>
      <c r="H1974" s="310" t="str">
        <f t="shared" ref="H1974:H1979" si="2119">IF(C1974="T6",G1974*F1974,"")</f>
        <v/>
      </c>
      <c r="I1974" s="311" t="str">
        <f t="shared" ref="I1974:I1979" si="2120">IF(C1974="T8",F1974*G1974,"")</f>
        <v/>
      </c>
      <c r="J1974" s="311">
        <f t="shared" ref="J1974:J1979" si="2121">IF(C1974="T10",F1974*G1974,"")</f>
        <v>9.5399999999999991</v>
      </c>
      <c r="K1974" s="311" t="str">
        <f t="shared" ref="K1974:K1979" si="2122">IF(C1974="T12",F1974*G1974,"")</f>
        <v/>
      </c>
      <c r="L1974" s="310" t="str">
        <f t="shared" ref="L1974:L1979" si="2123">IF(C1974="T14",F1974*G1974,"")</f>
        <v/>
      </c>
      <c r="M1974" s="310" t="str">
        <f t="shared" ref="M1974:M1979" si="2124">IF(C1974="T16",G1974*F1974,"")</f>
        <v/>
      </c>
      <c r="N1974" s="311" t="str">
        <f t="shared" ref="N1974:N1979" si="2125">IF(C1974="T20",G1974*F1974,"")</f>
        <v/>
      </c>
    </row>
    <row r="1975" spans="1:14" s="294" customFormat="1">
      <c r="A1975" s="297" t="s">
        <v>1515</v>
      </c>
      <c r="B1975" s="298"/>
      <c r="C1975" s="299" t="s">
        <v>1516</v>
      </c>
      <c r="D1975" s="299">
        <v>1</v>
      </c>
      <c r="E1975" s="300">
        <v>3</v>
      </c>
      <c r="F1975" s="300">
        <f>E1975*D1975</f>
        <v>3</v>
      </c>
      <c r="G1975" s="302">
        <f>(2.84)+17*0.012*2</f>
        <v>3.25</v>
      </c>
      <c r="H1975" s="310" t="str">
        <f t="shared" si="2119"/>
        <v/>
      </c>
      <c r="I1975" s="311" t="str">
        <f t="shared" si="2120"/>
        <v/>
      </c>
      <c r="J1975" s="311" t="str">
        <f t="shared" si="2121"/>
        <v/>
      </c>
      <c r="K1975" s="311">
        <f t="shared" si="2122"/>
        <v>9.75</v>
      </c>
      <c r="L1975" s="310" t="str">
        <f t="shared" si="2123"/>
        <v/>
      </c>
      <c r="M1975" s="310" t="str">
        <f t="shared" si="2124"/>
        <v/>
      </c>
      <c r="N1975" s="311" t="str">
        <f t="shared" si="2125"/>
        <v/>
      </c>
    </row>
    <row r="1976" spans="1:14" s="294" customFormat="1">
      <c r="A1976" s="297" t="s">
        <v>1494</v>
      </c>
      <c r="B1976" s="301"/>
      <c r="C1976" s="299" t="s">
        <v>1496</v>
      </c>
      <c r="D1976" s="299">
        <v>1</v>
      </c>
      <c r="E1976" s="300">
        <f>9+8+9</f>
        <v>26</v>
      </c>
      <c r="F1976" s="300">
        <f t="shared" ref="F1976:F1977" si="2126">E1976*D1976</f>
        <v>26</v>
      </c>
      <c r="G1976" s="302">
        <f>(0.2+0.35)*2+17*0.008*2</f>
        <v>1.37</v>
      </c>
      <c r="H1976" s="310" t="str">
        <f t="shared" si="2119"/>
        <v/>
      </c>
      <c r="I1976" s="311">
        <f t="shared" si="2120"/>
        <v>35.619999999999997</v>
      </c>
      <c r="J1976" s="311" t="str">
        <f t="shared" si="2121"/>
        <v/>
      </c>
      <c r="K1976" s="311" t="str">
        <f t="shared" si="2122"/>
        <v/>
      </c>
      <c r="L1976" s="310" t="str">
        <f t="shared" si="2123"/>
        <v/>
      </c>
      <c r="M1976" s="310" t="str">
        <f t="shared" si="2124"/>
        <v/>
      </c>
      <c r="N1976" s="311" t="str">
        <f t="shared" si="2125"/>
        <v/>
      </c>
    </row>
    <row r="1977" spans="1:14" s="294" customFormat="1">
      <c r="A1977" s="297" t="s">
        <v>1517</v>
      </c>
      <c r="B1977" s="301"/>
      <c r="C1977" s="299" t="s">
        <v>1496</v>
      </c>
      <c r="D1977" s="299">
        <v>1</v>
      </c>
      <c r="E1977" s="300">
        <v>26</v>
      </c>
      <c r="F1977" s="300">
        <f t="shared" si="2126"/>
        <v>26</v>
      </c>
      <c r="G1977" s="302">
        <f>(0.35*2)+17*0.008*2</f>
        <v>0.97</v>
      </c>
      <c r="H1977" s="310" t="str">
        <f t="shared" si="2119"/>
        <v/>
      </c>
      <c r="I1977" s="311">
        <f t="shared" si="2120"/>
        <v>25.22</v>
      </c>
      <c r="J1977" s="311" t="str">
        <f t="shared" si="2121"/>
        <v/>
      </c>
      <c r="K1977" s="311" t="str">
        <f t="shared" si="2122"/>
        <v/>
      </c>
      <c r="L1977" s="310" t="str">
        <f t="shared" si="2123"/>
        <v/>
      </c>
      <c r="M1977" s="310" t="str">
        <f t="shared" si="2124"/>
        <v/>
      </c>
      <c r="N1977" s="311" t="str">
        <f t="shared" si="2125"/>
        <v/>
      </c>
    </row>
    <row r="1978" spans="1:14">
      <c r="A1978" s="297" t="s">
        <v>1518</v>
      </c>
      <c r="B1978" s="254"/>
      <c r="C1978" s="299" t="s">
        <v>1492</v>
      </c>
      <c r="D1978" s="299">
        <v>1</v>
      </c>
      <c r="E1978" s="300">
        <v>6</v>
      </c>
      <c r="F1978" s="300">
        <f>E1978*D1978</f>
        <v>6</v>
      </c>
      <c r="G1978" s="302">
        <v>3</v>
      </c>
      <c r="H1978" s="310" t="str">
        <f t="shared" si="2119"/>
        <v/>
      </c>
      <c r="I1978" s="311" t="str">
        <f t="shared" si="2120"/>
        <v/>
      </c>
      <c r="J1978" s="311" t="str">
        <f t="shared" si="2121"/>
        <v/>
      </c>
      <c r="K1978" s="311" t="str">
        <f t="shared" si="2122"/>
        <v/>
      </c>
      <c r="L1978" s="310">
        <f t="shared" si="2123"/>
        <v>18</v>
      </c>
      <c r="M1978" s="310" t="str">
        <f t="shared" si="2124"/>
        <v/>
      </c>
      <c r="N1978" s="311" t="str">
        <f t="shared" si="2125"/>
        <v/>
      </c>
    </row>
    <row r="1979" spans="1:14">
      <c r="A1979" s="297"/>
      <c r="B1979" s="254"/>
      <c r="C1979" s="299" t="s">
        <v>1492</v>
      </c>
      <c r="D1979" s="299">
        <v>1</v>
      </c>
      <c r="E1979" s="300">
        <v>3</v>
      </c>
      <c r="F1979" s="300">
        <f>E1979*D1979</f>
        <v>3</v>
      </c>
      <c r="G1979" s="302">
        <v>2.4</v>
      </c>
      <c r="H1979" s="310" t="str">
        <f t="shared" si="2119"/>
        <v/>
      </c>
      <c r="I1979" s="311" t="str">
        <f t="shared" si="2120"/>
        <v/>
      </c>
      <c r="J1979" s="311" t="str">
        <f t="shared" si="2121"/>
        <v/>
      </c>
      <c r="K1979" s="311" t="str">
        <f t="shared" si="2122"/>
        <v/>
      </c>
      <c r="L1979" s="310">
        <f t="shared" si="2123"/>
        <v>7.2</v>
      </c>
      <c r="M1979" s="310" t="str">
        <f t="shared" si="2124"/>
        <v/>
      </c>
      <c r="N1979" s="311" t="str">
        <f t="shared" si="2125"/>
        <v/>
      </c>
    </row>
    <row r="1980" spans="1:14">
      <c r="A1980" s="297"/>
      <c r="B1980" s="254"/>
      <c r="C1980" s="299" t="s">
        <v>1519</v>
      </c>
      <c r="D1980" s="299">
        <v>1</v>
      </c>
      <c r="E1980" s="300">
        <v>3</v>
      </c>
      <c r="F1980" s="300">
        <f>E1980*D1980</f>
        <v>3</v>
      </c>
      <c r="G1980" s="302">
        <v>2.44</v>
      </c>
      <c r="H1980" s="310" t="str">
        <f t="shared" ref="H1980" si="2127">IF(C1980="T6",G1980*F1980,"")</f>
        <v/>
      </c>
      <c r="I1980" s="311" t="str">
        <f t="shared" ref="I1980" si="2128">IF(C1980="T8",F1980*G1980,"")</f>
        <v/>
      </c>
      <c r="J1980" s="311">
        <f t="shared" ref="J1980" si="2129">IF(C1980="T10",F1980*G1980,"")</f>
        <v>7.32</v>
      </c>
      <c r="K1980" s="311" t="str">
        <f t="shared" ref="K1980" si="2130">IF(C1980="T12",F1980*G1980,"")</f>
        <v/>
      </c>
      <c r="L1980" s="310" t="str">
        <f t="shared" ref="L1980" si="2131">IF(C1980="T14",F1980*G1980,"")</f>
        <v/>
      </c>
      <c r="M1980" s="310" t="str">
        <f t="shared" ref="M1980" si="2132">IF(C1980="T16",G1980*F1980,"")</f>
        <v/>
      </c>
      <c r="N1980" s="311" t="str">
        <f t="shared" ref="N1980" si="2133">IF(C1980="T20",G1980*F1980,"")</f>
        <v/>
      </c>
    </row>
    <row r="1981" spans="1:14" ht="16.5">
      <c r="A1981" s="303"/>
      <c r="B1981" s="254"/>
      <c r="C1981" s="299"/>
      <c r="D1981" s="299"/>
      <c r="E1981" s="300"/>
      <c r="F1981" s="300"/>
      <c r="G1981" s="302"/>
      <c r="H1981" s="310"/>
      <c r="I1981" s="311"/>
      <c r="J1981" s="311"/>
      <c r="K1981" s="311"/>
      <c r="L1981" s="310"/>
      <c r="M1981" s="310"/>
      <c r="N1981" s="311"/>
    </row>
    <row r="1982" spans="1:14" ht="16.5">
      <c r="A1982" s="303" t="s">
        <v>1388</v>
      </c>
      <c r="B1982" s="254"/>
      <c r="C1982" s="299"/>
      <c r="D1982" s="299"/>
      <c r="E1982" s="300"/>
      <c r="F1982" s="300"/>
      <c r="G1982" s="302"/>
      <c r="H1982" s="310"/>
      <c r="I1982" s="311"/>
      <c r="J1982" s="311"/>
      <c r="K1982" s="311"/>
      <c r="L1982" s="310"/>
      <c r="M1982" s="310"/>
      <c r="N1982" s="311"/>
    </row>
    <row r="1983" spans="1:14" s="294" customFormat="1">
      <c r="A1983" s="297" t="s">
        <v>1515</v>
      </c>
      <c r="B1983" s="298"/>
      <c r="C1983" s="299" t="s">
        <v>1519</v>
      </c>
      <c r="D1983" s="299">
        <v>1</v>
      </c>
      <c r="E1983" s="300">
        <v>3</v>
      </c>
      <c r="F1983" s="300">
        <f>E1983*D1983</f>
        <v>3</v>
      </c>
      <c r="G1983" s="299">
        <f>3.53+17*0.01*2</f>
        <v>3.87</v>
      </c>
      <c r="H1983" s="310" t="str">
        <f t="shared" ref="H1983:H1986" si="2134">IF(C1983="T6",G1983*F1983,"")</f>
        <v/>
      </c>
      <c r="I1983" s="311" t="str">
        <f t="shared" ref="I1983:I1986" si="2135">IF(C1983="T8",F1983*G1983,"")</f>
        <v/>
      </c>
      <c r="J1983" s="311">
        <f t="shared" ref="J1983:J1986" si="2136">IF(C1983="T10",F1983*G1983,"")</f>
        <v>11.61</v>
      </c>
      <c r="K1983" s="311" t="str">
        <f t="shared" ref="K1983:K1986" si="2137">IF(C1983="T12",F1983*G1983,"")</f>
        <v/>
      </c>
      <c r="L1983" s="310" t="str">
        <f t="shared" ref="L1983:L1986" si="2138">IF(C1983="T14",F1983*G1983,"")</f>
        <v/>
      </c>
      <c r="M1983" s="310" t="str">
        <f t="shared" ref="M1983:M1986" si="2139">IF(C1983="T16",G1983*F1983,"")</f>
        <v/>
      </c>
      <c r="N1983" s="311" t="str">
        <f t="shared" ref="N1983:N1986" si="2140">IF(C1983="T20",G1983*F1983,"")</f>
        <v/>
      </c>
    </row>
    <row r="1984" spans="1:14" s="294" customFormat="1">
      <c r="A1984" s="297" t="s">
        <v>1515</v>
      </c>
      <c r="B1984" s="298"/>
      <c r="C1984" s="299" t="s">
        <v>1492</v>
      </c>
      <c r="D1984" s="299">
        <v>1</v>
      </c>
      <c r="E1984" s="300">
        <v>3</v>
      </c>
      <c r="F1984" s="300">
        <f>E1984*D1984</f>
        <v>3</v>
      </c>
      <c r="G1984" s="302">
        <f>(3.53)+17*0.014*2</f>
        <v>4.01</v>
      </c>
      <c r="H1984" s="310" t="str">
        <f t="shared" si="2134"/>
        <v/>
      </c>
      <c r="I1984" s="311" t="str">
        <f t="shared" si="2135"/>
        <v/>
      </c>
      <c r="J1984" s="311" t="str">
        <f t="shared" si="2136"/>
        <v/>
      </c>
      <c r="K1984" s="311" t="str">
        <f t="shared" si="2137"/>
        <v/>
      </c>
      <c r="L1984" s="310">
        <f t="shared" si="2138"/>
        <v>12.03</v>
      </c>
      <c r="M1984" s="310" t="str">
        <f t="shared" si="2139"/>
        <v/>
      </c>
      <c r="N1984" s="311" t="str">
        <f t="shared" si="2140"/>
        <v/>
      </c>
    </row>
    <row r="1985" spans="1:14" s="294" customFormat="1">
      <c r="A1985" s="297" t="s">
        <v>1494</v>
      </c>
      <c r="B1985" s="301"/>
      <c r="C1985" s="299" t="s">
        <v>1496</v>
      </c>
      <c r="D1985" s="299">
        <v>1</v>
      </c>
      <c r="E1985" s="300">
        <f>3.53/0.15</f>
        <v>24</v>
      </c>
      <c r="F1985" s="300">
        <f t="shared" ref="F1985:F1986" si="2141">E1985*D1985</f>
        <v>24</v>
      </c>
      <c r="G1985" s="302">
        <f>(0.2+0.15)*2+17*0.008*2</f>
        <v>0.97</v>
      </c>
      <c r="H1985" s="310" t="str">
        <f t="shared" si="2134"/>
        <v/>
      </c>
      <c r="I1985" s="311">
        <f t="shared" si="2135"/>
        <v>23.28</v>
      </c>
      <c r="J1985" s="311" t="str">
        <f t="shared" si="2136"/>
        <v/>
      </c>
      <c r="K1985" s="311" t="str">
        <f t="shared" si="2137"/>
        <v/>
      </c>
      <c r="L1985" s="310" t="str">
        <f t="shared" si="2138"/>
        <v/>
      </c>
      <c r="M1985" s="310" t="str">
        <f t="shared" si="2139"/>
        <v/>
      </c>
      <c r="N1985" s="311" t="str">
        <f t="shared" si="2140"/>
        <v/>
      </c>
    </row>
    <row r="1986" spans="1:14" s="294" customFormat="1">
      <c r="A1986" s="297" t="s">
        <v>1517</v>
      </c>
      <c r="B1986" s="301"/>
      <c r="C1986" s="299" t="s">
        <v>1496</v>
      </c>
      <c r="D1986" s="299">
        <v>1</v>
      </c>
      <c r="E1986" s="300">
        <v>24</v>
      </c>
      <c r="F1986" s="300">
        <f t="shared" si="2141"/>
        <v>24</v>
      </c>
      <c r="G1986" s="302">
        <f>(0.15*2)+17*0.008*2</f>
        <v>0.56999999999999995</v>
      </c>
      <c r="H1986" s="310" t="str">
        <f t="shared" si="2134"/>
        <v/>
      </c>
      <c r="I1986" s="311">
        <f t="shared" si="2135"/>
        <v>13.68</v>
      </c>
      <c r="J1986" s="311" t="str">
        <f t="shared" si="2136"/>
        <v/>
      </c>
      <c r="K1986" s="311" t="str">
        <f t="shared" si="2137"/>
        <v/>
      </c>
      <c r="L1986" s="310" t="str">
        <f t="shared" si="2138"/>
        <v/>
      </c>
      <c r="M1986" s="310" t="str">
        <f t="shared" si="2139"/>
        <v/>
      </c>
      <c r="N1986" s="311" t="str">
        <f t="shared" si="2140"/>
        <v/>
      </c>
    </row>
    <row r="1987" spans="1:14" ht="16.5">
      <c r="A1987" s="305"/>
      <c r="B1987" s="254"/>
      <c r="C1987" s="299"/>
      <c r="D1987" s="299"/>
      <c r="E1987" s="300"/>
      <c r="F1987" s="300"/>
      <c r="G1987" s="302"/>
      <c r="H1987" s="310"/>
      <c r="I1987" s="311"/>
      <c r="J1987" s="311"/>
      <c r="K1987" s="311"/>
      <c r="L1987" s="310"/>
      <c r="M1987" s="310"/>
      <c r="N1987" s="311"/>
    </row>
    <row r="1988" spans="1:14" ht="16.5">
      <c r="A1988" s="303" t="s">
        <v>1439</v>
      </c>
      <c r="B1988" s="254"/>
      <c r="C1988" s="299"/>
      <c r="D1988" s="299"/>
      <c r="E1988" s="300"/>
      <c r="F1988" s="300"/>
      <c r="G1988" s="302"/>
      <c r="H1988" s="310"/>
      <c r="I1988" s="311"/>
      <c r="J1988" s="311"/>
      <c r="K1988" s="311"/>
      <c r="L1988" s="310"/>
      <c r="M1988" s="310"/>
      <c r="N1988" s="311"/>
    </row>
    <row r="1989" spans="1:14" s="294" customFormat="1">
      <c r="A1989" s="297" t="s">
        <v>1515</v>
      </c>
      <c r="B1989" s="298"/>
      <c r="C1989" s="299" t="s">
        <v>1516</v>
      </c>
      <c r="D1989" s="299">
        <v>1</v>
      </c>
      <c r="E1989" s="300">
        <v>3</v>
      </c>
      <c r="F1989" s="300">
        <f>E1989*D1989</f>
        <v>3</v>
      </c>
      <c r="G1989" s="299">
        <f>5.81+17*0.01*2</f>
        <v>6.15</v>
      </c>
      <c r="H1989" s="310" t="str">
        <f t="shared" ref="H1989:H1996" si="2142">IF(C1989="T6",G1989*F1989,"")</f>
        <v/>
      </c>
      <c r="I1989" s="311" t="str">
        <f t="shared" ref="I1989:I1996" si="2143">IF(C1989="T8",F1989*G1989,"")</f>
        <v/>
      </c>
      <c r="J1989" s="311" t="str">
        <f t="shared" ref="J1989:J1996" si="2144">IF(C1989="T10",F1989*G1989,"")</f>
        <v/>
      </c>
      <c r="K1989" s="311">
        <f t="shared" ref="K1989:K1996" si="2145">IF(C1989="T12",F1989*G1989,"")</f>
        <v>18.45</v>
      </c>
      <c r="L1989" s="310" t="str">
        <f t="shared" ref="L1989:L1996" si="2146">IF(C1989="T14",F1989*G1989,"")</f>
        <v/>
      </c>
      <c r="M1989" s="310" t="str">
        <f t="shared" ref="M1989:M1996" si="2147">IF(C1989="T16",G1989*F1989,"")</f>
        <v/>
      </c>
      <c r="N1989" s="311" t="str">
        <f t="shared" ref="N1989:N1996" si="2148">IF(C1989="T20",G1989*F1989,"")</f>
        <v/>
      </c>
    </row>
    <row r="1990" spans="1:14" s="294" customFormat="1">
      <c r="A1990" s="297" t="s">
        <v>1515</v>
      </c>
      <c r="B1990" s="298"/>
      <c r="C1990" s="299" t="s">
        <v>1492</v>
      </c>
      <c r="D1990" s="299">
        <v>1</v>
      </c>
      <c r="E1990" s="300">
        <v>3</v>
      </c>
      <c r="F1990" s="300">
        <f>E1990*D1990</f>
        <v>3</v>
      </c>
      <c r="G1990" s="302">
        <f>(5.81)+17*0.012*2</f>
        <v>6.22</v>
      </c>
      <c r="H1990" s="310" t="str">
        <f t="shared" si="2142"/>
        <v/>
      </c>
      <c r="I1990" s="311" t="str">
        <f t="shared" si="2143"/>
        <v/>
      </c>
      <c r="J1990" s="311" t="str">
        <f t="shared" si="2144"/>
        <v/>
      </c>
      <c r="K1990" s="311" t="str">
        <f t="shared" si="2145"/>
        <v/>
      </c>
      <c r="L1990" s="310">
        <f t="shared" si="2146"/>
        <v>18.66</v>
      </c>
      <c r="M1990" s="310" t="str">
        <f t="shared" si="2147"/>
        <v/>
      </c>
      <c r="N1990" s="311" t="str">
        <f t="shared" si="2148"/>
        <v/>
      </c>
    </row>
    <row r="1991" spans="1:14" s="294" customFormat="1">
      <c r="A1991" s="297"/>
      <c r="B1991" s="298"/>
      <c r="C1991" s="299" t="s">
        <v>1516</v>
      </c>
      <c r="D1991" s="299">
        <v>1</v>
      </c>
      <c r="E1991" s="300">
        <v>3</v>
      </c>
      <c r="F1991" s="300">
        <f>E1991*D1991</f>
        <v>3</v>
      </c>
      <c r="G1991" s="302">
        <v>5.81</v>
      </c>
      <c r="H1991" s="310" t="str">
        <f t="shared" si="2142"/>
        <v/>
      </c>
      <c r="I1991" s="311" t="str">
        <f t="shared" si="2143"/>
        <v/>
      </c>
      <c r="J1991" s="311" t="str">
        <f t="shared" si="2144"/>
        <v/>
      </c>
      <c r="K1991" s="311">
        <f t="shared" si="2145"/>
        <v>17.43</v>
      </c>
      <c r="L1991" s="310" t="str">
        <f t="shared" si="2146"/>
        <v/>
      </c>
      <c r="M1991" s="310" t="str">
        <f t="shared" si="2147"/>
        <v/>
      </c>
      <c r="N1991" s="311" t="str">
        <f t="shared" si="2148"/>
        <v/>
      </c>
    </row>
    <row r="1992" spans="1:14" s="294" customFormat="1">
      <c r="A1992" s="297" t="s">
        <v>1494</v>
      </c>
      <c r="B1992" s="301"/>
      <c r="C1992" s="299" t="s">
        <v>1496</v>
      </c>
      <c r="D1992" s="299">
        <v>1</v>
      </c>
      <c r="E1992" s="300">
        <f>17+20+17</f>
        <v>54</v>
      </c>
      <c r="F1992" s="300">
        <f t="shared" ref="F1992:F1993" si="2149">E1992*D1992</f>
        <v>54</v>
      </c>
      <c r="G1992" s="302">
        <f>(0.2+0.55)*2+17*0.008*2</f>
        <v>1.77</v>
      </c>
      <c r="H1992" s="310" t="str">
        <f t="shared" si="2142"/>
        <v/>
      </c>
      <c r="I1992" s="311">
        <f t="shared" si="2143"/>
        <v>95.58</v>
      </c>
      <c r="J1992" s="311" t="str">
        <f t="shared" si="2144"/>
        <v/>
      </c>
      <c r="K1992" s="311" t="str">
        <f t="shared" si="2145"/>
        <v/>
      </c>
      <c r="L1992" s="310" t="str">
        <f t="shared" si="2146"/>
        <v/>
      </c>
      <c r="M1992" s="310" t="str">
        <f t="shared" si="2147"/>
        <v/>
      </c>
      <c r="N1992" s="311" t="str">
        <f t="shared" si="2148"/>
        <v/>
      </c>
    </row>
    <row r="1993" spans="1:14" s="294" customFormat="1">
      <c r="A1993" s="297" t="s">
        <v>1517</v>
      </c>
      <c r="B1993" s="301"/>
      <c r="C1993" s="299" t="s">
        <v>1496</v>
      </c>
      <c r="D1993" s="299">
        <v>1</v>
      </c>
      <c r="E1993" s="300">
        <v>54</v>
      </c>
      <c r="F1993" s="300">
        <f t="shared" si="2149"/>
        <v>54</v>
      </c>
      <c r="G1993" s="302">
        <f>(0.55*2)+17*0.008*2</f>
        <v>1.37</v>
      </c>
      <c r="H1993" s="310" t="str">
        <f t="shared" si="2142"/>
        <v/>
      </c>
      <c r="I1993" s="311">
        <f t="shared" si="2143"/>
        <v>73.98</v>
      </c>
      <c r="J1993" s="311" t="str">
        <f t="shared" si="2144"/>
        <v/>
      </c>
      <c r="K1993" s="311" t="str">
        <f t="shared" si="2145"/>
        <v/>
      </c>
      <c r="L1993" s="310" t="str">
        <f t="shared" si="2146"/>
        <v/>
      </c>
      <c r="M1993" s="310" t="str">
        <f t="shared" si="2147"/>
        <v/>
      </c>
      <c r="N1993" s="311" t="str">
        <f t="shared" si="2148"/>
        <v/>
      </c>
    </row>
    <row r="1994" spans="1:14">
      <c r="A1994" s="297" t="s">
        <v>1518</v>
      </c>
      <c r="B1994" s="254"/>
      <c r="C1994" s="299" t="s">
        <v>1492</v>
      </c>
      <c r="D1994" s="299">
        <v>1</v>
      </c>
      <c r="E1994" s="300">
        <v>3</v>
      </c>
      <c r="F1994" s="300">
        <f>E1994*D1994</f>
        <v>3</v>
      </c>
      <c r="G1994" s="302">
        <v>2.5</v>
      </c>
      <c r="H1994" s="310" t="str">
        <f t="shared" si="2142"/>
        <v/>
      </c>
      <c r="I1994" s="311" t="str">
        <f t="shared" si="2143"/>
        <v/>
      </c>
      <c r="J1994" s="311" t="str">
        <f t="shared" si="2144"/>
        <v/>
      </c>
      <c r="K1994" s="311" t="str">
        <f t="shared" si="2145"/>
        <v/>
      </c>
      <c r="L1994" s="310">
        <f t="shared" si="2146"/>
        <v>7.5</v>
      </c>
      <c r="M1994" s="310" t="str">
        <f t="shared" si="2147"/>
        <v/>
      </c>
      <c r="N1994" s="311" t="str">
        <f t="shared" si="2148"/>
        <v/>
      </c>
    </row>
    <row r="1995" spans="1:14">
      <c r="A1995" s="297"/>
      <c r="B1995" s="254"/>
      <c r="C1995" s="299" t="s">
        <v>1492</v>
      </c>
      <c r="D1995" s="299">
        <v>1</v>
      </c>
      <c r="E1995" s="300">
        <v>6</v>
      </c>
      <c r="F1995" s="300">
        <f>E1995*D1995</f>
        <v>6</v>
      </c>
      <c r="G1995" s="302">
        <v>3</v>
      </c>
      <c r="H1995" s="310" t="str">
        <f t="shared" si="2142"/>
        <v/>
      </c>
      <c r="I1995" s="311" t="str">
        <f t="shared" si="2143"/>
        <v/>
      </c>
      <c r="J1995" s="311" t="str">
        <f t="shared" si="2144"/>
        <v/>
      </c>
      <c r="K1995" s="311" t="str">
        <f t="shared" si="2145"/>
        <v/>
      </c>
      <c r="L1995" s="310">
        <f t="shared" si="2146"/>
        <v>18</v>
      </c>
      <c r="M1995" s="310" t="str">
        <f t="shared" si="2147"/>
        <v/>
      </c>
      <c r="N1995" s="311" t="str">
        <f t="shared" si="2148"/>
        <v/>
      </c>
    </row>
    <row r="1996" spans="1:14">
      <c r="A1996" s="297" t="s">
        <v>1518</v>
      </c>
      <c r="B1996" s="254"/>
      <c r="C1996" s="299" t="s">
        <v>1492</v>
      </c>
      <c r="D1996" s="299">
        <v>1</v>
      </c>
      <c r="E1996" s="300">
        <v>3</v>
      </c>
      <c r="F1996" s="300">
        <f>E1996*D1996</f>
        <v>3</v>
      </c>
      <c r="G1996" s="302">
        <v>5.4</v>
      </c>
      <c r="H1996" s="310" t="str">
        <f t="shared" si="2142"/>
        <v/>
      </c>
      <c r="I1996" s="311" t="str">
        <f t="shared" si="2143"/>
        <v/>
      </c>
      <c r="J1996" s="311" t="str">
        <f t="shared" si="2144"/>
        <v/>
      </c>
      <c r="K1996" s="311" t="str">
        <f t="shared" si="2145"/>
        <v/>
      </c>
      <c r="L1996" s="310">
        <f t="shared" si="2146"/>
        <v>16.2</v>
      </c>
      <c r="M1996" s="310" t="str">
        <f t="shared" si="2147"/>
        <v/>
      </c>
      <c r="N1996" s="311" t="str">
        <f t="shared" si="2148"/>
        <v/>
      </c>
    </row>
    <row r="1997" spans="1:14" ht="16.5">
      <c r="A1997" s="303"/>
      <c r="B1997" s="254"/>
      <c r="C1997" s="299"/>
      <c r="D1997" s="299"/>
      <c r="E1997" s="300"/>
      <c r="F1997" s="300"/>
      <c r="G1997" s="302"/>
      <c r="H1997" s="310"/>
      <c r="I1997" s="311"/>
      <c r="J1997" s="311"/>
      <c r="K1997" s="311"/>
      <c r="L1997" s="310"/>
      <c r="M1997" s="310"/>
      <c r="N1997" s="311"/>
    </row>
    <row r="1998" spans="1:14" ht="16.5">
      <c r="A1998" s="303" t="s">
        <v>1440</v>
      </c>
      <c r="B1998" s="254"/>
      <c r="C1998" s="299"/>
      <c r="D1998" s="299"/>
      <c r="E1998" s="300"/>
      <c r="F1998" s="300"/>
      <c r="G1998" s="302"/>
      <c r="H1998" s="310"/>
      <c r="I1998" s="311"/>
      <c r="J1998" s="311"/>
      <c r="K1998" s="311"/>
      <c r="L1998" s="310"/>
      <c r="M1998" s="310"/>
      <c r="N1998" s="311"/>
    </row>
    <row r="1999" spans="1:14" s="294" customFormat="1">
      <c r="A1999" s="297" t="s">
        <v>1515</v>
      </c>
      <c r="B1999" s="298"/>
      <c r="C1999" s="299" t="s">
        <v>1519</v>
      </c>
      <c r="D1999" s="299">
        <v>1</v>
      </c>
      <c r="E1999" s="300">
        <v>3</v>
      </c>
      <c r="F1999" s="300">
        <f>E1999*D1999</f>
        <v>3</v>
      </c>
      <c r="G1999" s="299">
        <f>2.84+17*0.01*2</f>
        <v>3.18</v>
      </c>
      <c r="H1999" s="310" t="str">
        <f t="shared" ref="H1999:H2005" si="2150">IF(C1999="T6",G1999*F1999,"")</f>
        <v/>
      </c>
      <c r="I1999" s="311" t="str">
        <f t="shared" ref="I1999:I2005" si="2151">IF(C1999="T8",F1999*G1999,"")</f>
        <v/>
      </c>
      <c r="J1999" s="311">
        <f t="shared" ref="J1999:J2005" si="2152">IF(C1999="T10",F1999*G1999,"")</f>
        <v>9.5399999999999991</v>
      </c>
      <c r="K1999" s="311" t="str">
        <f t="shared" ref="K1999:K2005" si="2153">IF(C1999="T12",F1999*G1999,"")</f>
        <v/>
      </c>
      <c r="L1999" s="310" t="str">
        <f t="shared" ref="L1999:L2005" si="2154">IF(C1999="T14",F1999*G1999,"")</f>
        <v/>
      </c>
      <c r="M1999" s="310" t="str">
        <f t="shared" ref="M1999:M2005" si="2155">IF(C1999="T16",G1999*F1999,"")</f>
        <v/>
      </c>
      <c r="N1999" s="311" t="str">
        <f t="shared" ref="N1999:N2005" si="2156">IF(C1999="T20",G1999*F1999,"")</f>
        <v/>
      </c>
    </row>
    <row r="2000" spans="1:14" s="294" customFormat="1">
      <c r="A2000" s="297" t="s">
        <v>1515</v>
      </c>
      <c r="B2000" s="298"/>
      <c r="C2000" s="299" t="s">
        <v>1516</v>
      </c>
      <c r="D2000" s="299">
        <v>1</v>
      </c>
      <c r="E2000" s="300">
        <v>3</v>
      </c>
      <c r="F2000" s="300">
        <f>E2000*D2000</f>
        <v>3</v>
      </c>
      <c r="G2000" s="302">
        <f>(2.84)+17*0.012*2</f>
        <v>3.25</v>
      </c>
      <c r="H2000" s="310" t="str">
        <f t="shared" si="2150"/>
        <v/>
      </c>
      <c r="I2000" s="311" t="str">
        <f t="shared" si="2151"/>
        <v/>
      </c>
      <c r="J2000" s="311" t="str">
        <f t="shared" si="2152"/>
        <v/>
      </c>
      <c r="K2000" s="311">
        <f t="shared" si="2153"/>
        <v>9.75</v>
      </c>
      <c r="L2000" s="310" t="str">
        <f t="shared" si="2154"/>
        <v/>
      </c>
      <c r="M2000" s="310" t="str">
        <f t="shared" si="2155"/>
        <v/>
      </c>
      <c r="N2000" s="311" t="str">
        <f t="shared" si="2156"/>
        <v/>
      </c>
    </row>
    <row r="2001" spans="1:14" s="294" customFormat="1">
      <c r="A2001" s="297" t="s">
        <v>1494</v>
      </c>
      <c r="B2001" s="301"/>
      <c r="C2001" s="299" t="s">
        <v>1496</v>
      </c>
      <c r="D2001" s="299">
        <v>1</v>
      </c>
      <c r="E2001" s="300">
        <f>9+8+9</f>
        <v>26</v>
      </c>
      <c r="F2001" s="300">
        <f t="shared" ref="F2001:F2002" si="2157">E2001*D2001</f>
        <v>26</v>
      </c>
      <c r="G2001" s="302">
        <f>(0.2+0.35)*2+17*0.008*2</f>
        <v>1.37</v>
      </c>
      <c r="H2001" s="310" t="str">
        <f t="shared" si="2150"/>
        <v/>
      </c>
      <c r="I2001" s="311">
        <f t="shared" si="2151"/>
        <v>35.619999999999997</v>
      </c>
      <c r="J2001" s="311" t="str">
        <f t="shared" si="2152"/>
        <v/>
      </c>
      <c r="K2001" s="311" t="str">
        <f t="shared" si="2153"/>
        <v/>
      </c>
      <c r="L2001" s="310" t="str">
        <f t="shared" si="2154"/>
        <v/>
      </c>
      <c r="M2001" s="310" t="str">
        <f t="shared" si="2155"/>
        <v/>
      </c>
      <c r="N2001" s="311" t="str">
        <f t="shared" si="2156"/>
        <v/>
      </c>
    </row>
    <row r="2002" spans="1:14" s="294" customFormat="1">
      <c r="A2002" s="297" t="s">
        <v>1517</v>
      </c>
      <c r="B2002" s="301"/>
      <c r="C2002" s="299" t="s">
        <v>1496</v>
      </c>
      <c r="D2002" s="299">
        <v>1</v>
      </c>
      <c r="E2002" s="300">
        <v>26</v>
      </c>
      <c r="F2002" s="300">
        <f t="shared" si="2157"/>
        <v>26</v>
      </c>
      <c r="G2002" s="302">
        <f>(0.35*2)+17*0.008*2</f>
        <v>0.97</v>
      </c>
      <c r="H2002" s="310" t="str">
        <f t="shared" si="2150"/>
        <v/>
      </c>
      <c r="I2002" s="311">
        <f t="shared" si="2151"/>
        <v>25.22</v>
      </c>
      <c r="J2002" s="311" t="str">
        <f t="shared" si="2152"/>
        <v/>
      </c>
      <c r="K2002" s="311" t="str">
        <f t="shared" si="2153"/>
        <v/>
      </c>
      <c r="L2002" s="310" t="str">
        <f t="shared" si="2154"/>
        <v/>
      </c>
      <c r="M2002" s="310" t="str">
        <f t="shared" si="2155"/>
        <v/>
      </c>
      <c r="N2002" s="311" t="str">
        <f t="shared" si="2156"/>
        <v/>
      </c>
    </row>
    <row r="2003" spans="1:14">
      <c r="A2003" s="297" t="s">
        <v>1518</v>
      </c>
      <c r="B2003" s="254"/>
      <c r="C2003" s="299" t="s">
        <v>1492</v>
      </c>
      <c r="D2003" s="299">
        <v>1</v>
      </c>
      <c r="E2003" s="300">
        <v>6</v>
      </c>
      <c r="F2003" s="300">
        <f>E2003*D2003</f>
        <v>6</v>
      </c>
      <c r="G2003" s="302">
        <v>3</v>
      </c>
      <c r="H2003" s="310" t="str">
        <f t="shared" si="2150"/>
        <v/>
      </c>
      <c r="I2003" s="311" t="str">
        <f t="shared" si="2151"/>
        <v/>
      </c>
      <c r="J2003" s="311" t="str">
        <f t="shared" si="2152"/>
        <v/>
      </c>
      <c r="K2003" s="311" t="str">
        <f t="shared" si="2153"/>
        <v/>
      </c>
      <c r="L2003" s="310">
        <f t="shared" si="2154"/>
        <v>18</v>
      </c>
      <c r="M2003" s="310" t="str">
        <f t="shared" si="2155"/>
        <v/>
      </c>
      <c r="N2003" s="311" t="str">
        <f t="shared" si="2156"/>
        <v/>
      </c>
    </row>
    <row r="2004" spans="1:14">
      <c r="A2004" s="297"/>
      <c r="B2004" s="254"/>
      <c r="C2004" s="299" t="s">
        <v>1492</v>
      </c>
      <c r="D2004" s="299">
        <v>1</v>
      </c>
      <c r="E2004" s="300">
        <v>3</v>
      </c>
      <c r="F2004" s="300">
        <f>E2004*D2004</f>
        <v>3</v>
      </c>
      <c r="G2004" s="302">
        <v>2.4</v>
      </c>
      <c r="H2004" s="310" t="str">
        <f t="shared" si="2150"/>
        <v/>
      </c>
      <c r="I2004" s="311" t="str">
        <f t="shared" si="2151"/>
        <v/>
      </c>
      <c r="J2004" s="311" t="str">
        <f t="shared" si="2152"/>
        <v/>
      </c>
      <c r="K2004" s="311" t="str">
        <f t="shared" si="2153"/>
        <v/>
      </c>
      <c r="L2004" s="310">
        <f t="shared" si="2154"/>
        <v>7.2</v>
      </c>
      <c r="M2004" s="310" t="str">
        <f t="shared" si="2155"/>
        <v/>
      </c>
      <c r="N2004" s="311" t="str">
        <f t="shared" si="2156"/>
        <v/>
      </c>
    </row>
    <row r="2005" spans="1:14">
      <c r="A2005" s="297"/>
      <c r="B2005" s="254"/>
      <c r="C2005" s="299" t="s">
        <v>1519</v>
      </c>
      <c r="D2005" s="299">
        <v>1</v>
      </c>
      <c r="E2005" s="300">
        <v>3</v>
      </c>
      <c r="F2005" s="300">
        <f>E2005*D2005</f>
        <v>3</v>
      </c>
      <c r="G2005" s="302">
        <v>2.44</v>
      </c>
      <c r="H2005" s="310" t="str">
        <f t="shared" si="2150"/>
        <v/>
      </c>
      <c r="I2005" s="311" t="str">
        <f t="shared" si="2151"/>
        <v/>
      </c>
      <c r="J2005" s="311">
        <f t="shared" si="2152"/>
        <v>7.32</v>
      </c>
      <c r="K2005" s="311" t="str">
        <f t="shared" si="2153"/>
        <v/>
      </c>
      <c r="L2005" s="310" t="str">
        <f t="shared" si="2154"/>
        <v/>
      </c>
      <c r="M2005" s="310" t="str">
        <f t="shared" si="2155"/>
        <v/>
      </c>
      <c r="N2005" s="311" t="str">
        <f t="shared" si="2156"/>
        <v/>
      </c>
    </row>
    <row r="2006" spans="1:14" ht="16.5">
      <c r="A2006" s="303"/>
      <c r="B2006" s="254"/>
      <c r="C2006" s="299"/>
      <c r="D2006" s="299"/>
      <c r="E2006" s="300"/>
      <c r="F2006" s="300"/>
      <c r="G2006" s="302"/>
      <c r="H2006" s="310"/>
      <c r="I2006" s="311"/>
      <c r="J2006" s="311"/>
      <c r="K2006" s="311"/>
      <c r="L2006" s="310"/>
      <c r="M2006" s="310"/>
      <c r="N2006" s="311"/>
    </row>
    <row r="2007" spans="1:14" ht="16.5">
      <c r="A2007" s="303" t="s">
        <v>1441</v>
      </c>
      <c r="B2007" s="254"/>
      <c r="C2007" s="299"/>
      <c r="D2007" s="299"/>
      <c r="E2007" s="300"/>
      <c r="F2007" s="300"/>
      <c r="G2007" s="302"/>
      <c r="H2007" s="310"/>
      <c r="I2007" s="311"/>
      <c r="J2007" s="311"/>
      <c r="K2007" s="311"/>
      <c r="L2007" s="310"/>
      <c r="M2007" s="310"/>
      <c r="N2007" s="311"/>
    </row>
    <row r="2008" spans="1:14" s="294" customFormat="1">
      <c r="A2008" s="297" t="s">
        <v>1515</v>
      </c>
      <c r="B2008" s="298"/>
      <c r="C2008" s="299" t="s">
        <v>1519</v>
      </c>
      <c r="D2008" s="299">
        <v>1</v>
      </c>
      <c r="E2008" s="300">
        <v>3</v>
      </c>
      <c r="F2008" s="300">
        <f>E2008*D2008</f>
        <v>3</v>
      </c>
      <c r="G2008" s="299">
        <f>3.55+17*0.01*2</f>
        <v>3.89</v>
      </c>
      <c r="H2008" s="310" t="str">
        <f t="shared" ref="H2008:H2011" si="2158">IF(C2008="T6",G2008*F2008,"")</f>
        <v/>
      </c>
      <c r="I2008" s="311" t="str">
        <f t="shared" ref="I2008:I2011" si="2159">IF(C2008="T8",F2008*G2008,"")</f>
        <v/>
      </c>
      <c r="J2008" s="311">
        <f t="shared" ref="J2008:J2011" si="2160">IF(C2008="T10",F2008*G2008,"")</f>
        <v>11.67</v>
      </c>
      <c r="K2008" s="311" t="str">
        <f t="shared" ref="K2008:K2011" si="2161">IF(C2008="T12",F2008*G2008,"")</f>
        <v/>
      </c>
      <c r="L2008" s="310" t="str">
        <f t="shared" ref="L2008:L2011" si="2162">IF(C2008="T14",F2008*G2008,"")</f>
        <v/>
      </c>
      <c r="M2008" s="310" t="str">
        <f t="shared" ref="M2008:M2011" si="2163">IF(C2008="T16",G2008*F2008,"")</f>
        <v/>
      </c>
      <c r="N2008" s="311" t="str">
        <f t="shared" ref="N2008:N2011" si="2164">IF(C2008="T20",G2008*F2008,"")</f>
        <v/>
      </c>
    </row>
    <row r="2009" spans="1:14" s="294" customFormat="1">
      <c r="A2009" s="297" t="s">
        <v>1515</v>
      </c>
      <c r="B2009" s="298"/>
      <c r="C2009" s="299" t="s">
        <v>1516</v>
      </c>
      <c r="D2009" s="299">
        <v>1</v>
      </c>
      <c r="E2009" s="300">
        <v>3</v>
      </c>
      <c r="F2009" s="300">
        <f>E2009*D2009</f>
        <v>3</v>
      </c>
      <c r="G2009" s="302">
        <f>(3.55)+17*0.012*2</f>
        <v>3.96</v>
      </c>
      <c r="H2009" s="310" t="str">
        <f t="shared" si="2158"/>
        <v/>
      </c>
      <c r="I2009" s="311" t="str">
        <f t="shared" si="2159"/>
        <v/>
      </c>
      <c r="J2009" s="311" t="str">
        <f t="shared" si="2160"/>
        <v/>
      </c>
      <c r="K2009" s="311">
        <f t="shared" si="2161"/>
        <v>11.88</v>
      </c>
      <c r="L2009" s="310" t="str">
        <f t="shared" si="2162"/>
        <v/>
      </c>
      <c r="M2009" s="310" t="str">
        <f t="shared" si="2163"/>
        <v/>
      </c>
      <c r="N2009" s="311" t="str">
        <f t="shared" si="2164"/>
        <v/>
      </c>
    </row>
    <row r="2010" spans="1:14" s="294" customFormat="1">
      <c r="A2010" s="297" t="s">
        <v>1494</v>
      </c>
      <c r="B2010" s="301"/>
      <c r="C2010" s="299" t="s">
        <v>1496</v>
      </c>
      <c r="D2010" s="299">
        <v>1</v>
      </c>
      <c r="E2010" s="300">
        <f>12+14+12</f>
        <v>38</v>
      </c>
      <c r="F2010" s="300">
        <f t="shared" ref="F2010:F2011" si="2165">E2010*D2010</f>
        <v>38</v>
      </c>
      <c r="G2010" s="302">
        <f>(0.2+0.3)*2+17*0.008*2</f>
        <v>1.27</v>
      </c>
      <c r="H2010" s="310" t="str">
        <f t="shared" si="2158"/>
        <v/>
      </c>
      <c r="I2010" s="311">
        <f t="shared" si="2159"/>
        <v>48.26</v>
      </c>
      <c r="J2010" s="311" t="str">
        <f t="shared" si="2160"/>
        <v/>
      </c>
      <c r="K2010" s="311" t="str">
        <f t="shared" si="2161"/>
        <v/>
      </c>
      <c r="L2010" s="310" t="str">
        <f t="shared" si="2162"/>
        <v/>
      </c>
      <c r="M2010" s="310" t="str">
        <f t="shared" si="2163"/>
        <v/>
      </c>
      <c r="N2010" s="311" t="str">
        <f t="shared" si="2164"/>
        <v/>
      </c>
    </row>
    <row r="2011" spans="1:14" s="294" customFormat="1">
      <c r="A2011" s="297" t="s">
        <v>1517</v>
      </c>
      <c r="B2011" s="301"/>
      <c r="C2011" s="299" t="s">
        <v>1496</v>
      </c>
      <c r="D2011" s="299">
        <v>1</v>
      </c>
      <c r="E2011" s="300">
        <v>38</v>
      </c>
      <c r="F2011" s="300">
        <f t="shared" si="2165"/>
        <v>38</v>
      </c>
      <c r="G2011" s="302">
        <f>(0.3*2)+17*0.008*2</f>
        <v>0.87</v>
      </c>
      <c r="H2011" s="310" t="str">
        <f t="shared" si="2158"/>
        <v/>
      </c>
      <c r="I2011" s="311">
        <f t="shared" si="2159"/>
        <v>33.06</v>
      </c>
      <c r="J2011" s="311" t="str">
        <f t="shared" si="2160"/>
        <v/>
      </c>
      <c r="K2011" s="311" t="str">
        <f t="shared" si="2161"/>
        <v/>
      </c>
      <c r="L2011" s="310" t="str">
        <f t="shared" si="2162"/>
        <v/>
      </c>
      <c r="M2011" s="310" t="str">
        <f t="shared" si="2163"/>
        <v/>
      </c>
      <c r="N2011" s="311" t="str">
        <f t="shared" si="2164"/>
        <v/>
      </c>
    </row>
    <row r="2012" spans="1:14">
      <c r="A2012" s="253"/>
      <c r="B2012" s="254"/>
      <c r="C2012" s="299"/>
      <c r="D2012" s="299"/>
      <c r="E2012" s="300"/>
      <c r="F2012" s="300"/>
      <c r="G2012" s="302"/>
      <c r="H2012" s="310"/>
      <c r="I2012" s="311"/>
      <c r="J2012" s="311"/>
      <c r="K2012" s="311"/>
      <c r="L2012" s="310"/>
      <c r="M2012" s="310"/>
      <c r="N2012" s="311"/>
    </row>
    <row r="2013" spans="1:14" ht="16.5">
      <c r="A2013" s="326" t="s">
        <v>1442</v>
      </c>
      <c r="B2013" s="254"/>
      <c r="C2013" s="299"/>
      <c r="D2013" s="299"/>
      <c r="E2013" s="300"/>
      <c r="F2013" s="300"/>
      <c r="G2013" s="302"/>
      <c r="H2013" s="310"/>
      <c r="I2013" s="311"/>
      <c r="J2013" s="311"/>
      <c r="K2013" s="311"/>
      <c r="L2013" s="310"/>
      <c r="M2013" s="310"/>
      <c r="N2013" s="311"/>
    </row>
    <row r="2014" spans="1:14" ht="16.5">
      <c r="A2014" s="303" t="s">
        <v>1443</v>
      </c>
      <c r="B2014" s="254"/>
      <c r="C2014" s="299"/>
      <c r="D2014" s="299"/>
      <c r="E2014" s="300"/>
      <c r="F2014" s="300"/>
      <c r="G2014" s="302"/>
      <c r="H2014" s="310"/>
      <c r="I2014" s="311"/>
      <c r="J2014" s="311"/>
      <c r="K2014" s="311"/>
      <c r="L2014" s="310"/>
      <c r="M2014" s="310"/>
      <c r="N2014" s="311"/>
    </row>
    <row r="2015" spans="1:14" s="294" customFormat="1">
      <c r="A2015" s="297" t="s">
        <v>1515</v>
      </c>
      <c r="B2015" s="298"/>
      <c r="C2015" s="299" t="s">
        <v>1519</v>
      </c>
      <c r="D2015" s="299">
        <v>1</v>
      </c>
      <c r="E2015" s="300">
        <v>3</v>
      </c>
      <c r="F2015" s="300">
        <f>E2015*D2015</f>
        <v>3</v>
      </c>
      <c r="G2015" s="299">
        <f>2.45+17*0.01*2</f>
        <v>2.79</v>
      </c>
      <c r="H2015" s="310" t="str">
        <f t="shared" ref="H2015:H2020" si="2166">IF(C2015="T6",G2015*F2015,"")</f>
        <v/>
      </c>
      <c r="I2015" s="311" t="str">
        <f t="shared" ref="I2015:I2020" si="2167">IF(C2015="T8",F2015*G2015,"")</f>
        <v/>
      </c>
      <c r="J2015" s="311">
        <f t="shared" ref="J2015:J2020" si="2168">IF(C2015="T10",F2015*G2015,"")</f>
        <v>8.3699999999999992</v>
      </c>
      <c r="K2015" s="311" t="str">
        <f t="shared" ref="K2015:K2020" si="2169">IF(C2015="T12",F2015*G2015,"")</f>
        <v/>
      </c>
      <c r="L2015" s="310" t="str">
        <f t="shared" ref="L2015:L2020" si="2170">IF(C2015="T14",F2015*G2015,"")</f>
        <v/>
      </c>
      <c r="M2015" s="310" t="str">
        <f t="shared" ref="M2015:M2020" si="2171">IF(C2015="T16",G2015*F2015,"")</f>
        <v/>
      </c>
      <c r="N2015" s="311" t="str">
        <f t="shared" ref="N2015:N2020" si="2172">IF(C2015="T20",G2015*F2015,"")</f>
        <v/>
      </c>
    </row>
    <row r="2016" spans="1:14" s="294" customFormat="1">
      <c r="A2016" s="297" t="s">
        <v>1515</v>
      </c>
      <c r="B2016" s="298"/>
      <c r="C2016" s="299" t="s">
        <v>1516</v>
      </c>
      <c r="D2016" s="299">
        <v>1</v>
      </c>
      <c r="E2016" s="300">
        <v>3</v>
      </c>
      <c r="F2016" s="300">
        <f>E2016*D2016</f>
        <v>3</v>
      </c>
      <c r="G2016" s="302">
        <f>(2.45)+17*0.012*2</f>
        <v>2.86</v>
      </c>
      <c r="H2016" s="310" t="str">
        <f t="shared" si="2166"/>
        <v/>
      </c>
      <c r="I2016" s="311" t="str">
        <f t="shared" si="2167"/>
        <v/>
      </c>
      <c r="J2016" s="311" t="str">
        <f t="shared" si="2168"/>
        <v/>
      </c>
      <c r="K2016" s="311">
        <f t="shared" si="2169"/>
        <v>8.58</v>
      </c>
      <c r="L2016" s="310" t="str">
        <f t="shared" si="2170"/>
        <v/>
      </c>
      <c r="M2016" s="310" t="str">
        <f t="shared" si="2171"/>
        <v/>
      </c>
      <c r="N2016" s="311" t="str">
        <f t="shared" si="2172"/>
        <v/>
      </c>
    </row>
    <row r="2017" spans="1:14" s="294" customFormat="1">
      <c r="A2017" s="297" t="s">
        <v>1494</v>
      </c>
      <c r="B2017" s="301"/>
      <c r="C2017" s="299" t="s">
        <v>1496</v>
      </c>
      <c r="D2017" s="299">
        <v>1</v>
      </c>
      <c r="E2017" s="300">
        <f>8+9+8</f>
        <v>25</v>
      </c>
      <c r="F2017" s="300">
        <f t="shared" ref="F2017:F2018" si="2173">E2017*D2017</f>
        <v>25</v>
      </c>
      <c r="G2017" s="302">
        <f>(0.2+0.25)*2+17*0.008*2</f>
        <v>1.17</v>
      </c>
      <c r="H2017" s="310" t="str">
        <f t="shared" si="2166"/>
        <v/>
      </c>
      <c r="I2017" s="311">
        <f t="shared" si="2167"/>
        <v>29.25</v>
      </c>
      <c r="J2017" s="311" t="str">
        <f t="shared" si="2168"/>
        <v/>
      </c>
      <c r="K2017" s="311" t="str">
        <f t="shared" si="2169"/>
        <v/>
      </c>
      <c r="L2017" s="310" t="str">
        <f t="shared" si="2170"/>
        <v/>
      </c>
      <c r="M2017" s="310" t="str">
        <f t="shared" si="2171"/>
        <v/>
      </c>
      <c r="N2017" s="311" t="str">
        <f t="shared" si="2172"/>
        <v/>
      </c>
    </row>
    <row r="2018" spans="1:14" s="294" customFormat="1">
      <c r="A2018" s="297" t="s">
        <v>1517</v>
      </c>
      <c r="B2018" s="301"/>
      <c r="C2018" s="299" t="s">
        <v>1496</v>
      </c>
      <c r="D2018" s="299">
        <v>1</v>
      </c>
      <c r="E2018" s="300">
        <v>25</v>
      </c>
      <c r="F2018" s="300">
        <f t="shared" si="2173"/>
        <v>25</v>
      </c>
      <c r="G2018" s="302">
        <f>(0.25*2)+17*0.008*2</f>
        <v>0.77</v>
      </c>
      <c r="H2018" s="310" t="str">
        <f t="shared" si="2166"/>
        <v/>
      </c>
      <c r="I2018" s="311">
        <f t="shared" si="2167"/>
        <v>19.25</v>
      </c>
      <c r="J2018" s="311" t="str">
        <f t="shared" si="2168"/>
        <v/>
      </c>
      <c r="K2018" s="311" t="str">
        <f t="shared" si="2169"/>
        <v/>
      </c>
      <c r="L2018" s="310" t="str">
        <f t="shared" si="2170"/>
        <v/>
      </c>
      <c r="M2018" s="310" t="str">
        <f t="shared" si="2171"/>
        <v/>
      </c>
      <c r="N2018" s="311" t="str">
        <f t="shared" si="2172"/>
        <v/>
      </c>
    </row>
    <row r="2019" spans="1:14">
      <c r="A2019" s="297" t="s">
        <v>1518</v>
      </c>
      <c r="B2019" s="254"/>
      <c r="C2019" s="299" t="s">
        <v>1492</v>
      </c>
      <c r="D2019" s="299">
        <v>1</v>
      </c>
      <c r="E2019" s="300">
        <v>3</v>
      </c>
      <c r="F2019" s="300">
        <f>E2019*D2019</f>
        <v>3</v>
      </c>
      <c r="G2019" s="302">
        <v>3</v>
      </c>
      <c r="H2019" s="310" t="str">
        <f t="shared" si="2166"/>
        <v/>
      </c>
      <c r="I2019" s="311" t="str">
        <f t="shared" si="2167"/>
        <v/>
      </c>
      <c r="J2019" s="311" t="str">
        <f t="shared" si="2168"/>
        <v/>
      </c>
      <c r="K2019" s="311" t="str">
        <f t="shared" si="2169"/>
        <v/>
      </c>
      <c r="L2019" s="310">
        <f t="shared" si="2170"/>
        <v>9</v>
      </c>
      <c r="M2019" s="310" t="str">
        <f t="shared" si="2171"/>
        <v/>
      </c>
      <c r="N2019" s="311" t="str">
        <f t="shared" si="2172"/>
        <v/>
      </c>
    </row>
    <row r="2020" spans="1:14">
      <c r="A2020" s="297"/>
      <c r="B2020" s="254"/>
      <c r="C2020" s="299" t="s">
        <v>1519</v>
      </c>
      <c r="D2020" s="299">
        <v>1</v>
      </c>
      <c r="E2020" s="300">
        <v>3</v>
      </c>
      <c r="F2020" s="300">
        <f>E2020*D2020</f>
        <v>3</v>
      </c>
      <c r="G2020" s="302">
        <v>1.5</v>
      </c>
      <c r="H2020" s="310" t="str">
        <f t="shared" si="2166"/>
        <v/>
      </c>
      <c r="I2020" s="311" t="str">
        <f t="shared" si="2167"/>
        <v/>
      </c>
      <c r="J2020" s="311">
        <f t="shared" si="2168"/>
        <v>4.5</v>
      </c>
      <c r="K2020" s="311" t="str">
        <f t="shared" si="2169"/>
        <v/>
      </c>
      <c r="L2020" s="310" t="str">
        <f t="shared" si="2170"/>
        <v/>
      </c>
      <c r="M2020" s="310" t="str">
        <f t="shared" si="2171"/>
        <v/>
      </c>
      <c r="N2020" s="311" t="str">
        <f t="shared" si="2172"/>
        <v/>
      </c>
    </row>
    <row r="2021" spans="1:14" ht="16.5">
      <c r="A2021" s="303"/>
      <c r="B2021" s="254"/>
      <c r="C2021" s="299"/>
      <c r="D2021" s="299"/>
      <c r="E2021" s="300"/>
      <c r="F2021" s="300"/>
      <c r="G2021" s="302"/>
      <c r="H2021" s="310"/>
      <c r="I2021" s="311"/>
      <c r="J2021" s="311"/>
      <c r="K2021" s="311"/>
      <c r="L2021" s="310"/>
      <c r="M2021" s="310"/>
      <c r="N2021" s="311"/>
    </row>
    <row r="2022" spans="1:14" ht="16.5">
      <c r="A2022" s="303" t="s">
        <v>1444</v>
      </c>
      <c r="B2022" s="254"/>
      <c r="C2022" s="299"/>
      <c r="D2022" s="299"/>
      <c r="E2022" s="300"/>
      <c r="F2022" s="300"/>
      <c r="G2022" s="302"/>
      <c r="H2022" s="310"/>
      <c r="I2022" s="311"/>
      <c r="J2022" s="311"/>
      <c r="K2022" s="311"/>
      <c r="L2022" s="310"/>
      <c r="M2022" s="310"/>
      <c r="N2022" s="311"/>
    </row>
    <row r="2023" spans="1:14" s="294" customFormat="1">
      <c r="A2023" s="297" t="s">
        <v>1515</v>
      </c>
      <c r="B2023" s="298"/>
      <c r="C2023" s="299" t="s">
        <v>1519</v>
      </c>
      <c r="D2023" s="299">
        <v>1</v>
      </c>
      <c r="E2023" s="300">
        <v>3</v>
      </c>
      <c r="F2023" s="300">
        <f>E2023*D2023</f>
        <v>3</v>
      </c>
      <c r="G2023" s="299">
        <f>4.15+17*0.01*2</f>
        <v>4.49</v>
      </c>
      <c r="H2023" s="310" t="str">
        <f t="shared" ref="H2023:H2030" si="2174">IF(C2023="T6",G2023*F2023,"")</f>
        <v/>
      </c>
      <c r="I2023" s="311" t="str">
        <f t="shared" ref="I2023:I2030" si="2175">IF(C2023="T8",F2023*G2023,"")</f>
        <v/>
      </c>
      <c r="J2023" s="311">
        <f t="shared" ref="J2023:J2030" si="2176">IF(C2023="T10",F2023*G2023,"")</f>
        <v>13.47</v>
      </c>
      <c r="K2023" s="311" t="str">
        <f t="shared" ref="K2023:K2030" si="2177">IF(C2023="T12",F2023*G2023,"")</f>
        <v/>
      </c>
      <c r="L2023" s="310" t="str">
        <f t="shared" ref="L2023:L2030" si="2178">IF(C2023="T14",F2023*G2023,"")</f>
        <v/>
      </c>
      <c r="M2023" s="310" t="str">
        <f t="shared" ref="M2023:M2030" si="2179">IF(C2023="T16",G2023*F2023,"")</f>
        <v/>
      </c>
      <c r="N2023" s="311" t="str">
        <f t="shared" ref="N2023:N2030" si="2180">IF(C2023="T20",G2023*F2023,"")</f>
        <v/>
      </c>
    </row>
    <row r="2024" spans="1:14" s="294" customFormat="1">
      <c r="A2024" s="297" t="s">
        <v>1515</v>
      </c>
      <c r="B2024" s="298"/>
      <c r="C2024" s="299" t="s">
        <v>1492</v>
      </c>
      <c r="D2024" s="299">
        <v>1</v>
      </c>
      <c r="E2024" s="300">
        <v>3</v>
      </c>
      <c r="F2024" s="300">
        <f>E2024*D2024</f>
        <v>3</v>
      </c>
      <c r="G2024" s="302">
        <f>(4.15)+17*0.014*2</f>
        <v>4.63</v>
      </c>
      <c r="H2024" s="310" t="str">
        <f t="shared" si="2174"/>
        <v/>
      </c>
      <c r="I2024" s="311" t="str">
        <f t="shared" si="2175"/>
        <v/>
      </c>
      <c r="J2024" s="311" t="str">
        <f t="shared" si="2176"/>
        <v/>
      </c>
      <c r="K2024" s="311" t="str">
        <f t="shared" si="2177"/>
        <v/>
      </c>
      <c r="L2024" s="310">
        <f t="shared" si="2178"/>
        <v>13.89</v>
      </c>
      <c r="M2024" s="310" t="str">
        <f t="shared" si="2179"/>
        <v/>
      </c>
      <c r="N2024" s="311" t="str">
        <f t="shared" si="2180"/>
        <v/>
      </c>
    </row>
    <row r="2025" spans="1:14" s="294" customFormat="1">
      <c r="A2025" s="297"/>
      <c r="B2025" s="298"/>
      <c r="C2025" s="299" t="s">
        <v>1519</v>
      </c>
      <c r="D2025" s="299">
        <v>1</v>
      </c>
      <c r="E2025" s="300">
        <v>3</v>
      </c>
      <c r="F2025" s="300">
        <f>E2025*D2025</f>
        <v>3</v>
      </c>
      <c r="G2025" s="302">
        <v>4.1500000000000004</v>
      </c>
      <c r="H2025" s="310" t="str">
        <f t="shared" si="2174"/>
        <v/>
      </c>
      <c r="I2025" s="311" t="str">
        <f t="shared" si="2175"/>
        <v/>
      </c>
      <c r="J2025" s="311">
        <f t="shared" si="2176"/>
        <v>12.45</v>
      </c>
      <c r="K2025" s="311" t="str">
        <f t="shared" si="2177"/>
        <v/>
      </c>
      <c r="L2025" s="310" t="str">
        <f t="shared" si="2178"/>
        <v/>
      </c>
      <c r="M2025" s="310" t="str">
        <f t="shared" si="2179"/>
        <v/>
      </c>
      <c r="N2025" s="311" t="str">
        <f t="shared" si="2180"/>
        <v/>
      </c>
    </row>
    <row r="2026" spans="1:14" s="294" customFormat="1">
      <c r="A2026" s="297" t="s">
        <v>1494</v>
      </c>
      <c r="B2026" s="301"/>
      <c r="C2026" s="299" t="s">
        <v>1496</v>
      </c>
      <c r="D2026" s="299">
        <v>1</v>
      </c>
      <c r="E2026" s="300">
        <f>13+20+13</f>
        <v>46</v>
      </c>
      <c r="F2026" s="300">
        <f t="shared" ref="F2026:F2027" si="2181">E2026*D2026</f>
        <v>46</v>
      </c>
      <c r="G2026" s="302">
        <f>(0.2+0.5)*2+17*0.008*2</f>
        <v>1.67</v>
      </c>
      <c r="H2026" s="310" t="str">
        <f t="shared" si="2174"/>
        <v/>
      </c>
      <c r="I2026" s="311">
        <f t="shared" si="2175"/>
        <v>76.819999999999993</v>
      </c>
      <c r="J2026" s="311" t="str">
        <f t="shared" si="2176"/>
        <v/>
      </c>
      <c r="K2026" s="311" t="str">
        <f t="shared" si="2177"/>
        <v/>
      </c>
      <c r="L2026" s="310" t="str">
        <f t="shared" si="2178"/>
        <v/>
      </c>
      <c r="M2026" s="310" t="str">
        <f t="shared" si="2179"/>
        <v/>
      </c>
      <c r="N2026" s="311" t="str">
        <f t="shared" si="2180"/>
        <v/>
      </c>
    </row>
    <row r="2027" spans="1:14" s="294" customFormat="1">
      <c r="A2027" s="297" t="s">
        <v>1517</v>
      </c>
      <c r="B2027" s="301"/>
      <c r="C2027" s="299" t="s">
        <v>1496</v>
      </c>
      <c r="D2027" s="299">
        <v>1</v>
      </c>
      <c r="E2027" s="300">
        <v>46</v>
      </c>
      <c r="F2027" s="300">
        <f t="shared" si="2181"/>
        <v>46</v>
      </c>
      <c r="G2027" s="302">
        <f>(0.5*2)+17*0.008*2</f>
        <v>1.27</v>
      </c>
      <c r="H2027" s="310" t="str">
        <f t="shared" si="2174"/>
        <v/>
      </c>
      <c r="I2027" s="311">
        <f t="shared" si="2175"/>
        <v>58.42</v>
      </c>
      <c r="J2027" s="311" t="str">
        <f t="shared" si="2176"/>
        <v/>
      </c>
      <c r="K2027" s="311" t="str">
        <f t="shared" si="2177"/>
        <v/>
      </c>
      <c r="L2027" s="310" t="str">
        <f t="shared" si="2178"/>
        <v/>
      </c>
      <c r="M2027" s="310" t="str">
        <f t="shared" si="2179"/>
        <v/>
      </c>
      <c r="N2027" s="311" t="str">
        <f t="shared" si="2180"/>
        <v/>
      </c>
    </row>
    <row r="2028" spans="1:14">
      <c r="A2028" s="297" t="s">
        <v>1518</v>
      </c>
      <c r="B2028" s="254"/>
      <c r="C2028" s="299" t="s">
        <v>1492</v>
      </c>
      <c r="D2028" s="299">
        <v>1</v>
      </c>
      <c r="E2028" s="300">
        <v>3</v>
      </c>
      <c r="F2028" s="300">
        <f>E2028*D2028</f>
        <v>3</v>
      </c>
      <c r="G2028" s="302">
        <v>2.9</v>
      </c>
      <c r="H2028" s="310" t="str">
        <f t="shared" si="2174"/>
        <v/>
      </c>
      <c r="I2028" s="311" t="str">
        <f t="shared" si="2175"/>
        <v/>
      </c>
      <c r="J2028" s="311" t="str">
        <f t="shared" si="2176"/>
        <v/>
      </c>
      <c r="K2028" s="311" t="str">
        <f t="shared" si="2177"/>
        <v/>
      </c>
      <c r="L2028" s="310">
        <f t="shared" si="2178"/>
        <v>8.6999999999999993</v>
      </c>
      <c r="M2028" s="310" t="str">
        <f t="shared" si="2179"/>
        <v/>
      </c>
      <c r="N2028" s="311" t="str">
        <f t="shared" si="2180"/>
        <v/>
      </c>
    </row>
    <row r="2029" spans="1:14">
      <c r="A2029" s="297"/>
      <c r="B2029" s="254"/>
      <c r="C2029" s="299" t="s">
        <v>1492</v>
      </c>
      <c r="D2029" s="299">
        <v>1</v>
      </c>
      <c r="E2029" s="300">
        <v>3</v>
      </c>
      <c r="F2029" s="300">
        <f>E2029*D2029</f>
        <v>3</v>
      </c>
      <c r="G2029" s="302">
        <v>2.9</v>
      </c>
      <c r="H2029" s="310" t="str">
        <f t="shared" si="2174"/>
        <v/>
      </c>
      <c r="I2029" s="311" t="str">
        <f t="shared" si="2175"/>
        <v/>
      </c>
      <c r="J2029" s="311" t="str">
        <f t="shared" si="2176"/>
        <v/>
      </c>
      <c r="K2029" s="311" t="str">
        <f t="shared" si="2177"/>
        <v/>
      </c>
      <c r="L2029" s="310">
        <f t="shared" si="2178"/>
        <v>8.6999999999999993</v>
      </c>
      <c r="M2029" s="310" t="str">
        <f t="shared" si="2179"/>
        <v/>
      </c>
      <c r="N2029" s="311" t="str">
        <f t="shared" si="2180"/>
        <v/>
      </c>
    </row>
    <row r="2030" spans="1:14">
      <c r="A2030" s="297" t="s">
        <v>1518</v>
      </c>
      <c r="B2030" s="254"/>
      <c r="C2030" s="299" t="s">
        <v>1516</v>
      </c>
      <c r="D2030" s="299">
        <v>1</v>
      </c>
      <c r="E2030" s="300">
        <v>3</v>
      </c>
      <c r="F2030" s="300">
        <f>E2030*D2030</f>
        <v>3</v>
      </c>
      <c r="G2030" s="302">
        <v>3.85</v>
      </c>
      <c r="H2030" s="310" t="str">
        <f t="shared" si="2174"/>
        <v/>
      </c>
      <c r="I2030" s="311" t="str">
        <f t="shared" si="2175"/>
        <v/>
      </c>
      <c r="J2030" s="311" t="str">
        <f t="shared" si="2176"/>
        <v/>
      </c>
      <c r="K2030" s="311">
        <f t="shared" si="2177"/>
        <v>11.55</v>
      </c>
      <c r="L2030" s="310" t="str">
        <f t="shared" si="2178"/>
        <v/>
      </c>
      <c r="M2030" s="310" t="str">
        <f t="shared" si="2179"/>
        <v/>
      </c>
      <c r="N2030" s="311" t="str">
        <f t="shared" si="2180"/>
        <v/>
      </c>
    </row>
    <row r="2031" spans="1:14" ht="16.5">
      <c r="A2031" s="303"/>
      <c r="B2031" s="254"/>
      <c r="C2031" s="299"/>
      <c r="D2031" s="299"/>
      <c r="E2031" s="300"/>
      <c r="F2031" s="300"/>
      <c r="G2031" s="302"/>
      <c r="H2031" s="310"/>
      <c r="I2031" s="311"/>
      <c r="J2031" s="311"/>
      <c r="K2031" s="311"/>
      <c r="L2031" s="310"/>
      <c r="M2031" s="310"/>
      <c r="N2031" s="311"/>
    </row>
    <row r="2032" spans="1:14" ht="16.5">
      <c r="A2032" s="303" t="s">
        <v>1445</v>
      </c>
      <c r="B2032" s="254"/>
      <c r="C2032" s="299"/>
      <c r="D2032" s="299"/>
      <c r="E2032" s="300"/>
      <c r="F2032" s="300"/>
      <c r="G2032" s="302"/>
      <c r="H2032" s="310"/>
      <c r="I2032" s="311"/>
      <c r="J2032" s="311"/>
      <c r="K2032" s="311"/>
      <c r="L2032" s="310"/>
      <c r="M2032" s="310"/>
      <c r="N2032" s="311"/>
    </row>
    <row r="2033" spans="1:14" s="294" customFormat="1">
      <c r="A2033" s="297" t="s">
        <v>1515</v>
      </c>
      <c r="B2033" s="298"/>
      <c r="C2033" s="299" t="s">
        <v>1498</v>
      </c>
      <c r="D2033" s="299">
        <v>1</v>
      </c>
      <c r="E2033" s="300">
        <v>3</v>
      </c>
      <c r="F2033" s="300">
        <f>E2033*D2033</f>
        <v>3</v>
      </c>
      <c r="G2033" s="299">
        <f>2.2+17*0.016*2</f>
        <v>2.7440000000000002</v>
      </c>
      <c r="H2033" s="310" t="str">
        <f t="shared" ref="H2033:H2040" si="2182">IF(C2033="T6",G2033*F2033,"")</f>
        <v/>
      </c>
      <c r="I2033" s="311" t="str">
        <f t="shared" ref="I2033:I2040" si="2183">IF(C2033="T8",F2033*G2033,"")</f>
        <v/>
      </c>
      <c r="J2033" s="311" t="str">
        <f t="shared" ref="J2033:J2040" si="2184">IF(C2033="T10",F2033*G2033,"")</f>
        <v/>
      </c>
      <c r="K2033" s="311" t="str">
        <f t="shared" ref="K2033:K2040" si="2185">IF(C2033="T12",F2033*G2033,"")</f>
        <v/>
      </c>
      <c r="L2033" s="310" t="str">
        <f t="shared" ref="L2033:L2040" si="2186">IF(C2033="T14",F2033*G2033,"")</f>
        <v/>
      </c>
      <c r="M2033" s="310">
        <f t="shared" ref="M2033:M2040" si="2187">IF(C2033="T16",G2033*F2033,"")</f>
        <v>8.23</v>
      </c>
      <c r="N2033" s="311" t="str">
        <f t="shared" ref="N2033:N2040" si="2188">IF(C2033="T20",G2033*F2033,"")</f>
        <v/>
      </c>
    </row>
    <row r="2034" spans="1:14" s="294" customFormat="1">
      <c r="A2034" s="297" t="s">
        <v>1515</v>
      </c>
      <c r="B2034" s="298"/>
      <c r="C2034" s="299" t="s">
        <v>1492</v>
      </c>
      <c r="D2034" s="299">
        <v>1</v>
      </c>
      <c r="E2034" s="300">
        <v>3</v>
      </c>
      <c r="F2034" s="300">
        <f>E2034*D2034</f>
        <v>3</v>
      </c>
      <c r="G2034" s="302">
        <f>(2.2)+17*0.014*2</f>
        <v>2.68</v>
      </c>
      <c r="H2034" s="310" t="str">
        <f t="shared" si="2182"/>
        <v/>
      </c>
      <c r="I2034" s="311" t="str">
        <f t="shared" si="2183"/>
        <v/>
      </c>
      <c r="J2034" s="311" t="str">
        <f t="shared" si="2184"/>
        <v/>
      </c>
      <c r="K2034" s="311" t="str">
        <f t="shared" si="2185"/>
        <v/>
      </c>
      <c r="L2034" s="310">
        <f t="shared" si="2186"/>
        <v>8.0399999999999991</v>
      </c>
      <c r="M2034" s="310" t="str">
        <f t="shared" si="2187"/>
        <v/>
      </c>
      <c r="N2034" s="311" t="str">
        <f t="shared" si="2188"/>
        <v/>
      </c>
    </row>
    <row r="2035" spans="1:14" s="294" customFormat="1">
      <c r="A2035" s="297"/>
      <c r="B2035" s="298"/>
      <c r="C2035" s="299" t="s">
        <v>1516</v>
      </c>
      <c r="D2035" s="299">
        <v>1</v>
      </c>
      <c r="E2035" s="300">
        <v>3</v>
      </c>
      <c r="F2035" s="300">
        <f>E2035*D2035</f>
        <v>3</v>
      </c>
      <c r="G2035" s="302">
        <v>2.2000000000000002</v>
      </c>
      <c r="H2035" s="310" t="str">
        <f t="shared" si="2182"/>
        <v/>
      </c>
      <c r="I2035" s="311" t="str">
        <f t="shared" si="2183"/>
        <v/>
      </c>
      <c r="J2035" s="311" t="str">
        <f t="shared" si="2184"/>
        <v/>
      </c>
      <c r="K2035" s="311">
        <f t="shared" si="2185"/>
        <v>6.6</v>
      </c>
      <c r="L2035" s="310" t="str">
        <f t="shared" si="2186"/>
        <v/>
      </c>
      <c r="M2035" s="310" t="str">
        <f t="shared" si="2187"/>
        <v/>
      </c>
      <c r="N2035" s="311" t="str">
        <f t="shared" si="2188"/>
        <v/>
      </c>
    </row>
    <row r="2036" spans="1:14" s="294" customFormat="1">
      <c r="A2036" s="297" t="s">
        <v>1494</v>
      </c>
      <c r="B2036" s="301"/>
      <c r="C2036" s="299" t="s">
        <v>1496</v>
      </c>
      <c r="D2036" s="299">
        <v>1</v>
      </c>
      <c r="E2036" s="300">
        <f>11+12+11</f>
        <v>34</v>
      </c>
      <c r="F2036" s="300">
        <f t="shared" ref="F2036:F2037" si="2189">E2036*D2036</f>
        <v>34</v>
      </c>
      <c r="G2036" s="302">
        <f>(0.2+0.5)*2+17*0.008*2</f>
        <v>1.67</v>
      </c>
      <c r="H2036" s="310" t="str">
        <f t="shared" si="2182"/>
        <v/>
      </c>
      <c r="I2036" s="311">
        <f t="shared" si="2183"/>
        <v>56.78</v>
      </c>
      <c r="J2036" s="311" t="str">
        <f t="shared" si="2184"/>
        <v/>
      </c>
      <c r="K2036" s="311" t="str">
        <f t="shared" si="2185"/>
        <v/>
      </c>
      <c r="L2036" s="310" t="str">
        <f t="shared" si="2186"/>
        <v/>
      </c>
      <c r="M2036" s="310" t="str">
        <f t="shared" si="2187"/>
        <v/>
      </c>
      <c r="N2036" s="311" t="str">
        <f t="shared" si="2188"/>
        <v/>
      </c>
    </row>
    <row r="2037" spans="1:14" s="294" customFormat="1">
      <c r="A2037" s="297" t="s">
        <v>1517</v>
      </c>
      <c r="B2037" s="301"/>
      <c r="C2037" s="299" t="s">
        <v>1496</v>
      </c>
      <c r="D2037" s="299">
        <v>1</v>
      </c>
      <c r="E2037" s="300">
        <v>34</v>
      </c>
      <c r="F2037" s="300">
        <f t="shared" si="2189"/>
        <v>34</v>
      </c>
      <c r="G2037" s="302">
        <f>(0.5*2)+17*0.008*2</f>
        <v>1.27</v>
      </c>
      <c r="H2037" s="310" t="str">
        <f t="shared" si="2182"/>
        <v/>
      </c>
      <c r="I2037" s="311">
        <f t="shared" si="2183"/>
        <v>43.18</v>
      </c>
      <c r="J2037" s="311" t="str">
        <f t="shared" si="2184"/>
        <v/>
      </c>
      <c r="K2037" s="311" t="str">
        <f t="shared" si="2185"/>
        <v/>
      </c>
      <c r="L2037" s="310" t="str">
        <f t="shared" si="2186"/>
        <v/>
      </c>
      <c r="M2037" s="310" t="str">
        <f t="shared" si="2187"/>
        <v/>
      </c>
      <c r="N2037" s="311" t="str">
        <f t="shared" si="2188"/>
        <v/>
      </c>
    </row>
    <row r="2038" spans="1:14">
      <c r="A2038" s="297" t="s">
        <v>1518</v>
      </c>
      <c r="B2038" s="254"/>
      <c r="C2038" s="299" t="s">
        <v>1492</v>
      </c>
      <c r="D2038" s="299">
        <v>1</v>
      </c>
      <c r="E2038" s="300">
        <v>6</v>
      </c>
      <c r="F2038" s="300">
        <f>E2038*D2038</f>
        <v>6</v>
      </c>
      <c r="G2038" s="302">
        <v>3</v>
      </c>
      <c r="H2038" s="310" t="str">
        <f t="shared" si="2182"/>
        <v/>
      </c>
      <c r="I2038" s="311" t="str">
        <f t="shared" si="2183"/>
        <v/>
      </c>
      <c r="J2038" s="311" t="str">
        <f t="shared" si="2184"/>
        <v/>
      </c>
      <c r="K2038" s="311" t="str">
        <f t="shared" si="2185"/>
        <v/>
      </c>
      <c r="L2038" s="310">
        <f t="shared" si="2186"/>
        <v>18</v>
      </c>
      <c r="M2038" s="310" t="str">
        <f t="shared" si="2187"/>
        <v/>
      </c>
      <c r="N2038" s="311" t="str">
        <f t="shared" si="2188"/>
        <v/>
      </c>
    </row>
    <row r="2039" spans="1:14">
      <c r="A2039" s="297"/>
      <c r="B2039" s="254"/>
      <c r="C2039" s="299" t="s">
        <v>1492</v>
      </c>
      <c r="D2039" s="299">
        <v>1</v>
      </c>
      <c r="E2039" s="300">
        <v>6</v>
      </c>
      <c r="F2039" s="300">
        <f>E2039*D2039</f>
        <v>6</v>
      </c>
      <c r="G2039" s="302">
        <v>4.5</v>
      </c>
      <c r="H2039" s="310" t="str">
        <f t="shared" si="2182"/>
        <v/>
      </c>
      <c r="I2039" s="311" t="str">
        <f t="shared" si="2183"/>
        <v/>
      </c>
      <c r="J2039" s="311" t="str">
        <f t="shared" si="2184"/>
        <v/>
      </c>
      <c r="K2039" s="311" t="str">
        <f t="shared" si="2185"/>
        <v/>
      </c>
      <c r="L2039" s="310">
        <f t="shared" si="2186"/>
        <v>27</v>
      </c>
      <c r="M2039" s="310" t="str">
        <f t="shared" si="2187"/>
        <v/>
      </c>
      <c r="N2039" s="311" t="str">
        <f t="shared" si="2188"/>
        <v/>
      </c>
    </row>
    <row r="2040" spans="1:14">
      <c r="A2040" s="297" t="s">
        <v>1518</v>
      </c>
      <c r="B2040" s="254"/>
      <c r="C2040" s="299" t="s">
        <v>1498</v>
      </c>
      <c r="D2040" s="299">
        <v>1</v>
      </c>
      <c r="E2040" s="300">
        <v>3</v>
      </c>
      <c r="F2040" s="300">
        <f>E2040*D2040</f>
        <v>3</v>
      </c>
      <c r="G2040" s="302">
        <v>1.8</v>
      </c>
      <c r="H2040" s="310" t="str">
        <f t="shared" si="2182"/>
        <v/>
      </c>
      <c r="I2040" s="311" t="str">
        <f t="shared" si="2183"/>
        <v/>
      </c>
      <c r="J2040" s="311" t="str">
        <f t="shared" si="2184"/>
        <v/>
      </c>
      <c r="K2040" s="311" t="str">
        <f t="shared" si="2185"/>
        <v/>
      </c>
      <c r="L2040" s="310" t="str">
        <f t="shared" si="2186"/>
        <v/>
      </c>
      <c r="M2040" s="310">
        <f t="shared" si="2187"/>
        <v>5.4</v>
      </c>
      <c r="N2040" s="311" t="str">
        <f t="shared" si="2188"/>
        <v/>
      </c>
    </row>
    <row r="2041" spans="1:14" ht="16.5">
      <c r="A2041" s="303"/>
      <c r="B2041" s="254"/>
      <c r="C2041" s="299"/>
      <c r="D2041" s="299"/>
      <c r="E2041" s="300"/>
      <c r="F2041" s="300"/>
      <c r="G2041" s="302"/>
      <c r="H2041" s="310"/>
      <c r="I2041" s="311"/>
      <c r="J2041" s="311"/>
      <c r="K2041" s="311"/>
      <c r="L2041" s="310"/>
      <c r="M2041" s="310"/>
      <c r="N2041" s="311"/>
    </row>
    <row r="2042" spans="1:14" ht="16.5">
      <c r="A2042" s="303" t="s">
        <v>1446</v>
      </c>
      <c r="B2042" s="254"/>
      <c r="C2042" s="299"/>
      <c r="D2042" s="299"/>
      <c r="E2042" s="300"/>
      <c r="F2042" s="300"/>
      <c r="G2042" s="302"/>
      <c r="H2042" s="310"/>
      <c r="I2042" s="311"/>
      <c r="J2042" s="311"/>
      <c r="K2042" s="311"/>
      <c r="L2042" s="310"/>
      <c r="M2042" s="310"/>
      <c r="N2042" s="311"/>
    </row>
    <row r="2043" spans="1:14" s="294" customFormat="1">
      <c r="A2043" s="297" t="s">
        <v>1515</v>
      </c>
      <c r="B2043" s="298"/>
      <c r="C2043" s="299" t="s">
        <v>1519</v>
      </c>
      <c r="D2043" s="299">
        <v>1</v>
      </c>
      <c r="E2043" s="300">
        <v>3</v>
      </c>
      <c r="F2043" s="300">
        <f>E2043*D2043</f>
        <v>3</v>
      </c>
      <c r="G2043" s="299">
        <f>3.9+17*0.01*2</f>
        <v>4.24</v>
      </c>
      <c r="H2043" s="310" t="str">
        <f t="shared" ref="H2043:H2048" si="2190">IF(C2043="T6",G2043*F2043,"")</f>
        <v/>
      </c>
      <c r="I2043" s="311" t="str">
        <f t="shared" ref="I2043:I2048" si="2191">IF(C2043="T8",F2043*G2043,"")</f>
        <v/>
      </c>
      <c r="J2043" s="311">
        <f t="shared" ref="J2043:J2048" si="2192">IF(C2043="T10",F2043*G2043,"")</f>
        <v>12.72</v>
      </c>
      <c r="K2043" s="311" t="str">
        <f t="shared" ref="K2043:K2048" si="2193">IF(C2043="T12",F2043*G2043,"")</f>
        <v/>
      </c>
      <c r="L2043" s="310" t="str">
        <f t="shared" ref="L2043:L2048" si="2194">IF(C2043="T14",F2043*G2043,"")</f>
        <v/>
      </c>
      <c r="M2043" s="310" t="str">
        <f t="shared" ref="M2043:M2048" si="2195">IF(C2043="T16",G2043*F2043,"")</f>
        <v/>
      </c>
      <c r="N2043" s="311" t="str">
        <f t="shared" ref="N2043:N2048" si="2196">IF(C2043="T20",G2043*F2043,"")</f>
        <v/>
      </c>
    </row>
    <row r="2044" spans="1:14" s="294" customFormat="1">
      <c r="A2044" s="297" t="s">
        <v>1515</v>
      </c>
      <c r="B2044" s="298"/>
      <c r="C2044" s="299" t="s">
        <v>1516</v>
      </c>
      <c r="D2044" s="299">
        <v>1</v>
      </c>
      <c r="E2044" s="300">
        <v>3</v>
      </c>
      <c r="F2044" s="300">
        <f>E2044*D2044</f>
        <v>3</v>
      </c>
      <c r="G2044" s="302">
        <f>(3.9)+17*0.012*2</f>
        <v>4.3099999999999996</v>
      </c>
      <c r="H2044" s="310" t="str">
        <f t="shared" si="2190"/>
        <v/>
      </c>
      <c r="I2044" s="311" t="str">
        <f t="shared" si="2191"/>
        <v/>
      </c>
      <c r="J2044" s="311" t="str">
        <f t="shared" si="2192"/>
        <v/>
      </c>
      <c r="K2044" s="311">
        <f t="shared" si="2193"/>
        <v>12.93</v>
      </c>
      <c r="L2044" s="310" t="str">
        <f t="shared" si="2194"/>
        <v/>
      </c>
      <c r="M2044" s="310" t="str">
        <f t="shared" si="2195"/>
        <v/>
      </c>
      <c r="N2044" s="311" t="str">
        <f t="shared" si="2196"/>
        <v/>
      </c>
    </row>
    <row r="2045" spans="1:14" s="294" customFormat="1">
      <c r="A2045" s="297" t="s">
        <v>1494</v>
      </c>
      <c r="B2045" s="301"/>
      <c r="C2045" s="299" t="s">
        <v>1496</v>
      </c>
      <c r="D2045" s="299">
        <v>1</v>
      </c>
      <c r="E2045" s="300">
        <f>2+11+12</f>
        <v>25</v>
      </c>
      <c r="F2045" s="300">
        <f t="shared" ref="F2045:F2046" si="2197">E2045*D2045</f>
        <v>25</v>
      </c>
      <c r="G2045" s="302">
        <f>(0.2+0.35)*2+17*0.008*2</f>
        <v>1.37</v>
      </c>
      <c r="H2045" s="310" t="str">
        <f t="shared" si="2190"/>
        <v/>
      </c>
      <c r="I2045" s="311">
        <f t="shared" si="2191"/>
        <v>34.25</v>
      </c>
      <c r="J2045" s="311" t="str">
        <f t="shared" si="2192"/>
        <v/>
      </c>
      <c r="K2045" s="311" t="str">
        <f t="shared" si="2193"/>
        <v/>
      </c>
      <c r="L2045" s="310" t="str">
        <f t="shared" si="2194"/>
        <v/>
      </c>
      <c r="M2045" s="310" t="str">
        <f t="shared" si="2195"/>
        <v/>
      </c>
      <c r="N2045" s="311" t="str">
        <f t="shared" si="2196"/>
        <v/>
      </c>
    </row>
    <row r="2046" spans="1:14" s="294" customFormat="1">
      <c r="A2046" s="297" t="s">
        <v>1517</v>
      </c>
      <c r="B2046" s="301"/>
      <c r="C2046" s="299" t="s">
        <v>1496</v>
      </c>
      <c r="D2046" s="299">
        <v>1</v>
      </c>
      <c r="E2046" s="300">
        <v>25</v>
      </c>
      <c r="F2046" s="300">
        <f t="shared" si="2197"/>
        <v>25</v>
      </c>
      <c r="G2046" s="302">
        <f>(0.35*2)+17*0.008*2</f>
        <v>0.97</v>
      </c>
      <c r="H2046" s="310" t="str">
        <f t="shared" si="2190"/>
        <v/>
      </c>
      <c r="I2046" s="311">
        <f t="shared" si="2191"/>
        <v>24.25</v>
      </c>
      <c r="J2046" s="311" t="str">
        <f t="shared" si="2192"/>
        <v/>
      </c>
      <c r="K2046" s="311" t="str">
        <f t="shared" si="2193"/>
        <v/>
      </c>
      <c r="L2046" s="310" t="str">
        <f t="shared" si="2194"/>
        <v/>
      </c>
      <c r="M2046" s="310" t="str">
        <f t="shared" si="2195"/>
        <v/>
      </c>
      <c r="N2046" s="311" t="str">
        <f t="shared" si="2196"/>
        <v/>
      </c>
    </row>
    <row r="2047" spans="1:14">
      <c r="A2047" s="297" t="s">
        <v>1518</v>
      </c>
      <c r="B2047" s="254"/>
      <c r="C2047" s="299" t="s">
        <v>1492</v>
      </c>
      <c r="D2047" s="299">
        <v>1</v>
      </c>
      <c r="E2047" s="300">
        <v>3</v>
      </c>
      <c r="F2047" s="300">
        <f>E2047*D2047</f>
        <v>3</v>
      </c>
      <c r="G2047" s="302">
        <v>3.2</v>
      </c>
      <c r="H2047" s="310" t="str">
        <f t="shared" si="2190"/>
        <v/>
      </c>
      <c r="I2047" s="311" t="str">
        <f t="shared" si="2191"/>
        <v/>
      </c>
      <c r="J2047" s="311" t="str">
        <f t="shared" si="2192"/>
        <v/>
      </c>
      <c r="K2047" s="311" t="str">
        <f t="shared" si="2193"/>
        <v/>
      </c>
      <c r="L2047" s="310">
        <f t="shared" si="2194"/>
        <v>9.6</v>
      </c>
      <c r="M2047" s="310" t="str">
        <f t="shared" si="2195"/>
        <v/>
      </c>
      <c r="N2047" s="311" t="str">
        <f t="shared" si="2196"/>
        <v/>
      </c>
    </row>
    <row r="2048" spans="1:14">
      <c r="A2048" s="297"/>
      <c r="B2048" s="254"/>
      <c r="C2048" s="299" t="s">
        <v>1492</v>
      </c>
      <c r="D2048" s="299">
        <v>1</v>
      </c>
      <c r="E2048" s="300">
        <v>3</v>
      </c>
      <c r="F2048" s="300">
        <f>E2048*D2048</f>
        <v>3</v>
      </c>
      <c r="G2048" s="302">
        <v>2.2000000000000002</v>
      </c>
      <c r="H2048" s="310" t="str">
        <f t="shared" si="2190"/>
        <v/>
      </c>
      <c r="I2048" s="311" t="str">
        <f t="shared" si="2191"/>
        <v/>
      </c>
      <c r="J2048" s="311" t="str">
        <f t="shared" si="2192"/>
        <v/>
      </c>
      <c r="K2048" s="311" t="str">
        <f t="shared" si="2193"/>
        <v/>
      </c>
      <c r="L2048" s="310">
        <f t="shared" si="2194"/>
        <v>6.6</v>
      </c>
      <c r="M2048" s="310" t="str">
        <f t="shared" si="2195"/>
        <v/>
      </c>
      <c r="N2048" s="311" t="str">
        <f t="shared" si="2196"/>
        <v/>
      </c>
    </row>
    <row r="2049" spans="1:14">
      <c r="A2049" s="297"/>
      <c r="B2049" s="254"/>
      <c r="C2049" s="299" t="s">
        <v>1516</v>
      </c>
      <c r="D2049" s="299">
        <v>1</v>
      </c>
      <c r="E2049" s="300">
        <v>3</v>
      </c>
      <c r="F2049" s="300">
        <f>E2049*D2049</f>
        <v>3</v>
      </c>
      <c r="G2049" s="302">
        <v>4.8</v>
      </c>
      <c r="H2049" s="310" t="str">
        <f t="shared" ref="H2049" si="2198">IF(C2049="T6",G2049*F2049,"")</f>
        <v/>
      </c>
      <c r="I2049" s="311" t="str">
        <f t="shared" ref="I2049" si="2199">IF(C2049="T8",F2049*G2049,"")</f>
        <v/>
      </c>
      <c r="J2049" s="311" t="str">
        <f t="shared" ref="J2049" si="2200">IF(C2049="T10",F2049*G2049,"")</f>
        <v/>
      </c>
      <c r="K2049" s="311">
        <f t="shared" ref="K2049" si="2201">IF(C2049="T12",F2049*G2049,"")</f>
        <v>14.4</v>
      </c>
      <c r="L2049" s="310" t="str">
        <f t="shared" ref="L2049" si="2202">IF(C2049="T14",F2049*G2049,"")</f>
        <v/>
      </c>
      <c r="M2049" s="310" t="str">
        <f t="shared" ref="M2049" si="2203">IF(C2049="T16",G2049*F2049,"")</f>
        <v/>
      </c>
      <c r="N2049" s="311" t="str">
        <f t="shared" ref="N2049" si="2204">IF(C2049="T20",G2049*F2049,"")</f>
        <v/>
      </c>
    </row>
    <row r="2050" spans="1:14" ht="16.5">
      <c r="A2050" s="303"/>
      <c r="B2050" s="254"/>
      <c r="C2050" s="299"/>
      <c r="D2050" s="299"/>
      <c r="E2050" s="300"/>
      <c r="F2050" s="300"/>
      <c r="G2050" s="302"/>
      <c r="H2050" s="310"/>
      <c r="I2050" s="311"/>
      <c r="J2050" s="311"/>
      <c r="K2050" s="311"/>
      <c r="L2050" s="310"/>
      <c r="M2050" s="310"/>
      <c r="N2050" s="311"/>
    </row>
    <row r="2051" spans="1:14" ht="16.5">
      <c r="A2051" s="303" t="s">
        <v>1447</v>
      </c>
      <c r="B2051" s="254"/>
      <c r="C2051" s="299"/>
      <c r="D2051" s="299"/>
      <c r="E2051" s="300"/>
      <c r="F2051" s="300"/>
      <c r="G2051" s="302"/>
      <c r="H2051" s="310"/>
      <c r="I2051" s="311"/>
      <c r="J2051" s="311"/>
      <c r="K2051" s="311"/>
      <c r="L2051" s="310"/>
      <c r="M2051" s="310"/>
      <c r="N2051" s="311"/>
    </row>
    <row r="2052" spans="1:14" s="294" customFormat="1">
      <c r="A2052" s="297" t="s">
        <v>1515</v>
      </c>
      <c r="B2052" s="298"/>
      <c r="C2052" s="299" t="s">
        <v>1519</v>
      </c>
      <c r="D2052" s="299">
        <v>1</v>
      </c>
      <c r="E2052" s="300">
        <v>3</v>
      </c>
      <c r="F2052" s="300">
        <f>E2052*D2052</f>
        <v>3</v>
      </c>
      <c r="G2052" s="299">
        <f>2.2+17*0.01*2</f>
        <v>2.54</v>
      </c>
      <c r="H2052" s="310" t="str">
        <f t="shared" ref="H2052:H2057" si="2205">IF(C2052="T6",G2052*F2052,"")</f>
        <v/>
      </c>
      <c r="I2052" s="311" t="str">
        <f t="shared" ref="I2052:I2057" si="2206">IF(C2052="T8",F2052*G2052,"")</f>
        <v/>
      </c>
      <c r="J2052" s="311">
        <f t="shared" ref="J2052:J2057" si="2207">IF(C2052="T10",F2052*G2052,"")</f>
        <v>7.62</v>
      </c>
      <c r="K2052" s="311" t="str">
        <f t="shared" ref="K2052:K2057" si="2208">IF(C2052="T12",F2052*G2052,"")</f>
        <v/>
      </c>
      <c r="L2052" s="310" t="str">
        <f t="shared" ref="L2052:L2057" si="2209">IF(C2052="T14",F2052*G2052,"")</f>
        <v/>
      </c>
      <c r="M2052" s="310" t="str">
        <f t="shared" ref="M2052:M2057" si="2210">IF(C2052="T16",G2052*F2052,"")</f>
        <v/>
      </c>
      <c r="N2052" s="311" t="str">
        <f t="shared" ref="N2052:N2057" si="2211">IF(C2052="T20",G2052*F2052,"")</f>
        <v/>
      </c>
    </row>
    <row r="2053" spans="1:14" s="294" customFormat="1">
      <c r="A2053" s="297" t="s">
        <v>1515</v>
      </c>
      <c r="B2053" s="298"/>
      <c r="C2053" s="299" t="s">
        <v>1492</v>
      </c>
      <c r="D2053" s="299">
        <v>1</v>
      </c>
      <c r="E2053" s="300">
        <v>3</v>
      </c>
      <c r="F2053" s="300">
        <f>E2053*D2053</f>
        <v>3</v>
      </c>
      <c r="G2053" s="302">
        <f>(2.2)+17*0.014*2</f>
        <v>2.68</v>
      </c>
      <c r="H2053" s="310" t="str">
        <f t="shared" si="2205"/>
        <v/>
      </c>
      <c r="I2053" s="311" t="str">
        <f t="shared" si="2206"/>
        <v/>
      </c>
      <c r="J2053" s="311" t="str">
        <f t="shared" si="2207"/>
        <v/>
      </c>
      <c r="K2053" s="311" t="str">
        <f t="shared" si="2208"/>
        <v/>
      </c>
      <c r="L2053" s="310">
        <f t="shared" si="2209"/>
        <v>8.0399999999999991</v>
      </c>
      <c r="M2053" s="310" t="str">
        <f t="shared" si="2210"/>
        <v/>
      </c>
      <c r="N2053" s="311" t="str">
        <f t="shared" si="2211"/>
        <v/>
      </c>
    </row>
    <row r="2054" spans="1:14" s="294" customFormat="1">
      <c r="A2054" s="297" t="s">
        <v>1494</v>
      </c>
      <c r="B2054" s="301"/>
      <c r="C2054" s="299" t="s">
        <v>1496</v>
      </c>
      <c r="D2054" s="299">
        <v>1</v>
      </c>
      <c r="E2054" s="300">
        <f>7+7+8</f>
        <v>22</v>
      </c>
      <c r="F2054" s="300">
        <f t="shared" ref="F2054:F2055" si="2212">E2054*D2054</f>
        <v>22</v>
      </c>
      <c r="G2054" s="302">
        <f>(0.2+0.3)*2+17*0.008*2</f>
        <v>1.27</v>
      </c>
      <c r="H2054" s="310" t="str">
        <f t="shared" si="2205"/>
        <v/>
      </c>
      <c r="I2054" s="311">
        <f t="shared" si="2206"/>
        <v>27.94</v>
      </c>
      <c r="J2054" s="311" t="str">
        <f t="shared" si="2207"/>
        <v/>
      </c>
      <c r="K2054" s="311" t="str">
        <f t="shared" si="2208"/>
        <v/>
      </c>
      <c r="L2054" s="310" t="str">
        <f t="shared" si="2209"/>
        <v/>
      </c>
      <c r="M2054" s="310" t="str">
        <f t="shared" si="2210"/>
        <v/>
      </c>
      <c r="N2054" s="311" t="str">
        <f t="shared" si="2211"/>
        <v/>
      </c>
    </row>
    <row r="2055" spans="1:14" s="294" customFormat="1">
      <c r="A2055" s="297" t="s">
        <v>1517</v>
      </c>
      <c r="B2055" s="301"/>
      <c r="C2055" s="299" t="s">
        <v>1496</v>
      </c>
      <c r="D2055" s="299">
        <v>1</v>
      </c>
      <c r="E2055" s="300">
        <v>22</v>
      </c>
      <c r="F2055" s="300">
        <f t="shared" si="2212"/>
        <v>22</v>
      </c>
      <c r="G2055" s="302">
        <f>(0.3*2)+17*0.008*2</f>
        <v>0.87</v>
      </c>
      <c r="H2055" s="310" t="str">
        <f t="shared" si="2205"/>
        <v/>
      </c>
      <c r="I2055" s="311">
        <f t="shared" si="2206"/>
        <v>19.14</v>
      </c>
      <c r="J2055" s="311" t="str">
        <f t="shared" si="2207"/>
        <v/>
      </c>
      <c r="K2055" s="311" t="str">
        <f t="shared" si="2208"/>
        <v/>
      </c>
      <c r="L2055" s="310" t="str">
        <f t="shared" si="2209"/>
        <v/>
      </c>
      <c r="M2055" s="310" t="str">
        <f t="shared" si="2210"/>
        <v/>
      </c>
      <c r="N2055" s="311" t="str">
        <f t="shared" si="2211"/>
        <v/>
      </c>
    </row>
    <row r="2056" spans="1:14">
      <c r="A2056" s="297" t="s">
        <v>1518</v>
      </c>
      <c r="B2056" s="254"/>
      <c r="C2056" s="299" t="s">
        <v>1492</v>
      </c>
      <c r="D2056" s="299">
        <v>1</v>
      </c>
      <c r="E2056" s="300">
        <v>3</v>
      </c>
      <c r="F2056" s="300">
        <f>E2056*D2056</f>
        <v>3</v>
      </c>
      <c r="G2056" s="302">
        <v>2.2000000000000002</v>
      </c>
      <c r="H2056" s="310" t="str">
        <f t="shared" si="2205"/>
        <v/>
      </c>
      <c r="I2056" s="311" t="str">
        <f t="shared" si="2206"/>
        <v/>
      </c>
      <c r="J2056" s="311" t="str">
        <f t="shared" si="2207"/>
        <v/>
      </c>
      <c r="K2056" s="311" t="str">
        <f t="shared" si="2208"/>
        <v/>
      </c>
      <c r="L2056" s="310">
        <f t="shared" si="2209"/>
        <v>6.6</v>
      </c>
      <c r="M2056" s="310" t="str">
        <f t="shared" si="2210"/>
        <v/>
      </c>
      <c r="N2056" s="311" t="str">
        <f t="shared" si="2211"/>
        <v/>
      </c>
    </row>
    <row r="2057" spans="1:14">
      <c r="A2057" s="297"/>
      <c r="B2057" s="254"/>
      <c r="C2057" s="299" t="s">
        <v>1516</v>
      </c>
      <c r="D2057" s="299">
        <v>1</v>
      </c>
      <c r="E2057" s="300">
        <v>3</v>
      </c>
      <c r="F2057" s="300">
        <f>E2057*D2057</f>
        <v>3</v>
      </c>
      <c r="G2057" s="302">
        <v>1</v>
      </c>
      <c r="H2057" s="310" t="str">
        <f t="shared" si="2205"/>
        <v/>
      </c>
      <c r="I2057" s="311" t="str">
        <f t="shared" si="2206"/>
        <v/>
      </c>
      <c r="J2057" s="311" t="str">
        <f t="shared" si="2207"/>
        <v/>
      </c>
      <c r="K2057" s="311">
        <f t="shared" si="2208"/>
        <v>3</v>
      </c>
      <c r="L2057" s="310" t="str">
        <f t="shared" si="2209"/>
        <v/>
      </c>
      <c r="M2057" s="310" t="str">
        <f t="shared" si="2210"/>
        <v/>
      </c>
      <c r="N2057" s="311" t="str">
        <f t="shared" si="2211"/>
        <v/>
      </c>
    </row>
    <row r="2058" spans="1:14" ht="16.5">
      <c r="A2058" s="303"/>
      <c r="B2058" s="254"/>
      <c r="C2058" s="299"/>
      <c r="D2058" s="299"/>
      <c r="E2058" s="300"/>
      <c r="F2058" s="300"/>
      <c r="G2058" s="302"/>
      <c r="H2058" s="310"/>
      <c r="I2058" s="311"/>
      <c r="J2058" s="311"/>
      <c r="K2058" s="311"/>
      <c r="L2058" s="310"/>
      <c r="M2058" s="310"/>
      <c r="N2058" s="311"/>
    </row>
    <row r="2059" spans="1:14" ht="16.5">
      <c r="A2059" s="303" t="s">
        <v>1448</v>
      </c>
      <c r="B2059" s="254"/>
      <c r="C2059" s="299"/>
      <c r="D2059" s="299"/>
      <c r="E2059" s="300"/>
      <c r="F2059" s="300"/>
      <c r="G2059" s="302"/>
      <c r="H2059" s="310"/>
      <c r="I2059" s="311"/>
      <c r="J2059" s="311"/>
      <c r="K2059" s="311"/>
      <c r="L2059" s="310"/>
      <c r="M2059" s="310"/>
      <c r="N2059" s="311"/>
    </row>
    <row r="2060" spans="1:14" s="294" customFormat="1">
      <c r="A2060" s="297" t="s">
        <v>1515</v>
      </c>
      <c r="B2060" s="298"/>
      <c r="C2060" s="299" t="s">
        <v>1519</v>
      </c>
      <c r="D2060" s="299">
        <v>1</v>
      </c>
      <c r="E2060" s="300">
        <v>3</v>
      </c>
      <c r="F2060" s="300">
        <f>E2060*D2060</f>
        <v>3</v>
      </c>
      <c r="G2060" s="299">
        <f>4.25+17*0.01*2</f>
        <v>4.59</v>
      </c>
      <c r="H2060" s="310" t="str">
        <f t="shared" ref="H2060:H2066" si="2213">IF(C2060="T6",G2060*F2060,"")</f>
        <v/>
      </c>
      <c r="I2060" s="311" t="str">
        <f t="shared" ref="I2060:I2066" si="2214">IF(C2060="T8",F2060*G2060,"")</f>
        <v/>
      </c>
      <c r="J2060" s="311">
        <f t="shared" ref="J2060:J2066" si="2215">IF(C2060="T10",F2060*G2060,"")</f>
        <v>13.77</v>
      </c>
      <c r="K2060" s="311" t="str">
        <f t="shared" ref="K2060:K2066" si="2216">IF(C2060="T12",F2060*G2060,"")</f>
        <v/>
      </c>
      <c r="L2060" s="310" t="str">
        <f t="shared" ref="L2060:L2066" si="2217">IF(C2060="T14",F2060*G2060,"")</f>
        <v/>
      </c>
      <c r="M2060" s="310" t="str">
        <f t="shared" ref="M2060:M2066" si="2218">IF(C2060="T16",G2060*F2060,"")</f>
        <v/>
      </c>
      <c r="N2060" s="311" t="str">
        <f t="shared" ref="N2060:N2066" si="2219">IF(C2060="T20",G2060*F2060,"")</f>
        <v/>
      </c>
    </row>
    <row r="2061" spans="1:14" s="294" customFormat="1">
      <c r="A2061" s="297" t="s">
        <v>1515</v>
      </c>
      <c r="B2061" s="298"/>
      <c r="C2061" s="299" t="s">
        <v>1516</v>
      </c>
      <c r="D2061" s="299">
        <v>1</v>
      </c>
      <c r="E2061" s="300">
        <v>3</v>
      </c>
      <c r="F2061" s="300">
        <f>E2061*D2061</f>
        <v>3</v>
      </c>
      <c r="G2061" s="302">
        <f>(4.25)+17*0.012*2</f>
        <v>4.66</v>
      </c>
      <c r="H2061" s="310" t="str">
        <f t="shared" si="2213"/>
        <v/>
      </c>
      <c r="I2061" s="311" t="str">
        <f t="shared" si="2214"/>
        <v/>
      </c>
      <c r="J2061" s="311" t="str">
        <f t="shared" si="2215"/>
        <v/>
      </c>
      <c r="K2061" s="311">
        <f t="shared" si="2216"/>
        <v>13.98</v>
      </c>
      <c r="L2061" s="310" t="str">
        <f t="shared" si="2217"/>
        <v/>
      </c>
      <c r="M2061" s="310" t="str">
        <f t="shared" si="2218"/>
        <v/>
      </c>
      <c r="N2061" s="311" t="str">
        <f t="shared" si="2219"/>
        <v/>
      </c>
    </row>
    <row r="2062" spans="1:14" s="294" customFormat="1">
      <c r="A2062" s="297"/>
      <c r="B2062" s="298"/>
      <c r="C2062" s="299" t="s">
        <v>1519</v>
      </c>
      <c r="D2062" s="299">
        <v>1</v>
      </c>
      <c r="E2062" s="300">
        <v>2</v>
      </c>
      <c r="F2062" s="300">
        <f>E2062*D2062</f>
        <v>2</v>
      </c>
      <c r="G2062" s="299">
        <v>4.25</v>
      </c>
      <c r="H2062" s="310" t="str">
        <f t="shared" ref="H2062" si="2220">IF(C2062="T6",G2062*F2062,"")</f>
        <v/>
      </c>
      <c r="I2062" s="311" t="str">
        <f t="shared" ref="I2062" si="2221">IF(C2062="T8",F2062*G2062,"")</f>
        <v/>
      </c>
      <c r="J2062" s="311">
        <f t="shared" ref="J2062" si="2222">IF(C2062="T10",F2062*G2062,"")</f>
        <v>8.5</v>
      </c>
      <c r="K2062" s="311" t="str">
        <f t="shared" ref="K2062" si="2223">IF(C2062="T12",F2062*G2062,"")</f>
        <v/>
      </c>
      <c r="L2062" s="310" t="str">
        <f t="shared" ref="L2062" si="2224">IF(C2062="T14",F2062*G2062,"")</f>
        <v/>
      </c>
      <c r="M2062" s="310" t="str">
        <f t="shared" ref="M2062" si="2225">IF(C2062="T16",G2062*F2062,"")</f>
        <v/>
      </c>
      <c r="N2062" s="311" t="str">
        <f t="shared" ref="N2062" si="2226">IF(C2062="T20",G2062*F2062,"")</f>
        <v/>
      </c>
    </row>
    <row r="2063" spans="1:14" s="294" customFormat="1">
      <c r="A2063" s="297" t="s">
        <v>1494</v>
      </c>
      <c r="B2063" s="301"/>
      <c r="C2063" s="299" t="s">
        <v>1496</v>
      </c>
      <c r="D2063" s="299">
        <v>1</v>
      </c>
      <c r="E2063" s="300">
        <f>13+20+13</f>
        <v>46</v>
      </c>
      <c r="F2063" s="300">
        <f t="shared" ref="F2063:F2064" si="2227">E2063*D2063</f>
        <v>46</v>
      </c>
      <c r="G2063" s="302">
        <f>(0.2+0.5)*2+17*0.008*2</f>
        <v>1.67</v>
      </c>
      <c r="H2063" s="310" t="str">
        <f t="shared" si="2213"/>
        <v/>
      </c>
      <c r="I2063" s="311">
        <f t="shared" si="2214"/>
        <v>76.819999999999993</v>
      </c>
      <c r="J2063" s="311" t="str">
        <f t="shared" si="2215"/>
        <v/>
      </c>
      <c r="K2063" s="311" t="str">
        <f t="shared" si="2216"/>
        <v/>
      </c>
      <c r="L2063" s="310" t="str">
        <f t="shared" si="2217"/>
        <v/>
      </c>
      <c r="M2063" s="310" t="str">
        <f t="shared" si="2218"/>
        <v/>
      </c>
      <c r="N2063" s="311" t="str">
        <f t="shared" si="2219"/>
        <v/>
      </c>
    </row>
    <row r="2064" spans="1:14" s="294" customFormat="1">
      <c r="A2064" s="297" t="s">
        <v>1517</v>
      </c>
      <c r="B2064" s="301"/>
      <c r="C2064" s="299" t="s">
        <v>1496</v>
      </c>
      <c r="D2064" s="299">
        <v>1</v>
      </c>
      <c r="E2064" s="300">
        <v>46</v>
      </c>
      <c r="F2064" s="300">
        <f t="shared" si="2227"/>
        <v>46</v>
      </c>
      <c r="G2064" s="302">
        <f>(0.5*2)+17*0.008*2</f>
        <v>1.27</v>
      </c>
      <c r="H2064" s="310" t="str">
        <f t="shared" si="2213"/>
        <v/>
      </c>
      <c r="I2064" s="311">
        <f t="shared" si="2214"/>
        <v>58.42</v>
      </c>
      <c r="J2064" s="311" t="str">
        <f t="shared" si="2215"/>
        <v/>
      </c>
      <c r="K2064" s="311" t="str">
        <f t="shared" si="2216"/>
        <v/>
      </c>
      <c r="L2064" s="310" t="str">
        <f t="shared" si="2217"/>
        <v/>
      </c>
      <c r="M2064" s="310" t="str">
        <f t="shared" si="2218"/>
        <v/>
      </c>
      <c r="N2064" s="311" t="str">
        <f t="shared" si="2219"/>
        <v/>
      </c>
    </row>
    <row r="2065" spans="1:14">
      <c r="A2065" s="297" t="s">
        <v>1518</v>
      </c>
      <c r="B2065" s="254"/>
      <c r="C2065" s="299" t="s">
        <v>1492</v>
      </c>
      <c r="D2065" s="299">
        <v>1</v>
      </c>
      <c r="E2065" s="300">
        <v>3</v>
      </c>
      <c r="F2065" s="300">
        <f>E2065*D2065</f>
        <v>3</v>
      </c>
      <c r="G2065" s="302">
        <v>3</v>
      </c>
      <c r="H2065" s="310" t="str">
        <f t="shared" si="2213"/>
        <v/>
      </c>
      <c r="I2065" s="311" t="str">
        <f t="shared" si="2214"/>
        <v/>
      </c>
      <c r="J2065" s="311" t="str">
        <f t="shared" si="2215"/>
        <v/>
      </c>
      <c r="K2065" s="311" t="str">
        <f t="shared" si="2216"/>
        <v/>
      </c>
      <c r="L2065" s="310">
        <f t="shared" si="2217"/>
        <v>9</v>
      </c>
      <c r="M2065" s="310" t="str">
        <f t="shared" si="2218"/>
        <v/>
      </c>
      <c r="N2065" s="311" t="str">
        <f t="shared" si="2219"/>
        <v/>
      </c>
    </row>
    <row r="2066" spans="1:14">
      <c r="A2066" s="297"/>
      <c r="B2066" s="254"/>
      <c r="C2066" s="299" t="s">
        <v>1519</v>
      </c>
      <c r="D2066" s="299">
        <v>1</v>
      </c>
      <c r="E2066" s="300">
        <v>3</v>
      </c>
      <c r="F2066" s="300">
        <f>E2066*D2066</f>
        <v>3</v>
      </c>
      <c r="G2066" s="302">
        <v>3.5</v>
      </c>
      <c r="H2066" s="310" t="str">
        <f t="shared" si="2213"/>
        <v/>
      </c>
      <c r="I2066" s="311" t="str">
        <f t="shared" si="2214"/>
        <v/>
      </c>
      <c r="J2066" s="311">
        <f t="shared" si="2215"/>
        <v>10.5</v>
      </c>
      <c r="K2066" s="311" t="str">
        <f t="shared" si="2216"/>
        <v/>
      </c>
      <c r="L2066" s="310" t="str">
        <f t="shared" si="2217"/>
        <v/>
      </c>
      <c r="M2066" s="310" t="str">
        <f t="shared" si="2218"/>
        <v/>
      </c>
      <c r="N2066" s="311" t="str">
        <f t="shared" si="2219"/>
        <v/>
      </c>
    </row>
    <row r="2067" spans="1:14">
      <c r="A2067" s="253"/>
      <c r="B2067" s="254"/>
      <c r="C2067" s="299" t="s">
        <v>1516</v>
      </c>
      <c r="D2067" s="299">
        <v>1</v>
      </c>
      <c r="E2067" s="300">
        <v>3</v>
      </c>
      <c r="F2067" s="300">
        <f>E2067*D2067</f>
        <v>3</v>
      </c>
      <c r="G2067" s="302">
        <v>4.5</v>
      </c>
      <c r="H2067" s="310" t="str">
        <f t="shared" ref="H2067" si="2228">IF(C2067="T6",G2067*F2067,"")</f>
        <v/>
      </c>
      <c r="I2067" s="311" t="str">
        <f t="shared" ref="I2067" si="2229">IF(C2067="T8",F2067*G2067,"")</f>
        <v/>
      </c>
      <c r="J2067" s="311" t="str">
        <f t="shared" ref="J2067" si="2230">IF(C2067="T10",F2067*G2067,"")</f>
        <v/>
      </c>
      <c r="K2067" s="311">
        <f t="shared" ref="K2067" si="2231">IF(C2067="T12",F2067*G2067,"")</f>
        <v>13.5</v>
      </c>
      <c r="L2067" s="310" t="str">
        <f t="shared" ref="L2067" si="2232">IF(C2067="T14",F2067*G2067,"")</f>
        <v/>
      </c>
      <c r="M2067" s="310" t="str">
        <f t="shared" ref="M2067" si="2233">IF(C2067="T16",G2067*F2067,"")</f>
        <v/>
      </c>
      <c r="N2067" s="311" t="str">
        <f t="shared" ref="N2067" si="2234">IF(C2067="T20",G2067*F2067,"")</f>
        <v/>
      </c>
    </row>
    <row r="2068" spans="1:14" ht="16.5">
      <c r="A2068" s="303" t="s">
        <v>1449</v>
      </c>
      <c r="B2068" s="254"/>
      <c r="C2068" s="299"/>
      <c r="D2068" s="299"/>
      <c r="E2068" s="300"/>
      <c r="F2068" s="300"/>
      <c r="G2068" s="302"/>
      <c r="H2068" s="310"/>
      <c r="I2068" s="311"/>
      <c r="J2068" s="311"/>
      <c r="K2068" s="311"/>
      <c r="L2068" s="310"/>
      <c r="M2068" s="310"/>
      <c r="N2068" s="311"/>
    </row>
    <row r="2069" spans="1:14" s="294" customFormat="1">
      <c r="A2069" s="297" t="s">
        <v>1515</v>
      </c>
      <c r="B2069" s="298"/>
      <c r="C2069" s="299" t="s">
        <v>1519</v>
      </c>
      <c r="D2069" s="299">
        <v>1</v>
      </c>
      <c r="E2069" s="300">
        <v>3</v>
      </c>
      <c r="F2069" s="300">
        <f>E2069*D2069</f>
        <v>3</v>
      </c>
      <c r="G2069" s="299">
        <f>2.2+17*0.01*2</f>
        <v>2.54</v>
      </c>
      <c r="H2069" s="310" t="str">
        <f t="shared" ref="H2069:H2074" si="2235">IF(C2069="T6",G2069*F2069,"")</f>
        <v/>
      </c>
      <c r="I2069" s="311" t="str">
        <f t="shared" ref="I2069:I2074" si="2236">IF(C2069="T8",F2069*G2069,"")</f>
        <v/>
      </c>
      <c r="J2069" s="311">
        <f t="shared" ref="J2069:J2074" si="2237">IF(C2069="T10",F2069*G2069,"")</f>
        <v>7.62</v>
      </c>
      <c r="K2069" s="311" t="str">
        <f t="shared" ref="K2069:K2074" si="2238">IF(C2069="T12",F2069*G2069,"")</f>
        <v/>
      </c>
      <c r="L2069" s="310" t="str">
        <f t="shared" ref="L2069:L2074" si="2239">IF(C2069="T14",F2069*G2069,"")</f>
        <v/>
      </c>
      <c r="M2069" s="310" t="str">
        <f t="shared" ref="M2069:M2074" si="2240">IF(C2069="T16",G2069*F2069,"")</f>
        <v/>
      </c>
      <c r="N2069" s="311" t="str">
        <f t="shared" ref="N2069:N2074" si="2241">IF(C2069="T20",G2069*F2069,"")</f>
        <v/>
      </c>
    </row>
    <row r="2070" spans="1:14" s="294" customFormat="1">
      <c r="A2070" s="297" t="s">
        <v>1515</v>
      </c>
      <c r="B2070" s="298"/>
      <c r="C2070" s="299" t="s">
        <v>1492</v>
      </c>
      <c r="D2070" s="299">
        <v>1</v>
      </c>
      <c r="E2070" s="300">
        <v>3</v>
      </c>
      <c r="F2070" s="300">
        <f>E2070*D2070</f>
        <v>3</v>
      </c>
      <c r="G2070" s="302">
        <f>(2.2)+17*0.014*2</f>
        <v>2.68</v>
      </c>
      <c r="H2070" s="310" t="str">
        <f t="shared" si="2235"/>
        <v/>
      </c>
      <c r="I2070" s="311" t="str">
        <f t="shared" si="2236"/>
        <v/>
      </c>
      <c r="J2070" s="311" t="str">
        <f t="shared" si="2237"/>
        <v/>
      </c>
      <c r="K2070" s="311" t="str">
        <f t="shared" si="2238"/>
        <v/>
      </c>
      <c r="L2070" s="310">
        <f t="shared" si="2239"/>
        <v>8.0399999999999991</v>
      </c>
      <c r="M2070" s="310" t="str">
        <f t="shared" si="2240"/>
        <v/>
      </c>
      <c r="N2070" s="311" t="str">
        <f t="shared" si="2241"/>
        <v/>
      </c>
    </row>
    <row r="2071" spans="1:14" s="294" customFormat="1">
      <c r="A2071" s="297" t="s">
        <v>1494</v>
      </c>
      <c r="B2071" s="301"/>
      <c r="C2071" s="299" t="s">
        <v>1496</v>
      </c>
      <c r="D2071" s="299">
        <v>1</v>
      </c>
      <c r="E2071" s="300">
        <f>7+7+8</f>
        <v>22</v>
      </c>
      <c r="F2071" s="300">
        <f t="shared" ref="F2071:F2072" si="2242">E2071*D2071</f>
        <v>22</v>
      </c>
      <c r="G2071" s="302">
        <f>(0.2+0.3)*2+17*0.008*2</f>
        <v>1.27</v>
      </c>
      <c r="H2071" s="310" t="str">
        <f t="shared" si="2235"/>
        <v/>
      </c>
      <c r="I2071" s="311">
        <f t="shared" si="2236"/>
        <v>27.94</v>
      </c>
      <c r="J2071" s="311" t="str">
        <f t="shared" si="2237"/>
        <v/>
      </c>
      <c r="K2071" s="311" t="str">
        <f t="shared" si="2238"/>
        <v/>
      </c>
      <c r="L2071" s="310" t="str">
        <f t="shared" si="2239"/>
        <v/>
      </c>
      <c r="M2071" s="310" t="str">
        <f t="shared" si="2240"/>
        <v/>
      </c>
      <c r="N2071" s="311" t="str">
        <f t="shared" si="2241"/>
        <v/>
      </c>
    </row>
    <row r="2072" spans="1:14" s="294" customFormat="1">
      <c r="A2072" s="297" t="s">
        <v>1517</v>
      </c>
      <c r="B2072" s="301"/>
      <c r="C2072" s="299" t="s">
        <v>1496</v>
      </c>
      <c r="D2072" s="299">
        <v>1</v>
      </c>
      <c r="E2072" s="300">
        <v>22</v>
      </c>
      <c r="F2072" s="300">
        <f t="shared" si="2242"/>
        <v>22</v>
      </c>
      <c r="G2072" s="302">
        <f>(0.3*2)+17*0.008*2</f>
        <v>0.87</v>
      </c>
      <c r="H2072" s="310" t="str">
        <f t="shared" si="2235"/>
        <v/>
      </c>
      <c r="I2072" s="311">
        <f t="shared" si="2236"/>
        <v>19.14</v>
      </c>
      <c r="J2072" s="311" t="str">
        <f t="shared" si="2237"/>
        <v/>
      </c>
      <c r="K2072" s="311" t="str">
        <f t="shared" si="2238"/>
        <v/>
      </c>
      <c r="L2072" s="310" t="str">
        <f t="shared" si="2239"/>
        <v/>
      </c>
      <c r="M2072" s="310" t="str">
        <f t="shared" si="2240"/>
        <v/>
      </c>
      <c r="N2072" s="311" t="str">
        <f t="shared" si="2241"/>
        <v/>
      </c>
    </row>
    <row r="2073" spans="1:14">
      <c r="A2073" s="297" t="s">
        <v>1518</v>
      </c>
      <c r="B2073" s="254"/>
      <c r="C2073" s="299" t="s">
        <v>1492</v>
      </c>
      <c r="D2073" s="299">
        <v>1</v>
      </c>
      <c r="E2073" s="300">
        <v>3</v>
      </c>
      <c r="F2073" s="300">
        <f>E2073*D2073</f>
        <v>3</v>
      </c>
      <c r="G2073" s="302">
        <v>2.2000000000000002</v>
      </c>
      <c r="H2073" s="310" t="str">
        <f t="shared" si="2235"/>
        <v/>
      </c>
      <c r="I2073" s="311" t="str">
        <f t="shared" si="2236"/>
        <v/>
      </c>
      <c r="J2073" s="311" t="str">
        <f t="shared" si="2237"/>
        <v/>
      </c>
      <c r="K2073" s="311" t="str">
        <f t="shared" si="2238"/>
        <v/>
      </c>
      <c r="L2073" s="310">
        <f t="shared" si="2239"/>
        <v>6.6</v>
      </c>
      <c r="M2073" s="310" t="str">
        <f t="shared" si="2240"/>
        <v/>
      </c>
      <c r="N2073" s="311" t="str">
        <f t="shared" si="2241"/>
        <v/>
      </c>
    </row>
    <row r="2074" spans="1:14">
      <c r="A2074" s="297"/>
      <c r="B2074" s="254"/>
      <c r="C2074" s="299" t="s">
        <v>1516</v>
      </c>
      <c r="D2074" s="299">
        <v>1</v>
      </c>
      <c r="E2074" s="300">
        <v>3</v>
      </c>
      <c r="F2074" s="300">
        <f>E2074*D2074</f>
        <v>3</v>
      </c>
      <c r="G2074" s="302">
        <v>1</v>
      </c>
      <c r="H2074" s="310" t="str">
        <f t="shared" si="2235"/>
        <v/>
      </c>
      <c r="I2074" s="311" t="str">
        <f t="shared" si="2236"/>
        <v/>
      </c>
      <c r="J2074" s="311" t="str">
        <f t="shared" si="2237"/>
        <v/>
      </c>
      <c r="K2074" s="311">
        <f t="shared" si="2238"/>
        <v>3</v>
      </c>
      <c r="L2074" s="310" t="str">
        <f t="shared" si="2239"/>
        <v/>
      </c>
      <c r="M2074" s="310" t="str">
        <f t="shared" si="2240"/>
        <v/>
      </c>
      <c r="N2074" s="311" t="str">
        <f t="shared" si="2241"/>
        <v/>
      </c>
    </row>
    <row r="2075" spans="1:14" ht="16.5">
      <c r="A2075" s="303"/>
      <c r="B2075" s="254"/>
      <c r="C2075" s="299"/>
      <c r="D2075" s="299"/>
      <c r="E2075" s="300"/>
      <c r="F2075" s="300"/>
      <c r="G2075" s="302"/>
      <c r="H2075" s="310"/>
      <c r="I2075" s="311"/>
      <c r="J2075" s="311"/>
      <c r="K2075" s="311"/>
      <c r="L2075" s="310"/>
      <c r="M2075" s="310"/>
      <c r="N2075" s="311"/>
    </row>
    <row r="2076" spans="1:14" ht="16.5">
      <c r="A2076" s="303" t="s">
        <v>1390</v>
      </c>
      <c r="B2076" s="254"/>
      <c r="C2076" s="299"/>
      <c r="D2076" s="299"/>
      <c r="E2076" s="300"/>
      <c r="F2076" s="300"/>
      <c r="G2076" s="302"/>
      <c r="H2076" s="310"/>
      <c r="I2076" s="311"/>
      <c r="J2076" s="311"/>
      <c r="K2076" s="311"/>
      <c r="L2076" s="310"/>
      <c r="M2076" s="310"/>
      <c r="N2076" s="311"/>
    </row>
    <row r="2077" spans="1:14" s="294" customFormat="1">
      <c r="A2077" s="297" t="s">
        <v>1515</v>
      </c>
      <c r="B2077" s="298"/>
      <c r="C2077" s="299" t="s">
        <v>1519</v>
      </c>
      <c r="D2077" s="299">
        <v>4</v>
      </c>
      <c r="E2077" s="300">
        <v>6</v>
      </c>
      <c r="F2077" s="300">
        <f>E2077*D2077</f>
        <v>24</v>
      </c>
      <c r="G2077" s="299">
        <f>2.45+17*0.01*2</f>
        <v>2.79</v>
      </c>
      <c r="H2077" s="310" t="str">
        <f t="shared" ref="H2077:H2080" si="2243">IF(C2077="T6",G2077*F2077,"")</f>
        <v/>
      </c>
      <c r="I2077" s="311" t="str">
        <f t="shared" ref="I2077:I2080" si="2244">IF(C2077="T8",F2077*G2077,"")</f>
        <v/>
      </c>
      <c r="J2077" s="311">
        <f t="shared" ref="J2077:J2080" si="2245">IF(C2077="T10",F2077*G2077,"")</f>
        <v>66.959999999999994</v>
      </c>
      <c r="K2077" s="311" t="str">
        <f t="shared" ref="K2077:K2080" si="2246">IF(C2077="T12",F2077*G2077,"")</f>
        <v/>
      </c>
      <c r="L2077" s="310" t="str">
        <f t="shared" ref="L2077:L2080" si="2247">IF(C2077="T14",F2077*G2077,"")</f>
        <v/>
      </c>
      <c r="M2077" s="310" t="str">
        <f t="shared" ref="M2077:M2080" si="2248">IF(C2077="T16",G2077*F2077,"")</f>
        <v/>
      </c>
      <c r="N2077" s="311" t="str">
        <f t="shared" ref="N2077:N2080" si="2249">IF(C2077="T20",G2077*F2077,"")</f>
        <v/>
      </c>
    </row>
    <row r="2078" spans="1:14" s="294" customFormat="1">
      <c r="A2078" s="297" t="s">
        <v>1515</v>
      </c>
      <c r="B2078" s="298"/>
      <c r="C2078" s="299" t="s">
        <v>1516</v>
      </c>
      <c r="D2078" s="299">
        <v>4</v>
      </c>
      <c r="E2078" s="300">
        <v>3</v>
      </c>
      <c r="F2078" s="300">
        <f>E2078*D2078</f>
        <v>12</v>
      </c>
      <c r="G2078" s="302">
        <f>(2.45)+17*0.012*2</f>
        <v>2.86</v>
      </c>
      <c r="H2078" s="310" t="str">
        <f t="shared" si="2243"/>
        <v/>
      </c>
      <c r="I2078" s="311" t="str">
        <f t="shared" si="2244"/>
        <v/>
      </c>
      <c r="J2078" s="311" t="str">
        <f t="shared" si="2245"/>
        <v/>
      </c>
      <c r="K2078" s="311">
        <f t="shared" si="2246"/>
        <v>34.32</v>
      </c>
      <c r="L2078" s="310" t="str">
        <f t="shared" si="2247"/>
        <v/>
      </c>
      <c r="M2078" s="310" t="str">
        <f t="shared" si="2248"/>
        <v/>
      </c>
      <c r="N2078" s="311" t="str">
        <f t="shared" si="2249"/>
        <v/>
      </c>
    </row>
    <row r="2079" spans="1:14" s="294" customFormat="1">
      <c r="A2079" s="297" t="s">
        <v>1494</v>
      </c>
      <c r="B2079" s="301"/>
      <c r="C2079" s="299" t="s">
        <v>1496</v>
      </c>
      <c r="D2079" s="299">
        <v>4</v>
      </c>
      <c r="E2079" s="300">
        <f>2.45/0.15</f>
        <v>16</v>
      </c>
      <c r="F2079" s="300">
        <f t="shared" ref="F2079:F2080" si="2250">E2079*D2079</f>
        <v>64</v>
      </c>
      <c r="G2079" s="302">
        <f>(0.2+0.2)*2+17*0.008*2</f>
        <v>1.07</v>
      </c>
      <c r="H2079" s="310" t="str">
        <f t="shared" si="2243"/>
        <v/>
      </c>
      <c r="I2079" s="311">
        <f t="shared" si="2244"/>
        <v>68.48</v>
      </c>
      <c r="J2079" s="311" t="str">
        <f t="shared" si="2245"/>
        <v/>
      </c>
      <c r="K2079" s="311" t="str">
        <f t="shared" si="2246"/>
        <v/>
      </c>
      <c r="L2079" s="310" t="str">
        <f t="shared" si="2247"/>
        <v/>
      </c>
      <c r="M2079" s="310" t="str">
        <f t="shared" si="2248"/>
        <v/>
      </c>
      <c r="N2079" s="311" t="str">
        <f t="shared" si="2249"/>
        <v/>
      </c>
    </row>
    <row r="2080" spans="1:14" s="294" customFormat="1">
      <c r="A2080" s="297" t="s">
        <v>1517</v>
      </c>
      <c r="B2080" s="301"/>
      <c r="C2080" s="299" t="s">
        <v>1496</v>
      </c>
      <c r="D2080" s="299">
        <v>4</v>
      </c>
      <c r="E2080" s="300">
        <f>2.45/0.15</f>
        <v>16</v>
      </c>
      <c r="F2080" s="300">
        <f t="shared" si="2250"/>
        <v>64</v>
      </c>
      <c r="G2080" s="302">
        <f>(0.2*2)+17*0.008*2</f>
        <v>0.67</v>
      </c>
      <c r="H2080" s="310" t="str">
        <f t="shared" si="2243"/>
        <v/>
      </c>
      <c r="I2080" s="311">
        <f t="shared" si="2244"/>
        <v>42.88</v>
      </c>
      <c r="J2080" s="311" t="str">
        <f t="shared" si="2245"/>
        <v/>
      </c>
      <c r="K2080" s="311" t="str">
        <f t="shared" si="2246"/>
        <v/>
      </c>
      <c r="L2080" s="310" t="str">
        <f t="shared" si="2247"/>
        <v/>
      </c>
      <c r="M2080" s="310" t="str">
        <f t="shared" si="2248"/>
        <v/>
      </c>
      <c r="N2080" s="311" t="str">
        <f t="shared" si="2249"/>
        <v/>
      </c>
    </row>
    <row r="2081" spans="1:14" ht="16.5">
      <c r="A2081" s="305"/>
      <c r="B2081" s="254"/>
      <c r="C2081" s="299"/>
      <c r="D2081" s="299"/>
      <c r="E2081" s="300"/>
      <c r="F2081" s="300"/>
      <c r="G2081" s="302"/>
      <c r="H2081" s="310"/>
      <c r="I2081" s="311"/>
      <c r="J2081" s="311"/>
      <c r="K2081" s="311"/>
      <c r="L2081" s="310"/>
      <c r="M2081" s="310"/>
      <c r="N2081" s="311"/>
    </row>
    <row r="2082" spans="1:14" ht="16.5">
      <c r="A2082" s="303" t="s">
        <v>1450</v>
      </c>
      <c r="B2082" s="254"/>
      <c r="C2082" s="299"/>
      <c r="D2082" s="299"/>
      <c r="E2082" s="300"/>
      <c r="F2082" s="300"/>
      <c r="G2082" s="302"/>
      <c r="H2082" s="310"/>
      <c r="I2082" s="311"/>
      <c r="J2082" s="311"/>
      <c r="K2082" s="311"/>
      <c r="L2082" s="310"/>
      <c r="M2082" s="310"/>
      <c r="N2082" s="311"/>
    </row>
    <row r="2083" spans="1:14" s="294" customFormat="1">
      <c r="A2083" s="297" t="s">
        <v>1515</v>
      </c>
      <c r="B2083" s="298"/>
      <c r="C2083" s="299" t="s">
        <v>1519</v>
      </c>
      <c r="D2083" s="299">
        <v>4</v>
      </c>
      <c r="E2083" s="300">
        <v>6</v>
      </c>
      <c r="F2083" s="300">
        <f>E2083*D2083</f>
        <v>24</v>
      </c>
      <c r="G2083" s="299">
        <f>2.58+17*0.01*2</f>
        <v>2.92</v>
      </c>
      <c r="H2083" s="310" t="str">
        <f t="shared" ref="H2083:H2086" si="2251">IF(C2083="T6",G2083*F2083,"")</f>
        <v/>
      </c>
      <c r="I2083" s="311" t="str">
        <f t="shared" ref="I2083:I2086" si="2252">IF(C2083="T8",F2083*G2083,"")</f>
        <v/>
      </c>
      <c r="J2083" s="311">
        <f t="shared" ref="J2083:J2086" si="2253">IF(C2083="T10",F2083*G2083,"")</f>
        <v>70.08</v>
      </c>
      <c r="K2083" s="311" t="str">
        <f t="shared" ref="K2083:K2086" si="2254">IF(C2083="T12",F2083*G2083,"")</f>
        <v/>
      </c>
      <c r="L2083" s="310" t="str">
        <f t="shared" ref="L2083:L2086" si="2255">IF(C2083="T14",F2083*G2083,"")</f>
        <v/>
      </c>
      <c r="M2083" s="310" t="str">
        <f t="shared" ref="M2083:M2086" si="2256">IF(C2083="T16",G2083*F2083,"")</f>
        <v/>
      </c>
      <c r="N2083" s="311" t="str">
        <f t="shared" ref="N2083:N2086" si="2257">IF(C2083="T20",G2083*F2083,"")</f>
        <v/>
      </c>
    </row>
    <row r="2084" spans="1:14" s="294" customFormat="1">
      <c r="A2084" s="297" t="s">
        <v>1515</v>
      </c>
      <c r="B2084" s="298"/>
      <c r="C2084" s="299" t="s">
        <v>1516</v>
      </c>
      <c r="D2084" s="299">
        <v>4</v>
      </c>
      <c r="E2084" s="300">
        <v>3</v>
      </c>
      <c r="F2084" s="300">
        <f>E2084*D2084</f>
        <v>12</v>
      </c>
      <c r="G2084" s="302">
        <f>(2.58)+17*0.012*2</f>
        <v>2.99</v>
      </c>
      <c r="H2084" s="310" t="str">
        <f t="shared" si="2251"/>
        <v/>
      </c>
      <c r="I2084" s="311" t="str">
        <f t="shared" si="2252"/>
        <v/>
      </c>
      <c r="J2084" s="311" t="str">
        <f t="shared" si="2253"/>
        <v/>
      </c>
      <c r="K2084" s="311">
        <f t="shared" si="2254"/>
        <v>35.880000000000003</v>
      </c>
      <c r="L2084" s="310" t="str">
        <f t="shared" si="2255"/>
        <v/>
      </c>
      <c r="M2084" s="310" t="str">
        <f t="shared" si="2256"/>
        <v/>
      </c>
      <c r="N2084" s="311" t="str">
        <f t="shared" si="2257"/>
        <v/>
      </c>
    </row>
    <row r="2085" spans="1:14" s="294" customFormat="1">
      <c r="A2085" s="297" t="s">
        <v>1494</v>
      </c>
      <c r="B2085" s="301"/>
      <c r="C2085" s="299" t="s">
        <v>1496</v>
      </c>
      <c r="D2085" s="299">
        <v>4</v>
      </c>
      <c r="E2085" s="300">
        <f>2.58/0.15</f>
        <v>17</v>
      </c>
      <c r="F2085" s="300">
        <f t="shared" ref="F2085:F2086" si="2258">E2085*D2085</f>
        <v>68</v>
      </c>
      <c r="G2085" s="302">
        <f>(0.2+0.2)*2+17*0.008*2</f>
        <v>1.07</v>
      </c>
      <c r="H2085" s="310" t="str">
        <f t="shared" si="2251"/>
        <v/>
      </c>
      <c r="I2085" s="311">
        <f t="shared" si="2252"/>
        <v>72.760000000000005</v>
      </c>
      <c r="J2085" s="311" t="str">
        <f t="shared" si="2253"/>
        <v/>
      </c>
      <c r="K2085" s="311" t="str">
        <f t="shared" si="2254"/>
        <v/>
      </c>
      <c r="L2085" s="310" t="str">
        <f t="shared" si="2255"/>
        <v/>
      </c>
      <c r="M2085" s="310" t="str">
        <f t="shared" si="2256"/>
        <v/>
      </c>
      <c r="N2085" s="311" t="str">
        <f t="shared" si="2257"/>
        <v/>
      </c>
    </row>
    <row r="2086" spans="1:14" s="294" customFormat="1">
      <c r="A2086" s="297" t="s">
        <v>1517</v>
      </c>
      <c r="B2086" s="301"/>
      <c r="C2086" s="299" t="s">
        <v>1496</v>
      </c>
      <c r="D2086" s="299">
        <v>4</v>
      </c>
      <c r="E2086" s="300">
        <v>17</v>
      </c>
      <c r="F2086" s="300">
        <f t="shared" si="2258"/>
        <v>68</v>
      </c>
      <c r="G2086" s="302">
        <f>(0.2*2)+17*0.008*2</f>
        <v>0.67</v>
      </c>
      <c r="H2086" s="310" t="str">
        <f t="shared" si="2251"/>
        <v/>
      </c>
      <c r="I2086" s="311">
        <f t="shared" si="2252"/>
        <v>45.56</v>
      </c>
      <c r="J2086" s="311" t="str">
        <f t="shared" si="2253"/>
        <v/>
      </c>
      <c r="K2086" s="311" t="str">
        <f t="shared" si="2254"/>
        <v/>
      </c>
      <c r="L2086" s="310" t="str">
        <f t="shared" si="2255"/>
        <v/>
      </c>
      <c r="M2086" s="310" t="str">
        <f t="shared" si="2256"/>
        <v/>
      </c>
      <c r="N2086" s="311" t="str">
        <f t="shared" si="2257"/>
        <v/>
      </c>
    </row>
    <row r="2087" spans="1:14">
      <c r="A2087" s="253"/>
      <c r="B2087" s="254"/>
      <c r="C2087" s="299"/>
      <c r="D2087" s="299"/>
      <c r="E2087" s="300"/>
      <c r="F2087" s="300"/>
      <c r="G2087" s="302"/>
      <c r="H2087" s="310"/>
      <c r="I2087" s="311"/>
      <c r="J2087" s="311"/>
      <c r="K2087" s="311"/>
      <c r="L2087" s="310"/>
      <c r="M2087" s="310"/>
      <c r="N2087" s="311"/>
    </row>
    <row r="2088" spans="1:14" ht="16.5">
      <c r="A2088" s="303" t="s">
        <v>1451</v>
      </c>
      <c r="B2088" s="254"/>
      <c r="C2088" s="299"/>
      <c r="D2088" s="299"/>
      <c r="E2088" s="300"/>
      <c r="F2088" s="300"/>
      <c r="G2088" s="302"/>
      <c r="H2088" s="310"/>
      <c r="I2088" s="311"/>
      <c r="J2088" s="311"/>
      <c r="K2088" s="311"/>
      <c r="L2088" s="310"/>
      <c r="M2088" s="310"/>
      <c r="N2088" s="311"/>
    </row>
    <row r="2089" spans="1:14" s="294" customFormat="1">
      <c r="A2089" s="297" t="s">
        <v>1515</v>
      </c>
      <c r="B2089" s="298"/>
      <c r="C2089" s="299" t="s">
        <v>1519</v>
      </c>
      <c r="D2089" s="299">
        <v>1</v>
      </c>
      <c r="E2089" s="300">
        <v>3</v>
      </c>
      <c r="F2089" s="300">
        <f>E2089*D2089</f>
        <v>3</v>
      </c>
      <c r="G2089" s="299">
        <f>2.45+17*0.01*2</f>
        <v>2.79</v>
      </c>
      <c r="H2089" s="310" t="str">
        <f t="shared" ref="H2089:H2094" si="2259">IF(C2089="T6",G2089*F2089,"")</f>
        <v/>
      </c>
      <c r="I2089" s="311" t="str">
        <f t="shared" ref="I2089:I2094" si="2260">IF(C2089="T8",F2089*G2089,"")</f>
        <v/>
      </c>
      <c r="J2089" s="311">
        <f t="shared" ref="J2089:J2094" si="2261">IF(C2089="T10",F2089*G2089,"")</f>
        <v>8.3699999999999992</v>
      </c>
      <c r="K2089" s="311" t="str">
        <f t="shared" ref="K2089:K2094" si="2262">IF(C2089="T12",F2089*G2089,"")</f>
        <v/>
      </c>
      <c r="L2089" s="310" t="str">
        <f t="shared" ref="L2089:L2094" si="2263">IF(C2089="T14",F2089*G2089,"")</f>
        <v/>
      </c>
      <c r="M2089" s="310" t="str">
        <f t="shared" ref="M2089:M2094" si="2264">IF(C2089="T16",G2089*F2089,"")</f>
        <v/>
      </c>
      <c r="N2089" s="311" t="str">
        <f t="shared" ref="N2089:N2094" si="2265">IF(C2089="T20",G2089*F2089,"")</f>
        <v/>
      </c>
    </row>
    <row r="2090" spans="1:14" s="294" customFormat="1">
      <c r="A2090" s="297" t="s">
        <v>1515</v>
      </c>
      <c r="B2090" s="298"/>
      <c r="C2090" s="299" t="s">
        <v>1516</v>
      </c>
      <c r="D2090" s="299">
        <v>1</v>
      </c>
      <c r="E2090" s="300">
        <v>3</v>
      </c>
      <c r="F2090" s="300">
        <f>E2090*D2090</f>
        <v>3</v>
      </c>
      <c r="G2090" s="302">
        <f>(2.45)+17*0.012*2</f>
        <v>2.86</v>
      </c>
      <c r="H2090" s="310" t="str">
        <f t="shared" si="2259"/>
        <v/>
      </c>
      <c r="I2090" s="311" t="str">
        <f t="shared" si="2260"/>
        <v/>
      </c>
      <c r="J2090" s="311" t="str">
        <f t="shared" si="2261"/>
        <v/>
      </c>
      <c r="K2090" s="311">
        <f t="shared" si="2262"/>
        <v>8.58</v>
      </c>
      <c r="L2090" s="310" t="str">
        <f t="shared" si="2263"/>
        <v/>
      </c>
      <c r="M2090" s="310" t="str">
        <f t="shared" si="2264"/>
        <v/>
      </c>
      <c r="N2090" s="311" t="str">
        <f t="shared" si="2265"/>
        <v/>
      </c>
    </row>
    <row r="2091" spans="1:14" s="294" customFormat="1">
      <c r="A2091" s="297" t="s">
        <v>1494</v>
      </c>
      <c r="B2091" s="301"/>
      <c r="C2091" s="299" t="s">
        <v>1496</v>
      </c>
      <c r="D2091" s="299">
        <v>1</v>
      </c>
      <c r="E2091" s="300">
        <f>8+9+8</f>
        <v>25</v>
      </c>
      <c r="F2091" s="300">
        <f t="shared" ref="F2091:F2092" si="2266">E2091*D2091</f>
        <v>25</v>
      </c>
      <c r="G2091" s="302">
        <f>(0.2+0.25)*2+17*0.008*2</f>
        <v>1.17</v>
      </c>
      <c r="H2091" s="310" t="str">
        <f t="shared" si="2259"/>
        <v/>
      </c>
      <c r="I2091" s="311">
        <f t="shared" si="2260"/>
        <v>29.25</v>
      </c>
      <c r="J2091" s="311" t="str">
        <f t="shared" si="2261"/>
        <v/>
      </c>
      <c r="K2091" s="311" t="str">
        <f t="shared" si="2262"/>
        <v/>
      </c>
      <c r="L2091" s="310" t="str">
        <f t="shared" si="2263"/>
        <v/>
      </c>
      <c r="M2091" s="310" t="str">
        <f t="shared" si="2264"/>
        <v/>
      </c>
      <c r="N2091" s="311" t="str">
        <f t="shared" si="2265"/>
        <v/>
      </c>
    </row>
    <row r="2092" spans="1:14" s="294" customFormat="1">
      <c r="A2092" s="297" t="s">
        <v>1517</v>
      </c>
      <c r="B2092" s="301"/>
      <c r="C2092" s="299" t="s">
        <v>1496</v>
      </c>
      <c r="D2092" s="299">
        <v>1</v>
      </c>
      <c r="E2092" s="300">
        <v>25</v>
      </c>
      <c r="F2092" s="300">
        <f t="shared" si="2266"/>
        <v>25</v>
      </c>
      <c r="G2092" s="302">
        <f>(0.25*2)+17*0.008*2</f>
        <v>0.77</v>
      </c>
      <c r="H2092" s="310" t="str">
        <f t="shared" si="2259"/>
        <v/>
      </c>
      <c r="I2092" s="311">
        <f t="shared" si="2260"/>
        <v>19.25</v>
      </c>
      <c r="J2092" s="311" t="str">
        <f t="shared" si="2261"/>
        <v/>
      </c>
      <c r="K2092" s="311" t="str">
        <f t="shared" si="2262"/>
        <v/>
      </c>
      <c r="L2092" s="310" t="str">
        <f t="shared" si="2263"/>
        <v/>
      </c>
      <c r="M2092" s="310" t="str">
        <f t="shared" si="2264"/>
        <v/>
      </c>
      <c r="N2092" s="311" t="str">
        <f t="shared" si="2265"/>
        <v/>
      </c>
    </row>
    <row r="2093" spans="1:14">
      <c r="A2093" s="297" t="s">
        <v>1518</v>
      </c>
      <c r="B2093" s="254"/>
      <c r="C2093" s="299" t="s">
        <v>1492</v>
      </c>
      <c r="D2093" s="299">
        <v>1</v>
      </c>
      <c r="E2093" s="300">
        <v>3</v>
      </c>
      <c r="F2093" s="300">
        <f>E2093*D2093</f>
        <v>3</v>
      </c>
      <c r="G2093" s="302">
        <v>3</v>
      </c>
      <c r="H2093" s="310" t="str">
        <f t="shared" si="2259"/>
        <v/>
      </c>
      <c r="I2093" s="311" t="str">
        <f t="shared" si="2260"/>
        <v/>
      </c>
      <c r="J2093" s="311" t="str">
        <f t="shared" si="2261"/>
        <v/>
      </c>
      <c r="K2093" s="311" t="str">
        <f t="shared" si="2262"/>
        <v/>
      </c>
      <c r="L2093" s="310">
        <f t="shared" si="2263"/>
        <v>9</v>
      </c>
      <c r="M2093" s="310" t="str">
        <f t="shared" si="2264"/>
        <v/>
      </c>
      <c r="N2093" s="311" t="str">
        <f t="shared" si="2265"/>
        <v/>
      </c>
    </row>
    <row r="2094" spans="1:14">
      <c r="A2094" s="297"/>
      <c r="B2094" s="254"/>
      <c r="C2094" s="299" t="s">
        <v>1519</v>
      </c>
      <c r="D2094" s="299">
        <v>1</v>
      </c>
      <c r="E2094" s="300">
        <v>3</v>
      </c>
      <c r="F2094" s="300">
        <f>E2094*D2094</f>
        <v>3</v>
      </c>
      <c r="G2094" s="302">
        <v>1.5</v>
      </c>
      <c r="H2094" s="310" t="str">
        <f t="shared" si="2259"/>
        <v/>
      </c>
      <c r="I2094" s="311" t="str">
        <f t="shared" si="2260"/>
        <v/>
      </c>
      <c r="J2094" s="311">
        <f t="shared" si="2261"/>
        <v>4.5</v>
      </c>
      <c r="K2094" s="311" t="str">
        <f t="shared" si="2262"/>
        <v/>
      </c>
      <c r="L2094" s="310" t="str">
        <f t="shared" si="2263"/>
        <v/>
      </c>
      <c r="M2094" s="310" t="str">
        <f t="shared" si="2264"/>
        <v/>
      </c>
      <c r="N2094" s="311" t="str">
        <f t="shared" si="2265"/>
        <v/>
      </c>
    </row>
    <row r="2095" spans="1:14" ht="16.5">
      <c r="A2095" s="303"/>
      <c r="B2095" s="254"/>
      <c r="C2095" s="299"/>
      <c r="D2095" s="299"/>
      <c r="E2095" s="300"/>
      <c r="F2095" s="300"/>
      <c r="G2095" s="302"/>
      <c r="H2095" s="310"/>
      <c r="I2095" s="311"/>
      <c r="J2095" s="311"/>
      <c r="K2095" s="311"/>
      <c r="L2095" s="310"/>
      <c r="M2095" s="310"/>
      <c r="N2095" s="311"/>
    </row>
    <row r="2096" spans="1:14" ht="16.5">
      <c r="A2096" s="303" t="s">
        <v>1452</v>
      </c>
      <c r="B2096" s="254"/>
      <c r="C2096" s="299"/>
      <c r="D2096" s="299"/>
      <c r="E2096" s="300"/>
      <c r="F2096" s="300"/>
      <c r="G2096" s="302"/>
      <c r="H2096" s="310"/>
      <c r="I2096" s="311"/>
      <c r="J2096" s="311"/>
      <c r="K2096" s="311"/>
      <c r="L2096" s="310"/>
      <c r="M2096" s="310"/>
      <c r="N2096" s="311"/>
    </row>
    <row r="2097" spans="1:14" s="294" customFormat="1">
      <c r="A2097" s="297" t="s">
        <v>1515</v>
      </c>
      <c r="B2097" s="298"/>
      <c r="C2097" s="299" t="s">
        <v>1519</v>
      </c>
      <c r="D2097" s="299">
        <v>1</v>
      </c>
      <c r="E2097" s="300">
        <v>3</v>
      </c>
      <c r="F2097" s="300">
        <f>E2097*D2097</f>
        <v>3</v>
      </c>
      <c r="G2097" s="299">
        <f>4.15+17*0.01*2</f>
        <v>4.49</v>
      </c>
      <c r="H2097" s="310" t="str">
        <f t="shared" ref="H2097:H2103" si="2267">IF(C2097="T6",G2097*F2097,"")</f>
        <v/>
      </c>
      <c r="I2097" s="311" t="str">
        <f t="shared" ref="I2097:I2103" si="2268">IF(C2097="T8",F2097*G2097,"")</f>
        <v/>
      </c>
      <c r="J2097" s="311">
        <f t="shared" ref="J2097:J2103" si="2269">IF(C2097="T10",F2097*G2097,"")</f>
        <v>13.47</v>
      </c>
      <c r="K2097" s="311" t="str">
        <f t="shared" ref="K2097:K2103" si="2270">IF(C2097="T12",F2097*G2097,"")</f>
        <v/>
      </c>
      <c r="L2097" s="310" t="str">
        <f t="shared" ref="L2097:L2103" si="2271">IF(C2097="T14",F2097*G2097,"")</f>
        <v/>
      </c>
      <c r="M2097" s="310" t="str">
        <f t="shared" ref="M2097:M2103" si="2272">IF(C2097="T16",G2097*F2097,"")</f>
        <v/>
      </c>
      <c r="N2097" s="311" t="str">
        <f t="shared" ref="N2097:N2103" si="2273">IF(C2097="T20",G2097*F2097,"")</f>
        <v/>
      </c>
    </row>
    <row r="2098" spans="1:14" s="294" customFormat="1">
      <c r="A2098" s="297" t="s">
        <v>1515</v>
      </c>
      <c r="B2098" s="298"/>
      <c r="C2098" s="299" t="s">
        <v>1492</v>
      </c>
      <c r="D2098" s="299">
        <v>1</v>
      </c>
      <c r="E2098" s="300">
        <v>3</v>
      </c>
      <c r="F2098" s="300">
        <f>E2098*D2098</f>
        <v>3</v>
      </c>
      <c r="G2098" s="302">
        <f>(4.15)+17*0.014*2</f>
        <v>4.63</v>
      </c>
      <c r="H2098" s="310" t="str">
        <f t="shared" si="2267"/>
        <v/>
      </c>
      <c r="I2098" s="311" t="str">
        <f t="shared" si="2268"/>
        <v/>
      </c>
      <c r="J2098" s="311" t="str">
        <f t="shared" si="2269"/>
        <v/>
      </c>
      <c r="K2098" s="311" t="str">
        <f t="shared" si="2270"/>
        <v/>
      </c>
      <c r="L2098" s="310">
        <f t="shared" si="2271"/>
        <v>13.89</v>
      </c>
      <c r="M2098" s="310" t="str">
        <f t="shared" si="2272"/>
        <v/>
      </c>
      <c r="N2098" s="311" t="str">
        <f t="shared" si="2273"/>
        <v/>
      </c>
    </row>
    <row r="2099" spans="1:14" s="294" customFormat="1">
      <c r="A2099" s="297"/>
      <c r="B2099" s="298"/>
      <c r="C2099" s="299" t="s">
        <v>1519</v>
      </c>
      <c r="D2099" s="299">
        <v>1</v>
      </c>
      <c r="E2099" s="300">
        <v>2</v>
      </c>
      <c r="F2099" s="300">
        <f>E2099*D2099</f>
        <v>2</v>
      </c>
      <c r="G2099" s="299">
        <v>4.1500000000000004</v>
      </c>
      <c r="H2099" s="310" t="str">
        <f t="shared" si="2267"/>
        <v/>
      </c>
      <c r="I2099" s="311" t="str">
        <f t="shared" si="2268"/>
        <v/>
      </c>
      <c r="J2099" s="311">
        <f t="shared" si="2269"/>
        <v>8.3000000000000007</v>
      </c>
      <c r="K2099" s="311" t="str">
        <f t="shared" si="2270"/>
        <v/>
      </c>
      <c r="L2099" s="310" t="str">
        <f t="shared" si="2271"/>
        <v/>
      </c>
      <c r="M2099" s="310" t="str">
        <f t="shared" si="2272"/>
        <v/>
      </c>
      <c r="N2099" s="311" t="str">
        <f t="shared" si="2273"/>
        <v/>
      </c>
    </row>
    <row r="2100" spans="1:14" s="294" customFormat="1">
      <c r="A2100" s="297" t="s">
        <v>1494</v>
      </c>
      <c r="B2100" s="301"/>
      <c r="C2100" s="299" t="s">
        <v>1496</v>
      </c>
      <c r="D2100" s="299">
        <v>1</v>
      </c>
      <c r="E2100" s="300">
        <f>13+20+13</f>
        <v>46</v>
      </c>
      <c r="F2100" s="300">
        <f t="shared" ref="F2100:F2101" si="2274">E2100*D2100</f>
        <v>46</v>
      </c>
      <c r="G2100" s="302">
        <f>(0.2+0.5)*2+17*0.008*2</f>
        <v>1.67</v>
      </c>
      <c r="H2100" s="310" t="str">
        <f t="shared" si="2267"/>
        <v/>
      </c>
      <c r="I2100" s="311">
        <f t="shared" si="2268"/>
        <v>76.819999999999993</v>
      </c>
      <c r="J2100" s="311" t="str">
        <f t="shared" si="2269"/>
        <v/>
      </c>
      <c r="K2100" s="311" t="str">
        <f t="shared" si="2270"/>
        <v/>
      </c>
      <c r="L2100" s="310" t="str">
        <f t="shared" si="2271"/>
        <v/>
      </c>
      <c r="M2100" s="310" t="str">
        <f t="shared" si="2272"/>
        <v/>
      </c>
      <c r="N2100" s="311" t="str">
        <f t="shared" si="2273"/>
        <v/>
      </c>
    </row>
    <row r="2101" spans="1:14" s="294" customFormat="1">
      <c r="A2101" s="297" t="s">
        <v>1517</v>
      </c>
      <c r="B2101" s="301"/>
      <c r="C2101" s="299" t="s">
        <v>1496</v>
      </c>
      <c r="D2101" s="299">
        <v>1</v>
      </c>
      <c r="E2101" s="300">
        <v>46</v>
      </c>
      <c r="F2101" s="300">
        <f t="shared" si="2274"/>
        <v>46</v>
      </c>
      <c r="G2101" s="302">
        <f>(0.5*2)+17*0.008*2</f>
        <v>1.27</v>
      </c>
      <c r="H2101" s="310" t="str">
        <f t="shared" si="2267"/>
        <v/>
      </c>
      <c r="I2101" s="311">
        <f t="shared" si="2268"/>
        <v>58.42</v>
      </c>
      <c r="J2101" s="311" t="str">
        <f t="shared" si="2269"/>
        <v/>
      </c>
      <c r="K2101" s="311" t="str">
        <f t="shared" si="2270"/>
        <v/>
      </c>
      <c r="L2101" s="310" t="str">
        <f t="shared" si="2271"/>
        <v/>
      </c>
      <c r="M2101" s="310" t="str">
        <f t="shared" si="2272"/>
        <v/>
      </c>
      <c r="N2101" s="311" t="str">
        <f t="shared" si="2273"/>
        <v/>
      </c>
    </row>
    <row r="2102" spans="1:14">
      <c r="A2102" s="297" t="s">
        <v>1518</v>
      </c>
      <c r="B2102" s="254"/>
      <c r="C2102" s="299" t="s">
        <v>1492</v>
      </c>
      <c r="D2102" s="299">
        <v>1</v>
      </c>
      <c r="E2102" s="300">
        <v>6</v>
      </c>
      <c r="F2102" s="300">
        <f>E2102*D2102</f>
        <v>6</v>
      </c>
      <c r="G2102" s="302">
        <v>2.9</v>
      </c>
      <c r="H2102" s="310" t="str">
        <f t="shared" si="2267"/>
        <v/>
      </c>
      <c r="I2102" s="311" t="str">
        <f t="shared" si="2268"/>
        <v/>
      </c>
      <c r="J2102" s="311" t="str">
        <f t="shared" si="2269"/>
        <v/>
      </c>
      <c r="K2102" s="311" t="str">
        <f t="shared" si="2270"/>
        <v/>
      </c>
      <c r="L2102" s="310">
        <f t="shared" si="2271"/>
        <v>17.399999999999999</v>
      </c>
      <c r="M2102" s="310" t="str">
        <f t="shared" si="2272"/>
        <v/>
      </c>
      <c r="N2102" s="311" t="str">
        <f t="shared" si="2273"/>
        <v/>
      </c>
    </row>
    <row r="2103" spans="1:14">
      <c r="A2103" s="253"/>
      <c r="B2103" s="254"/>
      <c r="C2103" s="299" t="s">
        <v>1516</v>
      </c>
      <c r="D2103" s="299">
        <v>1</v>
      </c>
      <c r="E2103" s="300">
        <v>3</v>
      </c>
      <c r="F2103" s="300">
        <f>E2103*D2103</f>
        <v>3</v>
      </c>
      <c r="G2103" s="302">
        <v>3.85</v>
      </c>
      <c r="H2103" s="310" t="str">
        <f t="shared" si="2267"/>
        <v/>
      </c>
      <c r="I2103" s="311" t="str">
        <f t="shared" si="2268"/>
        <v/>
      </c>
      <c r="J2103" s="311" t="str">
        <f t="shared" si="2269"/>
        <v/>
      </c>
      <c r="K2103" s="311">
        <f t="shared" si="2270"/>
        <v>11.55</v>
      </c>
      <c r="L2103" s="310" t="str">
        <f t="shared" si="2271"/>
        <v/>
      </c>
      <c r="M2103" s="310" t="str">
        <f t="shared" si="2272"/>
        <v/>
      </c>
      <c r="N2103" s="311" t="str">
        <f t="shared" si="2273"/>
        <v/>
      </c>
    </row>
    <row r="2104" spans="1:14" ht="16.5">
      <c r="A2104" s="303"/>
      <c r="B2104" s="254"/>
      <c r="C2104" s="299"/>
      <c r="D2104" s="299"/>
      <c r="E2104" s="300"/>
      <c r="F2104" s="300"/>
      <c r="G2104" s="302"/>
      <c r="H2104" s="310"/>
      <c r="I2104" s="311"/>
      <c r="J2104" s="311"/>
      <c r="K2104" s="311"/>
      <c r="L2104" s="310"/>
      <c r="M2104" s="310"/>
      <c r="N2104" s="311"/>
    </row>
    <row r="2105" spans="1:14" ht="16.5">
      <c r="A2105" s="303" t="s">
        <v>1453</v>
      </c>
      <c r="B2105" s="254"/>
      <c r="C2105" s="299"/>
      <c r="D2105" s="299"/>
      <c r="E2105" s="300"/>
      <c r="F2105" s="300"/>
      <c r="G2105" s="302"/>
      <c r="H2105" s="310"/>
      <c r="I2105" s="311"/>
      <c r="J2105" s="311"/>
      <c r="K2105" s="311"/>
      <c r="L2105" s="310"/>
      <c r="M2105" s="310"/>
      <c r="N2105" s="311"/>
    </row>
    <row r="2106" spans="1:14" s="294" customFormat="1">
      <c r="A2106" s="297" t="s">
        <v>1515</v>
      </c>
      <c r="B2106" s="298"/>
      <c r="C2106" s="299" t="s">
        <v>1519</v>
      </c>
      <c r="D2106" s="299">
        <v>1</v>
      </c>
      <c r="E2106" s="300">
        <v>3</v>
      </c>
      <c r="F2106" s="300">
        <f>E2106*D2106</f>
        <v>3</v>
      </c>
      <c r="G2106" s="299">
        <f>2.45+17*0.01*2</f>
        <v>2.79</v>
      </c>
      <c r="H2106" s="310" t="str">
        <f t="shared" ref="H2106:H2111" si="2275">IF(C2106="T6",G2106*F2106,"")</f>
        <v/>
      </c>
      <c r="I2106" s="311" t="str">
        <f t="shared" ref="I2106:I2111" si="2276">IF(C2106="T8",F2106*G2106,"")</f>
        <v/>
      </c>
      <c r="J2106" s="311">
        <f t="shared" ref="J2106:J2111" si="2277">IF(C2106="T10",F2106*G2106,"")</f>
        <v>8.3699999999999992</v>
      </c>
      <c r="K2106" s="311" t="str">
        <f t="shared" ref="K2106:K2111" si="2278">IF(C2106="T12",F2106*G2106,"")</f>
        <v/>
      </c>
      <c r="L2106" s="310" t="str">
        <f t="shared" ref="L2106:L2111" si="2279">IF(C2106="T14",F2106*G2106,"")</f>
        <v/>
      </c>
      <c r="M2106" s="310" t="str">
        <f t="shared" ref="M2106:M2111" si="2280">IF(C2106="T16",G2106*F2106,"")</f>
        <v/>
      </c>
      <c r="N2106" s="311" t="str">
        <f t="shared" ref="N2106:N2111" si="2281">IF(C2106="T20",G2106*F2106,"")</f>
        <v/>
      </c>
    </row>
    <row r="2107" spans="1:14" s="294" customFormat="1">
      <c r="A2107" s="297" t="s">
        <v>1515</v>
      </c>
      <c r="B2107" s="298"/>
      <c r="C2107" s="299" t="s">
        <v>1516</v>
      </c>
      <c r="D2107" s="299">
        <v>1</v>
      </c>
      <c r="E2107" s="300">
        <v>3</v>
      </c>
      <c r="F2107" s="300">
        <f>E2107*D2107</f>
        <v>3</v>
      </c>
      <c r="G2107" s="302">
        <f>(2.45)+17*0.012*2</f>
        <v>2.86</v>
      </c>
      <c r="H2107" s="310" t="str">
        <f t="shared" si="2275"/>
        <v/>
      </c>
      <c r="I2107" s="311" t="str">
        <f t="shared" si="2276"/>
        <v/>
      </c>
      <c r="J2107" s="311" t="str">
        <f t="shared" si="2277"/>
        <v/>
      </c>
      <c r="K2107" s="311">
        <f t="shared" si="2278"/>
        <v>8.58</v>
      </c>
      <c r="L2107" s="310" t="str">
        <f t="shared" si="2279"/>
        <v/>
      </c>
      <c r="M2107" s="310" t="str">
        <f t="shared" si="2280"/>
        <v/>
      </c>
      <c r="N2107" s="311" t="str">
        <f t="shared" si="2281"/>
        <v/>
      </c>
    </row>
    <row r="2108" spans="1:14" s="294" customFormat="1">
      <c r="A2108" s="297" t="s">
        <v>1494</v>
      </c>
      <c r="B2108" s="301"/>
      <c r="C2108" s="299" t="s">
        <v>1496</v>
      </c>
      <c r="D2108" s="299">
        <v>1</v>
      </c>
      <c r="E2108" s="300">
        <f>8+9+8</f>
        <v>25</v>
      </c>
      <c r="F2108" s="300">
        <f t="shared" ref="F2108:F2109" si="2282">E2108*D2108</f>
        <v>25</v>
      </c>
      <c r="G2108" s="302">
        <f>(0.2+0.25)*2+17*0.008*2</f>
        <v>1.17</v>
      </c>
      <c r="H2108" s="310" t="str">
        <f t="shared" si="2275"/>
        <v/>
      </c>
      <c r="I2108" s="311">
        <f t="shared" si="2276"/>
        <v>29.25</v>
      </c>
      <c r="J2108" s="311" t="str">
        <f t="shared" si="2277"/>
        <v/>
      </c>
      <c r="K2108" s="311" t="str">
        <f t="shared" si="2278"/>
        <v/>
      </c>
      <c r="L2108" s="310" t="str">
        <f t="shared" si="2279"/>
        <v/>
      </c>
      <c r="M2108" s="310" t="str">
        <f t="shared" si="2280"/>
        <v/>
      </c>
      <c r="N2108" s="311" t="str">
        <f t="shared" si="2281"/>
        <v/>
      </c>
    </row>
    <row r="2109" spans="1:14" s="294" customFormat="1">
      <c r="A2109" s="297" t="s">
        <v>1517</v>
      </c>
      <c r="B2109" s="301"/>
      <c r="C2109" s="299" t="s">
        <v>1496</v>
      </c>
      <c r="D2109" s="299">
        <v>1</v>
      </c>
      <c r="E2109" s="300">
        <v>25</v>
      </c>
      <c r="F2109" s="300">
        <f t="shared" si="2282"/>
        <v>25</v>
      </c>
      <c r="G2109" s="302">
        <f>(0.25*2)+17*0.008*2</f>
        <v>0.77</v>
      </c>
      <c r="H2109" s="310" t="str">
        <f t="shared" si="2275"/>
        <v/>
      </c>
      <c r="I2109" s="311">
        <f t="shared" si="2276"/>
        <v>19.25</v>
      </c>
      <c r="J2109" s="311" t="str">
        <f t="shared" si="2277"/>
        <v/>
      </c>
      <c r="K2109" s="311" t="str">
        <f t="shared" si="2278"/>
        <v/>
      </c>
      <c r="L2109" s="310" t="str">
        <f t="shared" si="2279"/>
        <v/>
      </c>
      <c r="M2109" s="310" t="str">
        <f t="shared" si="2280"/>
        <v/>
      </c>
      <c r="N2109" s="311" t="str">
        <f t="shared" si="2281"/>
        <v/>
      </c>
    </row>
    <row r="2110" spans="1:14">
      <c r="A2110" s="297" t="s">
        <v>1518</v>
      </c>
      <c r="B2110" s="254"/>
      <c r="C2110" s="299" t="s">
        <v>1492</v>
      </c>
      <c r="D2110" s="299">
        <v>1</v>
      </c>
      <c r="E2110" s="300">
        <v>3</v>
      </c>
      <c r="F2110" s="300">
        <f>E2110*D2110</f>
        <v>3</v>
      </c>
      <c r="G2110" s="302">
        <v>3</v>
      </c>
      <c r="H2110" s="310" t="str">
        <f t="shared" si="2275"/>
        <v/>
      </c>
      <c r="I2110" s="311" t="str">
        <f t="shared" si="2276"/>
        <v/>
      </c>
      <c r="J2110" s="311" t="str">
        <f t="shared" si="2277"/>
        <v/>
      </c>
      <c r="K2110" s="311" t="str">
        <f t="shared" si="2278"/>
        <v/>
      </c>
      <c r="L2110" s="310">
        <f t="shared" si="2279"/>
        <v>9</v>
      </c>
      <c r="M2110" s="310" t="str">
        <f t="shared" si="2280"/>
        <v/>
      </c>
      <c r="N2110" s="311" t="str">
        <f t="shared" si="2281"/>
        <v/>
      </c>
    </row>
    <row r="2111" spans="1:14">
      <c r="A2111" s="297"/>
      <c r="B2111" s="254"/>
      <c r="C2111" s="299" t="s">
        <v>1519</v>
      </c>
      <c r="D2111" s="299">
        <v>1</v>
      </c>
      <c r="E2111" s="300">
        <v>3</v>
      </c>
      <c r="F2111" s="300">
        <f>E2111*D2111</f>
        <v>3</v>
      </c>
      <c r="G2111" s="302">
        <v>1.5</v>
      </c>
      <c r="H2111" s="310" t="str">
        <f t="shared" si="2275"/>
        <v/>
      </c>
      <c r="I2111" s="311" t="str">
        <f t="shared" si="2276"/>
        <v/>
      </c>
      <c r="J2111" s="311">
        <f t="shared" si="2277"/>
        <v>4.5</v>
      </c>
      <c r="K2111" s="311" t="str">
        <f t="shared" si="2278"/>
        <v/>
      </c>
      <c r="L2111" s="310" t="str">
        <f t="shared" si="2279"/>
        <v/>
      </c>
      <c r="M2111" s="310" t="str">
        <f t="shared" si="2280"/>
        <v/>
      </c>
      <c r="N2111" s="311" t="str">
        <f t="shared" si="2281"/>
        <v/>
      </c>
    </row>
    <row r="2112" spans="1:14" ht="16.5">
      <c r="A2112" s="303"/>
      <c r="B2112" s="254"/>
      <c r="C2112" s="299"/>
      <c r="D2112" s="299"/>
      <c r="E2112" s="300"/>
      <c r="F2112" s="300"/>
      <c r="G2112" s="302"/>
      <c r="H2112" s="310"/>
      <c r="I2112" s="311"/>
      <c r="J2112" s="311"/>
      <c r="K2112" s="311"/>
      <c r="L2112" s="310"/>
      <c r="M2112" s="310"/>
      <c r="N2112" s="311"/>
    </row>
    <row r="2113" spans="1:14" ht="16.5">
      <c r="A2113" s="303" t="s">
        <v>1454</v>
      </c>
      <c r="B2113" s="254"/>
      <c r="C2113" s="299"/>
      <c r="D2113" s="299"/>
      <c r="E2113" s="300"/>
      <c r="F2113" s="300"/>
      <c r="G2113" s="302"/>
      <c r="H2113" s="310"/>
      <c r="I2113" s="311"/>
      <c r="J2113" s="311"/>
      <c r="K2113" s="311"/>
      <c r="L2113" s="310"/>
      <c r="M2113" s="310"/>
      <c r="N2113" s="311"/>
    </row>
    <row r="2114" spans="1:14" s="294" customFormat="1">
      <c r="A2114" s="297" t="s">
        <v>1515</v>
      </c>
      <c r="B2114" s="298"/>
      <c r="C2114" s="299" t="s">
        <v>1519</v>
      </c>
      <c r="D2114" s="299">
        <v>1</v>
      </c>
      <c r="E2114" s="300">
        <v>3</v>
      </c>
      <c r="F2114" s="300">
        <f>E2114*D2114</f>
        <v>3</v>
      </c>
      <c r="G2114" s="299">
        <f>3.9+17*0.01*2</f>
        <v>4.24</v>
      </c>
      <c r="H2114" s="310" t="str">
        <f t="shared" ref="H2114:H2120" si="2283">IF(C2114="T6",G2114*F2114,"")</f>
        <v/>
      </c>
      <c r="I2114" s="311" t="str">
        <f t="shared" ref="I2114:I2120" si="2284">IF(C2114="T8",F2114*G2114,"")</f>
        <v/>
      </c>
      <c r="J2114" s="311">
        <f t="shared" ref="J2114:J2120" si="2285">IF(C2114="T10",F2114*G2114,"")</f>
        <v>12.72</v>
      </c>
      <c r="K2114" s="311" t="str">
        <f t="shared" ref="K2114:K2120" si="2286">IF(C2114="T12",F2114*G2114,"")</f>
        <v/>
      </c>
      <c r="L2114" s="310" t="str">
        <f t="shared" ref="L2114:L2120" si="2287">IF(C2114="T14",F2114*G2114,"")</f>
        <v/>
      </c>
      <c r="M2114" s="310" t="str">
        <f t="shared" ref="M2114:M2120" si="2288">IF(C2114="T16",G2114*F2114,"")</f>
        <v/>
      </c>
      <c r="N2114" s="311" t="str">
        <f t="shared" ref="N2114:N2120" si="2289">IF(C2114="T20",G2114*F2114,"")</f>
        <v/>
      </c>
    </row>
    <row r="2115" spans="1:14" s="294" customFormat="1">
      <c r="A2115" s="297" t="s">
        <v>1515</v>
      </c>
      <c r="B2115" s="298"/>
      <c r="C2115" s="299" t="s">
        <v>1516</v>
      </c>
      <c r="D2115" s="299">
        <v>1</v>
      </c>
      <c r="E2115" s="300">
        <v>3</v>
      </c>
      <c r="F2115" s="300">
        <f>E2115*D2115</f>
        <v>3</v>
      </c>
      <c r="G2115" s="302">
        <f>(3.9)+17*0.012*2</f>
        <v>4.3099999999999996</v>
      </c>
      <c r="H2115" s="310" t="str">
        <f t="shared" si="2283"/>
        <v/>
      </c>
      <c r="I2115" s="311" t="str">
        <f t="shared" si="2284"/>
        <v/>
      </c>
      <c r="J2115" s="311" t="str">
        <f t="shared" si="2285"/>
        <v/>
      </c>
      <c r="K2115" s="311">
        <f t="shared" si="2286"/>
        <v>12.93</v>
      </c>
      <c r="L2115" s="310" t="str">
        <f t="shared" si="2287"/>
        <v/>
      </c>
      <c r="M2115" s="310" t="str">
        <f t="shared" si="2288"/>
        <v/>
      </c>
      <c r="N2115" s="311" t="str">
        <f t="shared" si="2289"/>
        <v/>
      </c>
    </row>
    <row r="2116" spans="1:14" s="294" customFormat="1">
      <c r="A2116" s="297" t="s">
        <v>1494</v>
      </c>
      <c r="B2116" s="301"/>
      <c r="C2116" s="299" t="s">
        <v>1496</v>
      </c>
      <c r="D2116" s="299">
        <v>1</v>
      </c>
      <c r="E2116" s="300">
        <f>12+12+11</f>
        <v>35</v>
      </c>
      <c r="F2116" s="300">
        <f t="shared" ref="F2116:F2117" si="2290">E2116*D2116</f>
        <v>35</v>
      </c>
      <c r="G2116" s="302">
        <f>(0.2+0.35)*2+17*0.008*2</f>
        <v>1.37</v>
      </c>
      <c r="H2116" s="310" t="str">
        <f t="shared" si="2283"/>
        <v/>
      </c>
      <c r="I2116" s="311">
        <f t="shared" si="2284"/>
        <v>47.95</v>
      </c>
      <c r="J2116" s="311" t="str">
        <f t="shared" si="2285"/>
        <v/>
      </c>
      <c r="K2116" s="311" t="str">
        <f t="shared" si="2286"/>
        <v/>
      </c>
      <c r="L2116" s="310" t="str">
        <f t="shared" si="2287"/>
        <v/>
      </c>
      <c r="M2116" s="310" t="str">
        <f t="shared" si="2288"/>
        <v/>
      </c>
      <c r="N2116" s="311" t="str">
        <f t="shared" si="2289"/>
        <v/>
      </c>
    </row>
    <row r="2117" spans="1:14" s="294" customFormat="1">
      <c r="A2117" s="297" t="s">
        <v>1517</v>
      </c>
      <c r="B2117" s="301"/>
      <c r="C2117" s="299" t="s">
        <v>1496</v>
      </c>
      <c r="D2117" s="299">
        <v>1</v>
      </c>
      <c r="E2117" s="300">
        <v>35</v>
      </c>
      <c r="F2117" s="300">
        <f t="shared" si="2290"/>
        <v>35</v>
      </c>
      <c r="G2117" s="302">
        <f>(0.35*2)+17*0.008*2</f>
        <v>0.97</v>
      </c>
      <c r="H2117" s="310" t="str">
        <f t="shared" si="2283"/>
        <v/>
      </c>
      <c r="I2117" s="311">
        <f t="shared" si="2284"/>
        <v>33.950000000000003</v>
      </c>
      <c r="J2117" s="311" t="str">
        <f t="shared" si="2285"/>
        <v/>
      </c>
      <c r="K2117" s="311" t="str">
        <f t="shared" si="2286"/>
        <v/>
      </c>
      <c r="L2117" s="310" t="str">
        <f t="shared" si="2287"/>
        <v/>
      </c>
      <c r="M2117" s="310" t="str">
        <f t="shared" si="2288"/>
        <v/>
      </c>
      <c r="N2117" s="311" t="str">
        <f t="shared" si="2289"/>
        <v/>
      </c>
    </row>
    <row r="2118" spans="1:14">
      <c r="A2118" s="297" t="s">
        <v>1518</v>
      </c>
      <c r="B2118" s="254"/>
      <c r="C2118" s="299" t="s">
        <v>1492</v>
      </c>
      <c r="D2118" s="299">
        <v>1</v>
      </c>
      <c r="E2118" s="300">
        <v>3</v>
      </c>
      <c r="F2118" s="300">
        <f>E2118*D2118</f>
        <v>3</v>
      </c>
      <c r="G2118" s="302">
        <v>3.2</v>
      </c>
      <c r="H2118" s="310" t="str">
        <f t="shared" si="2283"/>
        <v/>
      </c>
      <c r="I2118" s="311" t="str">
        <f t="shared" si="2284"/>
        <v/>
      </c>
      <c r="J2118" s="311" t="str">
        <f t="shared" si="2285"/>
        <v/>
      </c>
      <c r="K2118" s="311" t="str">
        <f t="shared" si="2286"/>
        <v/>
      </c>
      <c r="L2118" s="310">
        <f t="shared" si="2287"/>
        <v>9.6</v>
      </c>
      <c r="M2118" s="310" t="str">
        <f t="shared" si="2288"/>
        <v/>
      </c>
      <c r="N2118" s="311" t="str">
        <f t="shared" si="2289"/>
        <v/>
      </c>
    </row>
    <row r="2119" spans="1:14">
      <c r="A2119" s="297"/>
      <c r="B2119" s="254"/>
      <c r="C2119" s="299" t="s">
        <v>1492</v>
      </c>
      <c r="D2119" s="299">
        <v>1</v>
      </c>
      <c r="E2119" s="300">
        <v>3</v>
      </c>
      <c r="F2119" s="300">
        <f>E2119*D2119</f>
        <v>3</v>
      </c>
      <c r="G2119" s="302">
        <v>2.2000000000000002</v>
      </c>
      <c r="H2119" s="310" t="str">
        <f t="shared" ref="H2119" si="2291">IF(C2119="T6",G2119*F2119,"")</f>
        <v/>
      </c>
      <c r="I2119" s="311" t="str">
        <f t="shared" ref="I2119" si="2292">IF(C2119="T8",F2119*G2119,"")</f>
        <v/>
      </c>
      <c r="J2119" s="311" t="str">
        <f t="shared" ref="J2119" si="2293">IF(C2119="T10",F2119*G2119,"")</f>
        <v/>
      </c>
      <c r="K2119" s="311" t="str">
        <f t="shared" ref="K2119" si="2294">IF(C2119="T12",F2119*G2119,"")</f>
        <v/>
      </c>
      <c r="L2119" s="310">
        <f t="shared" ref="L2119" si="2295">IF(C2119="T14",F2119*G2119,"")</f>
        <v>6.6</v>
      </c>
      <c r="M2119" s="310" t="str">
        <f t="shared" ref="M2119" si="2296">IF(C2119="T16",G2119*F2119,"")</f>
        <v/>
      </c>
      <c r="N2119" s="311" t="str">
        <f t="shared" ref="N2119" si="2297">IF(C2119="T20",G2119*F2119,"")</f>
        <v/>
      </c>
    </row>
    <row r="2120" spans="1:14">
      <c r="A2120" s="297"/>
      <c r="B2120" s="254"/>
      <c r="C2120" s="299" t="s">
        <v>1516</v>
      </c>
      <c r="D2120" s="299">
        <v>1</v>
      </c>
      <c r="E2120" s="300">
        <v>3</v>
      </c>
      <c r="F2120" s="300">
        <f>E2120*D2120</f>
        <v>3</v>
      </c>
      <c r="G2120" s="302">
        <v>4.8</v>
      </c>
      <c r="H2120" s="310" t="str">
        <f t="shared" si="2283"/>
        <v/>
      </c>
      <c r="I2120" s="311" t="str">
        <f t="shared" si="2284"/>
        <v/>
      </c>
      <c r="J2120" s="311" t="str">
        <f t="shared" si="2285"/>
        <v/>
      </c>
      <c r="K2120" s="311">
        <f t="shared" si="2286"/>
        <v>14.4</v>
      </c>
      <c r="L2120" s="310" t="str">
        <f t="shared" si="2287"/>
        <v/>
      </c>
      <c r="M2120" s="310" t="str">
        <f t="shared" si="2288"/>
        <v/>
      </c>
      <c r="N2120" s="311" t="str">
        <f t="shared" si="2289"/>
        <v/>
      </c>
    </row>
    <row r="2121" spans="1:14" ht="16.5">
      <c r="A2121" s="303"/>
      <c r="B2121" s="254"/>
      <c r="C2121" s="299"/>
      <c r="D2121" s="299"/>
      <c r="E2121" s="300"/>
      <c r="F2121" s="300"/>
      <c r="G2121" s="302"/>
      <c r="H2121" s="310"/>
      <c r="I2121" s="311"/>
      <c r="J2121" s="311"/>
      <c r="K2121" s="311"/>
      <c r="L2121" s="310"/>
      <c r="M2121" s="310"/>
      <c r="N2121" s="311"/>
    </row>
    <row r="2122" spans="1:14" ht="16.5">
      <c r="A2122" s="303" t="s">
        <v>1455</v>
      </c>
      <c r="B2122" s="254"/>
      <c r="C2122" s="299"/>
      <c r="D2122" s="299"/>
      <c r="E2122" s="300"/>
      <c r="F2122" s="300"/>
      <c r="G2122" s="302"/>
      <c r="H2122" s="310"/>
      <c r="I2122" s="311"/>
      <c r="J2122" s="311"/>
      <c r="K2122" s="311"/>
      <c r="L2122" s="310"/>
      <c r="M2122" s="310"/>
      <c r="N2122" s="311"/>
    </row>
    <row r="2123" spans="1:14" s="294" customFormat="1">
      <c r="A2123" s="297" t="s">
        <v>1515</v>
      </c>
      <c r="B2123" s="298"/>
      <c r="C2123" s="299" t="s">
        <v>1519</v>
      </c>
      <c r="D2123" s="299">
        <v>1</v>
      </c>
      <c r="E2123" s="300">
        <v>3</v>
      </c>
      <c r="F2123" s="300">
        <f>E2123*D2123</f>
        <v>3</v>
      </c>
      <c r="G2123" s="299">
        <f>2.2+17*0.01*2</f>
        <v>2.54</v>
      </c>
      <c r="H2123" s="310" t="str">
        <f t="shared" ref="H2123:H2128" si="2298">IF(C2123="T6",G2123*F2123,"")</f>
        <v/>
      </c>
      <c r="I2123" s="311" t="str">
        <f t="shared" ref="I2123:I2128" si="2299">IF(C2123="T8",F2123*G2123,"")</f>
        <v/>
      </c>
      <c r="J2123" s="311">
        <f t="shared" ref="J2123:J2128" si="2300">IF(C2123="T10",F2123*G2123,"")</f>
        <v>7.62</v>
      </c>
      <c r="K2123" s="311" t="str">
        <f t="shared" ref="K2123:K2128" si="2301">IF(C2123="T12",F2123*G2123,"")</f>
        <v/>
      </c>
      <c r="L2123" s="310" t="str">
        <f t="shared" ref="L2123:L2128" si="2302">IF(C2123="T14",F2123*G2123,"")</f>
        <v/>
      </c>
      <c r="M2123" s="310" t="str">
        <f t="shared" ref="M2123:M2128" si="2303">IF(C2123="T16",G2123*F2123,"")</f>
        <v/>
      </c>
      <c r="N2123" s="311" t="str">
        <f t="shared" ref="N2123:N2128" si="2304">IF(C2123="T20",G2123*F2123,"")</f>
        <v/>
      </c>
    </row>
    <row r="2124" spans="1:14" s="294" customFormat="1">
      <c r="A2124" s="297" t="s">
        <v>1515</v>
      </c>
      <c r="B2124" s="298"/>
      <c r="C2124" s="299" t="s">
        <v>1492</v>
      </c>
      <c r="D2124" s="299">
        <v>1</v>
      </c>
      <c r="E2124" s="300">
        <v>3</v>
      </c>
      <c r="F2124" s="300">
        <f>E2124*D2124</f>
        <v>3</v>
      </c>
      <c r="G2124" s="302">
        <f>(2.2)+17*0.014*2</f>
        <v>2.68</v>
      </c>
      <c r="H2124" s="310" t="str">
        <f t="shared" si="2298"/>
        <v/>
      </c>
      <c r="I2124" s="311" t="str">
        <f t="shared" si="2299"/>
        <v/>
      </c>
      <c r="J2124" s="311" t="str">
        <f t="shared" si="2300"/>
        <v/>
      </c>
      <c r="K2124" s="311" t="str">
        <f t="shared" si="2301"/>
        <v/>
      </c>
      <c r="L2124" s="310">
        <f t="shared" si="2302"/>
        <v>8.0399999999999991</v>
      </c>
      <c r="M2124" s="310" t="str">
        <f t="shared" si="2303"/>
        <v/>
      </c>
      <c r="N2124" s="311" t="str">
        <f t="shared" si="2304"/>
        <v/>
      </c>
    </row>
    <row r="2125" spans="1:14" s="294" customFormat="1">
      <c r="A2125" s="297" t="s">
        <v>1494</v>
      </c>
      <c r="B2125" s="301"/>
      <c r="C2125" s="299" t="s">
        <v>1496</v>
      </c>
      <c r="D2125" s="299">
        <v>1</v>
      </c>
      <c r="E2125" s="300">
        <f>7+8+7</f>
        <v>22</v>
      </c>
      <c r="F2125" s="300">
        <f t="shared" ref="F2125:F2126" si="2305">E2125*D2125</f>
        <v>22</v>
      </c>
      <c r="G2125" s="302">
        <f>(0.2+0.3)*2+17*0.008*2</f>
        <v>1.27</v>
      </c>
      <c r="H2125" s="310" t="str">
        <f t="shared" si="2298"/>
        <v/>
      </c>
      <c r="I2125" s="311">
        <f t="shared" si="2299"/>
        <v>27.94</v>
      </c>
      <c r="J2125" s="311" t="str">
        <f t="shared" si="2300"/>
        <v/>
      </c>
      <c r="K2125" s="311" t="str">
        <f t="shared" si="2301"/>
        <v/>
      </c>
      <c r="L2125" s="310" t="str">
        <f t="shared" si="2302"/>
        <v/>
      </c>
      <c r="M2125" s="310" t="str">
        <f t="shared" si="2303"/>
        <v/>
      </c>
      <c r="N2125" s="311" t="str">
        <f t="shared" si="2304"/>
        <v/>
      </c>
    </row>
    <row r="2126" spans="1:14" s="294" customFormat="1">
      <c r="A2126" s="297" t="s">
        <v>1517</v>
      </c>
      <c r="B2126" s="301"/>
      <c r="C2126" s="299" t="s">
        <v>1496</v>
      </c>
      <c r="D2126" s="299">
        <v>1</v>
      </c>
      <c r="E2126" s="300">
        <v>22</v>
      </c>
      <c r="F2126" s="300">
        <f t="shared" si="2305"/>
        <v>22</v>
      </c>
      <c r="G2126" s="302">
        <f>(0.3*2)+17*0.008*2</f>
        <v>0.87</v>
      </c>
      <c r="H2126" s="310" t="str">
        <f t="shared" si="2298"/>
        <v/>
      </c>
      <c r="I2126" s="311">
        <f t="shared" si="2299"/>
        <v>19.14</v>
      </c>
      <c r="J2126" s="311" t="str">
        <f t="shared" si="2300"/>
        <v/>
      </c>
      <c r="K2126" s="311" t="str">
        <f t="shared" si="2301"/>
        <v/>
      </c>
      <c r="L2126" s="310" t="str">
        <f t="shared" si="2302"/>
        <v/>
      </c>
      <c r="M2126" s="310" t="str">
        <f t="shared" si="2303"/>
        <v/>
      </c>
      <c r="N2126" s="311" t="str">
        <f t="shared" si="2304"/>
        <v/>
      </c>
    </row>
    <row r="2127" spans="1:14">
      <c r="A2127" s="297" t="s">
        <v>1518</v>
      </c>
      <c r="B2127" s="254"/>
      <c r="C2127" s="299" t="s">
        <v>1492</v>
      </c>
      <c r="D2127" s="299">
        <v>1</v>
      </c>
      <c r="E2127" s="300">
        <v>3</v>
      </c>
      <c r="F2127" s="300">
        <f>E2127*D2127</f>
        <v>3</v>
      </c>
      <c r="G2127" s="302">
        <v>3.2</v>
      </c>
      <c r="H2127" s="310" t="str">
        <f t="shared" si="2298"/>
        <v/>
      </c>
      <c r="I2127" s="311" t="str">
        <f t="shared" si="2299"/>
        <v/>
      </c>
      <c r="J2127" s="311" t="str">
        <f t="shared" si="2300"/>
        <v/>
      </c>
      <c r="K2127" s="311" t="str">
        <f t="shared" si="2301"/>
        <v/>
      </c>
      <c r="L2127" s="310">
        <f t="shared" si="2302"/>
        <v>9.6</v>
      </c>
      <c r="M2127" s="310" t="str">
        <f t="shared" si="2303"/>
        <v/>
      </c>
      <c r="N2127" s="311" t="str">
        <f t="shared" si="2304"/>
        <v/>
      </c>
    </row>
    <row r="2128" spans="1:14">
      <c r="A2128" s="297"/>
      <c r="B2128" s="254"/>
      <c r="C2128" s="299" t="s">
        <v>1516</v>
      </c>
      <c r="D2128" s="299">
        <v>1</v>
      </c>
      <c r="E2128" s="300">
        <v>3</v>
      </c>
      <c r="F2128" s="300">
        <f>E2128*D2128</f>
        <v>3</v>
      </c>
      <c r="G2128" s="302">
        <v>1</v>
      </c>
      <c r="H2128" s="310" t="str">
        <f t="shared" si="2298"/>
        <v/>
      </c>
      <c r="I2128" s="311" t="str">
        <f t="shared" si="2299"/>
        <v/>
      </c>
      <c r="J2128" s="311" t="str">
        <f t="shared" si="2300"/>
        <v/>
      </c>
      <c r="K2128" s="311">
        <f t="shared" si="2301"/>
        <v>3</v>
      </c>
      <c r="L2128" s="310" t="str">
        <f t="shared" si="2302"/>
        <v/>
      </c>
      <c r="M2128" s="310" t="str">
        <f t="shared" si="2303"/>
        <v/>
      </c>
      <c r="N2128" s="311" t="str">
        <f t="shared" si="2304"/>
        <v/>
      </c>
    </row>
    <row r="2129" spans="1:14" ht="16.5">
      <c r="A2129" s="303" t="s">
        <v>1390</v>
      </c>
      <c r="B2129" s="254"/>
      <c r="C2129" s="299"/>
      <c r="D2129" s="299"/>
      <c r="E2129" s="300"/>
      <c r="F2129" s="300"/>
      <c r="G2129" s="302"/>
      <c r="H2129" s="310"/>
      <c r="I2129" s="311"/>
      <c r="J2129" s="311"/>
      <c r="K2129" s="311"/>
      <c r="L2129" s="310"/>
      <c r="M2129" s="310"/>
      <c r="N2129" s="311"/>
    </row>
    <row r="2130" spans="1:14" s="294" customFormat="1">
      <c r="A2130" s="297" t="s">
        <v>1515</v>
      </c>
      <c r="B2130" s="298"/>
      <c r="C2130" s="299" t="s">
        <v>1519</v>
      </c>
      <c r="D2130" s="299">
        <v>2</v>
      </c>
      <c r="E2130" s="300">
        <v>6</v>
      </c>
      <c r="F2130" s="300">
        <f>E2130*D2130</f>
        <v>12</v>
      </c>
      <c r="G2130" s="299">
        <f>2.45+17*0.01*2</f>
        <v>2.79</v>
      </c>
      <c r="H2130" s="310" t="str">
        <f t="shared" ref="H2130:H2133" si="2306">IF(C2130="T6",G2130*F2130,"")</f>
        <v/>
      </c>
      <c r="I2130" s="311" t="str">
        <f t="shared" ref="I2130:I2133" si="2307">IF(C2130="T8",F2130*G2130,"")</f>
        <v/>
      </c>
      <c r="J2130" s="311">
        <f t="shared" ref="J2130:J2133" si="2308">IF(C2130="T10",F2130*G2130,"")</f>
        <v>33.479999999999997</v>
      </c>
      <c r="K2130" s="311" t="str">
        <f t="shared" ref="K2130:K2133" si="2309">IF(C2130="T12",F2130*G2130,"")</f>
        <v/>
      </c>
      <c r="L2130" s="310" t="str">
        <f t="shared" ref="L2130:L2133" si="2310">IF(C2130="T14",F2130*G2130,"")</f>
        <v/>
      </c>
      <c r="M2130" s="310" t="str">
        <f t="shared" ref="M2130:M2133" si="2311">IF(C2130="T16",G2130*F2130,"")</f>
        <v/>
      </c>
      <c r="N2130" s="311" t="str">
        <f t="shared" ref="N2130:N2133" si="2312">IF(C2130="T20",G2130*F2130,"")</f>
        <v/>
      </c>
    </row>
    <row r="2131" spans="1:14" s="294" customFormat="1">
      <c r="A2131" s="297" t="s">
        <v>1515</v>
      </c>
      <c r="B2131" s="298"/>
      <c r="C2131" s="299" t="s">
        <v>1516</v>
      </c>
      <c r="D2131" s="299">
        <v>2</v>
      </c>
      <c r="E2131" s="300">
        <v>3</v>
      </c>
      <c r="F2131" s="300">
        <f>E2131*D2131</f>
        <v>6</v>
      </c>
      <c r="G2131" s="302">
        <f>(2.45)+17*0.012*2</f>
        <v>2.86</v>
      </c>
      <c r="H2131" s="310" t="str">
        <f t="shared" si="2306"/>
        <v/>
      </c>
      <c r="I2131" s="311" t="str">
        <f t="shared" si="2307"/>
        <v/>
      </c>
      <c r="J2131" s="311" t="str">
        <f t="shared" si="2308"/>
        <v/>
      </c>
      <c r="K2131" s="311">
        <f t="shared" si="2309"/>
        <v>17.16</v>
      </c>
      <c r="L2131" s="310" t="str">
        <f t="shared" si="2310"/>
        <v/>
      </c>
      <c r="M2131" s="310" t="str">
        <f t="shared" si="2311"/>
        <v/>
      </c>
      <c r="N2131" s="311" t="str">
        <f t="shared" si="2312"/>
        <v/>
      </c>
    </row>
    <row r="2132" spans="1:14" s="294" customFormat="1">
      <c r="A2132" s="297" t="s">
        <v>1494</v>
      </c>
      <c r="B2132" s="301"/>
      <c r="C2132" s="299" t="s">
        <v>1496</v>
      </c>
      <c r="D2132" s="299">
        <v>2</v>
      </c>
      <c r="E2132" s="300">
        <f>2.45/0.15</f>
        <v>16</v>
      </c>
      <c r="F2132" s="300">
        <f t="shared" ref="F2132:F2133" si="2313">E2132*D2132</f>
        <v>32</v>
      </c>
      <c r="G2132" s="302">
        <f>(0.2+0.2)*2+17*0.008*2</f>
        <v>1.07</v>
      </c>
      <c r="H2132" s="310" t="str">
        <f t="shared" si="2306"/>
        <v/>
      </c>
      <c r="I2132" s="311">
        <f t="shared" si="2307"/>
        <v>34.24</v>
      </c>
      <c r="J2132" s="311" t="str">
        <f t="shared" si="2308"/>
        <v/>
      </c>
      <c r="K2132" s="311" t="str">
        <f t="shared" si="2309"/>
        <v/>
      </c>
      <c r="L2132" s="310" t="str">
        <f t="shared" si="2310"/>
        <v/>
      </c>
      <c r="M2132" s="310" t="str">
        <f t="shared" si="2311"/>
        <v/>
      </c>
      <c r="N2132" s="311" t="str">
        <f t="shared" si="2312"/>
        <v/>
      </c>
    </row>
    <row r="2133" spans="1:14" s="294" customFormat="1">
      <c r="A2133" s="297" t="s">
        <v>1517</v>
      </c>
      <c r="B2133" s="301"/>
      <c r="C2133" s="299" t="s">
        <v>1496</v>
      </c>
      <c r="D2133" s="299">
        <v>2</v>
      </c>
      <c r="E2133" s="300">
        <v>16</v>
      </c>
      <c r="F2133" s="300">
        <f t="shared" si="2313"/>
        <v>32</v>
      </c>
      <c r="G2133" s="302">
        <f>(0.2*2)+17*0.008*2</f>
        <v>0.67</v>
      </c>
      <c r="H2133" s="310" t="str">
        <f t="shared" si="2306"/>
        <v/>
      </c>
      <c r="I2133" s="311">
        <f t="shared" si="2307"/>
        <v>21.44</v>
      </c>
      <c r="J2133" s="311" t="str">
        <f t="shared" si="2308"/>
        <v/>
      </c>
      <c r="K2133" s="311" t="str">
        <f t="shared" si="2309"/>
        <v/>
      </c>
      <c r="L2133" s="310" t="str">
        <f t="shared" si="2310"/>
        <v/>
      </c>
      <c r="M2133" s="310" t="str">
        <f t="shared" si="2311"/>
        <v/>
      </c>
      <c r="N2133" s="311" t="str">
        <f t="shared" si="2312"/>
        <v/>
      </c>
    </row>
    <row r="2134" spans="1:14" ht="16.5">
      <c r="A2134" s="305"/>
      <c r="B2134" s="254"/>
      <c r="C2134" s="299"/>
      <c r="D2134" s="299"/>
      <c r="E2134" s="300"/>
      <c r="F2134" s="300"/>
      <c r="G2134" s="302"/>
      <c r="H2134" s="310"/>
      <c r="I2134" s="311"/>
      <c r="J2134" s="311"/>
      <c r="K2134" s="311"/>
      <c r="L2134" s="310"/>
      <c r="M2134" s="310"/>
      <c r="N2134" s="311"/>
    </row>
    <row r="2135" spans="1:14" ht="16.5">
      <c r="A2135" s="303" t="s">
        <v>1390</v>
      </c>
      <c r="B2135" s="254"/>
      <c r="C2135" s="299"/>
      <c r="D2135" s="299"/>
      <c r="E2135" s="300"/>
      <c r="F2135" s="300"/>
      <c r="G2135" s="302"/>
      <c r="H2135" s="310"/>
      <c r="I2135" s="311"/>
      <c r="J2135" s="311"/>
      <c r="K2135" s="311"/>
      <c r="L2135" s="310"/>
      <c r="M2135" s="310"/>
      <c r="N2135" s="311"/>
    </row>
    <row r="2136" spans="1:14" s="294" customFormat="1">
      <c r="A2136" s="297" t="s">
        <v>1515</v>
      </c>
      <c r="B2136" s="298"/>
      <c r="C2136" s="299" t="s">
        <v>1519</v>
      </c>
      <c r="D2136" s="299">
        <v>2</v>
      </c>
      <c r="E2136" s="300">
        <v>6</v>
      </c>
      <c r="F2136" s="300">
        <f>E2136*D2136</f>
        <v>12</v>
      </c>
      <c r="G2136" s="299">
        <f>2.58+17*0.01*2</f>
        <v>2.92</v>
      </c>
      <c r="H2136" s="310" t="str">
        <f t="shared" ref="H2136:H2139" si="2314">IF(C2136="T6",G2136*F2136,"")</f>
        <v/>
      </c>
      <c r="I2136" s="311" t="str">
        <f t="shared" ref="I2136:I2139" si="2315">IF(C2136="T8",F2136*G2136,"")</f>
        <v/>
      </c>
      <c r="J2136" s="311">
        <f t="shared" ref="J2136:J2139" si="2316">IF(C2136="T10",F2136*G2136,"")</f>
        <v>35.04</v>
      </c>
      <c r="K2136" s="311" t="str">
        <f t="shared" ref="K2136:K2139" si="2317">IF(C2136="T12",F2136*G2136,"")</f>
        <v/>
      </c>
      <c r="L2136" s="310" t="str">
        <f t="shared" ref="L2136:L2139" si="2318">IF(C2136="T14",F2136*G2136,"")</f>
        <v/>
      </c>
      <c r="M2136" s="310" t="str">
        <f t="shared" ref="M2136:M2139" si="2319">IF(C2136="T16",G2136*F2136,"")</f>
        <v/>
      </c>
      <c r="N2136" s="311" t="str">
        <f t="shared" ref="N2136:N2139" si="2320">IF(C2136="T20",G2136*F2136,"")</f>
        <v/>
      </c>
    </row>
    <row r="2137" spans="1:14" s="294" customFormat="1">
      <c r="A2137" s="297" t="s">
        <v>1515</v>
      </c>
      <c r="B2137" s="298"/>
      <c r="C2137" s="299" t="s">
        <v>1516</v>
      </c>
      <c r="D2137" s="299">
        <v>2</v>
      </c>
      <c r="E2137" s="300">
        <v>3</v>
      </c>
      <c r="F2137" s="300">
        <f>E2137*D2137</f>
        <v>6</v>
      </c>
      <c r="G2137" s="302">
        <f>(2.58)+17*0.012*2</f>
        <v>2.99</v>
      </c>
      <c r="H2137" s="310" t="str">
        <f t="shared" si="2314"/>
        <v/>
      </c>
      <c r="I2137" s="311" t="str">
        <f t="shared" si="2315"/>
        <v/>
      </c>
      <c r="J2137" s="311" t="str">
        <f t="shared" si="2316"/>
        <v/>
      </c>
      <c r="K2137" s="311">
        <f t="shared" si="2317"/>
        <v>17.940000000000001</v>
      </c>
      <c r="L2137" s="310" t="str">
        <f t="shared" si="2318"/>
        <v/>
      </c>
      <c r="M2137" s="310" t="str">
        <f t="shared" si="2319"/>
        <v/>
      </c>
      <c r="N2137" s="311" t="str">
        <f t="shared" si="2320"/>
        <v/>
      </c>
    </row>
    <row r="2138" spans="1:14" s="294" customFormat="1">
      <c r="A2138" s="297" t="s">
        <v>1494</v>
      </c>
      <c r="B2138" s="301"/>
      <c r="C2138" s="299" t="s">
        <v>1496</v>
      </c>
      <c r="D2138" s="299">
        <v>2</v>
      </c>
      <c r="E2138" s="300">
        <f>2.58/0.15</f>
        <v>17</v>
      </c>
      <c r="F2138" s="300">
        <f t="shared" ref="F2138:F2139" si="2321">E2138*D2138</f>
        <v>34</v>
      </c>
      <c r="G2138" s="302">
        <f>(0.2+0.2)*2+17*0.008*2</f>
        <v>1.07</v>
      </c>
      <c r="H2138" s="310" t="str">
        <f t="shared" si="2314"/>
        <v/>
      </c>
      <c r="I2138" s="311">
        <f t="shared" si="2315"/>
        <v>36.380000000000003</v>
      </c>
      <c r="J2138" s="311" t="str">
        <f t="shared" si="2316"/>
        <v/>
      </c>
      <c r="K2138" s="311" t="str">
        <f t="shared" si="2317"/>
        <v/>
      </c>
      <c r="L2138" s="310" t="str">
        <f t="shared" si="2318"/>
        <v/>
      </c>
      <c r="M2138" s="310" t="str">
        <f t="shared" si="2319"/>
        <v/>
      </c>
      <c r="N2138" s="311" t="str">
        <f t="shared" si="2320"/>
        <v/>
      </c>
    </row>
    <row r="2139" spans="1:14" s="294" customFormat="1">
      <c r="A2139" s="297" t="s">
        <v>1517</v>
      </c>
      <c r="B2139" s="301"/>
      <c r="C2139" s="299" t="s">
        <v>1496</v>
      </c>
      <c r="D2139" s="299">
        <v>2</v>
      </c>
      <c r="E2139" s="300">
        <v>17</v>
      </c>
      <c r="F2139" s="300">
        <f t="shared" si="2321"/>
        <v>34</v>
      </c>
      <c r="G2139" s="302">
        <f>(0.2*2)+17*0.008*2</f>
        <v>0.67</v>
      </c>
      <c r="H2139" s="310" t="str">
        <f t="shared" si="2314"/>
        <v/>
      </c>
      <c r="I2139" s="311">
        <f t="shared" si="2315"/>
        <v>22.78</v>
      </c>
      <c r="J2139" s="311" t="str">
        <f t="shared" si="2316"/>
        <v/>
      </c>
      <c r="K2139" s="311" t="str">
        <f t="shared" si="2317"/>
        <v/>
      </c>
      <c r="L2139" s="310" t="str">
        <f t="shared" si="2318"/>
        <v/>
      </c>
      <c r="M2139" s="310" t="str">
        <f t="shared" si="2319"/>
        <v/>
      </c>
      <c r="N2139" s="311" t="str">
        <f t="shared" si="2320"/>
        <v/>
      </c>
    </row>
    <row r="2140" spans="1:14" ht="16.5">
      <c r="A2140" s="305"/>
      <c r="B2140" s="254"/>
      <c r="C2140" s="299"/>
      <c r="D2140" s="299"/>
      <c r="E2140" s="300"/>
      <c r="F2140" s="300"/>
      <c r="G2140" s="302"/>
      <c r="H2140" s="310"/>
      <c r="I2140" s="311"/>
      <c r="J2140" s="311"/>
      <c r="K2140" s="311"/>
      <c r="L2140" s="310"/>
      <c r="M2140" s="310"/>
      <c r="N2140" s="311"/>
    </row>
    <row r="2141" spans="1:14" ht="16.5">
      <c r="A2141" s="303" t="s">
        <v>1456</v>
      </c>
      <c r="B2141" s="254"/>
      <c r="C2141" s="299"/>
      <c r="D2141" s="299"/>
      <c r="E2141" s="300"/>
      <c r="F2141" s="300"/>
      <c r="G2141" s="302"/>
      <c r="H2141" s="310"/>
      <c r="I2141" s="311"/>
      <c r="J2141" s="311"/>
      <c r="K2141" s="311"/>
      <c r="L2141" s="310"/>
      <c r="M2141" s="310"/>
      <c r="N2141" s="311"/>
    </row>
    <row r="2142" spans="1:14" s="294" customFormat="1">
      <c r="A2142" s="297" t="s">
        <v>1515</v>
      </c>
      <c r="B2142" s="298"/>
      <c r="C2142" s="299" t="s">
        <v>1519</v>
      </c>
      <c r="D2142" s="299">
        <v>1</v>
      </c>
      <c r="E2142" s="300">
        <v>3</v>
      </c>
      <c r="F2142" s="300">
        <f>E2142*D2142</f>
        <v>3</v>
      </c>
      <c r="G2142" s="299">
        <f>2.45+17*0.01*2</f>
        <v>2.79</v>
      </c>
      <c r="H2142" s="310" t="str">
        <f t="shared" ref="H2142:H2147" si="2322">IF(C2142="T6",G2142*F2142,"")</f>
        <v/>
      </c>
      <c r="I2142" s="311" t="str">
        <f t="shared" ref="I2142:I2147" si="2323">IF(C2142="T8",F2142*G2142,"")</f>
        <v/>
      </c>
      <c r="J2142" s="311">
        <f t="shared" ref="J2142:J2147" si="2324">IF(C2142="T10",F2142*G2142,"")</f>
        <v>8.3699999999999992</v>
      </c>
      <c r="K2142" s="311" t="str">
        <f t="shared" ref="K2142:K2147" si="2325">IF(C2142="T12",F2142*G2142,"")</f>
        <v/>
      </c>
      <c r="L2142" s="310" t="str">
        <f t="shared" ref="L2142:L2147" si="2326">IF(C2142="T14",F2142*G2142,"")</f>
        <v/>
      </c>
      <c r="M2142" s="310" t="str">
        <f t="shared" ref="M2142:M2147" si="2327">IF(C2142="T16",G2142*F2142,"")</f>
        <v/>
      </c>
      <c r="N2142" s="311" t="str">
        <f t="shared" ref="N2142:N2147" si="2328">IF(C2142="T20",G2142*F2142,"")</f>
        <v/>
      </c>
    </row>
    <row r="2143" spans="1:14" s="294" customFormat="1">
      <c r="A2143" s="297" t="s">
        <v>1515</v>
      </c>
      <c r="B2143" s="298"/>
      <c r="C2143" s="299" t="s">
        <v>1516</v>
      </c>
      <c r="D2143" s="299">
        <v>1</v>
      </c>
      <c r="E2143" s="300">
        <v>3</v>
      </c>
      <c r="F2143" s="300">
        <f>E2143*D2143</f>
        <v>3</v>
      </c>
      <c r="G2143" s="302">
        <f>(2.45)+17*0.012*2</f>
        <v>2.86</v>
      </c>
      <c r="H2143" s="310" t="str">
        <f t="shared" si="2322"/>
        <v/>
      </c>
      <c r="I2143" s="311" t="str">
        <f t="shared" si="2323"/>
        <v/>
      </c>
      <c r="J2143" s="311" t="str">
        <f t="shared" si="2324"/>
        <v/>
      </c>
      <c r="K2143" s="311">
        <f t="shared" si="2325"/>
        <v>8.58</v>
      </c>
      <c r="L2143" s="310" t="str">
        <f t="shared" si="2326"/>
        <v/>
      </c>
      <c r="M2143" s="310" t="str">
        <f t="shared" si="2327"/>
        <v/>
      </c>
      <c r="N2143" s="311" t="str">
        <f t="shared" si="2328"/>
        <v/>
      </c>
    </row>
    <row r="2144" spans="1:14" s="294" customFormat="1">
      <c r="A2144" s="297" t="s">
        <v>1494</v>
      </c>
      <c r="B2144" s="301"/>
      <c r="C2144" s="299" t="s">
        <v>1496</v>
      </c>
      <c r="D2144" s="299">
        <v>1</v>
      </c>
      <c r="E2144" s="300">
        <f>8+9+8</f>
        <v>25</v>
      </c>
      <c r="F2144" s="300">
        <f t="shared" ref="F2144:F2145" si="2329">E2144*D2144</f>
        <v>25</v>
      </c>
      <c r="G2144" s="302">
        <f>(0.2+0.25)*2+17*0.008*2</f>
        <v>1.17</v>
      </c>
      <c r="H2144" s="310" t="str">
        <f t="shared" si="2322"/>
        <v/>
      </c>
      <c r="I2144" s="311">
        <f t="shared" si="2323"/>
        <v>29.25</v>
      </c>
      <c r="J2144" s="311" t="str">
        <f t="shared" si="2324"/>
        <v/>
      </c>
      <c r="K2144" s="311" t="str">
        <f t="shared" si="2325"/>
        <v/>
      </c>
      <c r="L2144" s="310" t="str">
        <f t="shared" si="2326"/>
        <v/>
      </c>
      <c r="M2144" s="310" t="str">
        <f t="shared" si="2327"/>
        <v/>
      </c>
      <c r="N2144" s="311" t="str">
        <f t="shared" si="2328"/>
        <v/>
      </c>
    </row>
    <row r="2145" spans="1:14" s="294" customFormat="1">
      <c r="A2145" s="297" t="s">
        <v>1517</v>
      </c>
      <c r="B2145" s="301"/>
      <c r="C2145" s="299" t="s">
        <v>1496</v>
      </c>
      <c r="D2145" s="299">
        <v>1</v>
      </c>
      <c r="E2145" s="300">
        <v>25</v>
      </c>
      <c r="F2145" s="300">
        <f t="shared" si="2329"/>
        <v>25</v>
      </c>
      <c r="G2145" s="302">
        <f>(0.25*2)+17*0.008*2</f>
        <v>0.77</v>
      </c>
      <c r="H2145" s="310" t="str">
        <f t="shared" si="2322"/>
        <v/>
      </c>
      <c r="I2145" s="311">
        <f t="shared" si="2323"/>
        <v>19.25</v>
      </c>
      <c r="J2145" s="311" t="str">
        <f t="shared" si="2324"/>
        <v/>
      </c>
      <c r="K2145" s="311" t="str">
        <f t="shared" si="2325"/>
        <v/>
      </c>
      <c r="L2145" s="310" t="str">
        <f t="shared" si="2326"/>
        <v/>
      </c>
      <c r="M2145" s="310" t="str">
        <f t="shared" si="2327"/>
        <v/>
      </c>
      <c r="N2145" s="311" t="str">
        <f t="shared" si="2328"/>
        <v/>
      </c>
    </row>
    <row r="2146" spans="1:14">
      <c r="A2146" s="297" t="s">
        <v>1518</v>
      </c>
      <c r="B2146" s="254"/>
      <c r="C2146" s="299" t="s">
        <v>1492</v>
      </c>
      <c r="D2146" s="299">
        <v>1</v>
      </c>
      <c r="E2146" s="300">
        <v>3</v>
      </c>
      <c r="F2146" s="300">
        <f>E2146*D2146</f>
        <v>3</v>
      </c>
      <c r="G2146" s="302">
        <v>3</v>
      </c>
      <c r="H2146" s="310" t="str">
        <f t="shared" si="2322"/>
        <v/>
      </c>
      <c r="I2146" s="311" t="str">
        <f t="shared" si="2323"/>
        <v/>
      </c>
      <c r="J2146" s="311" t="str">
        <f t="shared" si="2324"/>
        <v/>
      </c>
      <c r="K2146" s="311" t="str">
        <f t="shared" si="2325"/>
        <v/>
      </c>
      <c r="L2146" s="310">
        <f t="shared" si="2326"/>
        <v>9</v>
      </c>
      <c r="M2146" s="310" t="str">
        <f t="shared" si="2327"/>
        <v/>
      </c>
      <c r="N2146" s="311" t="str">
        <f t="shared" si="2328"/>
        <v/>
      </c>
    </row>
    <row r="2147" spans="1:14">
      <c r="A2147" s="297"/>
      <c r="B2147" s="254"/>
      <c r="C2147" s="299" t="s">
        <v>1519</v>
      </c>
      <c r="D2147" s="299">
        <v>1</v>
      </c>
      <c r="E2147" s="300">
        <v>3</v>
      </c>
      <c r="F2147" s="300">
        <f>E2147*D2147</f>
        <v>3</v>
      </c>
      <c r="G2147" s="302">
        <v>1.2</v>
      </c>
      <c r="H2147" s="310" t="str">
        <f t="shared" si="2322"/>
        <v/>
      </c>
      <c r="I2147" s="311" t="str">
        <f t="shared" si="2323"/>
        <v/>
      </c>
      <c r="J2147" s="311">
        <f t="shared" si="2324"/>
        <v>3.6</v>
      </c>
      <c r="K2147" s="311" t="str">
        <f t="shared" si="2325"/>
        <v/>
      </c>
      <c r="L2147" s="310" t="str">
        <f t="shared" si="2326"/>
        <v/>
      </c>
      <c r="M2147" s="310" t="str">
        <f t="shared" si="2327"/>
        <v/>
      </c>
      <c r="N2147" s="311" t="str">
        <f t="shared" si="2328"/>
        <v/>
      </c>
    </row>
    <row r="2148" spans="1:14" ht="16.5">
      <c r="A2148" s="303"/>
      <c r="B2148" s="254"/>
      <c r="C2148" s="299"/>
      <c r="D2148" s="299"/>
      <c r="E2148" s="300"/>
      <c r="F2148" s="300"/>
      <c r="G2148" s="302"/>
      <c r="H2148" s="310"/>
      <c r="I2148" s="311"/>
      <c r="J2148" s="311"/>
      <c r="K2148" s="311"/>
      <c r="L2148" s="310"/>
      <c r="M2148" s="310"/>
      <c r="N2148" s="311"/>
    </row>
    <row r="2149" spans="1:14" ht="16.5">
      <c r="A2149" s="303" t="s">
        <v>1457</v>
      </c>
      <c r="B2149" s="254"/>
      <c r="C2149" s="299"/>
      <c r="D2149" s="299"/>
      <c r="E2149" s="300"/>
      <c r="F2149" s="300"/>
      <c r="G2149" s="302"/>
      <c r="H2149" s="310"/>
      <c r="I2149" s="311"/>
      <c r="J2149" s="311"/>
      <c r="K2149" s="311"/>
      <c r="L2149" s="310"/>
      <c r="M2149" s="310"/>
      <c r="N2149" s="311"/>
    </row>
    <row r="2150" spans="1:14" s="294" customFormat="1">
      <c r="A2150" s="297" t="s">
        <v>1515</v>
      </c>
      <c r="B2150" s="298"/>
      <c r="C2150" s="299" t="s">
        <v>1519</v>
      </c>
      <c r="D2150" s="299">
        <v>1</v>
      </c>
      <c r="E2150" s="300">
        <v>3</v>
      </c>
      <c r="F2150" s="300">
        <f>E2150*D2150</f>
        <v>3</v>
      </c>
      <c r="G2150" s="299">
        <f>4.15+17*0.01*2</f>
        <v>4.49</v>
      </c>
      <c r="H2150" s="310" t="str">
        <f t="shared" ref="H2150:H2155" si="2330">IF(C2150="T6",G2150*F2150,"")</f>
        <v/>
      </c>
      <c r="I2150" s="311" t="str">
        <f t="shared" ref="I2150:I2155" si="2331">IF(C2150="T8",F2150*G2150,"")</f>
        <v/>
      </c>
      <c r="J2150" s="311">
        <f t="shared" ref="J2150:J2155" si="2332">IF(C2150="T10",F2150*G2150,"")</f>
        <v>13.47</v>
      </c>
      <c r="K2150" s="311" t="str">
        <f t="shared" ref="K2150:K2155" si="2333">IF(C2150="T12",F2150*G2150,"")</f>
        <v/>
      </c>
      <c r="L2150" s="310" t="str">
        <f t="shared" ref="L2150:L2155" si="2334">IF(C2150="T14",F2150*G2150,"")</f>
        <v/>
      </c>
      <c r="M2150" s="310" t="str">
        <f t="shared" ref="M2150:M2155" si="2335">IF(C2150="T16",G2150*F2150,"")</f>
        <v/>
      </c>
      <c r="N2150" s="311" t="str">
        <f t="shared" ref="N2150:N2155" si="2336">IF(C2150="T20",G2150*F2150,"")</f>
        <v/>
      </c>
    </row>
    <row r="2151" spans="1:14" s="294" customFormat="1">
      <c r="A2151" s="297" t="s">
        <v>1515</v>
      </c>
      <c r="B2151" s="298"/>
      <c r="C2151" s="299" t="s">
        <v>1492</v>
      </c>
      <c r="D2151" s="299">
        <v>1</v>
      </c>
      <c r="E2151" s="300">
        <v>3</v>
      </c>
      <c r="F2151" s="300">
        <f>E2151*D2151</f>
        <v>3</v>
      </c>
      <c r="G2151" s="302">
        <f>(4.15)+17*0.014*2</f>
        <v>4.63</v>
      </c>
      <c r="H2151" s="310" t="str">
        <f t="shared" si="2330"/>
        <v/>
      </c>
      <c r="I2151" s="311" t="str">
        <f t="shared" si="2331"/>
        <v/>
      </c>
      <c r="J2151" s="311" t="str">
        <f t="shared" si="2332"/>
        <v/>
      </c>
      <c r="K2151" s="311" t="str">
        <f t="shared" si="2333"/>
        <v/>
      </c>
      <c r="L2151" s="310">
        <f t="shared" si="2334"/>
        <v>13.89</v>
      </c>
      <c r="M2151" s="310" t="str">
        <f t="shared" si="2335"/>
        <v/>
      </c>
      <c r="N2151" s="311" t="str">
        <f t="shared" si="2336"/>
        <v/>
      </c>
    </row>
    <row r="2152" spans="1:14" s="294" customFormat="1">
      <c r="A2152" s="297" t="s">
        <v>1494</v>
      </c>
      <c r="B2152" s="301"/>
      <c r="C2152" s="299" t="s">
        <v>1496</v>
      </c>
      <c r="D2152" s="299">
        <v>1</v>
      </c>
      <c r="E2152" s="300">
        <f>13+13+20</f>
        <v>46</v>
      </c>
      <c r="F2152" s="300">
        <f t="shared" ref="F2152:F2153" si="2337">E2152*D2152</f>
        <v>46</v>
      </c>
      <c r="G2152" s="302">
        <f>(0.2+0.35)*2+17*0.008*2</f>
        <v>1.37</v>
      </c>
      <c r="H2152" s="310" t="str">
        <f t="shared" si="2330"/>
        <v/>
      </c>
      <c r="I2152" s="311">
        <f t="shared" si="2331"/>
        <v>63.02</v>
      </c>
      <c r="J2152" s="311" t="str">
        <f t="shared" si="2332"/>
        <v/>
      </c>
      <c r="K2152" s="311" t="str">
        <f t="shared" si="2333"/>
        <v/>
      </c>
      <c r="L2152" s="310" t="str">
        <f t="shared" si="2334"/>
        <v/>
      </c>
      <c r="M2152" s="310" t="str">
        <f t="shared" si="2335"/>
        <v/>
      </c>
      <c r="N2152" s="311" t="str">
        <f t="shared" si="2336"/>
        <v/>
      </c>
    </row>
    <row r="2153" spans="1:14" s="294" customFormat="1">
      <c r="A2153" s="297" t="s">
        <v>1517</v>
      </c>
      <c r="B2153" s="301"/>
      <c r="C2153" s="299" t="s">
        <v>1496</v>
      </c>
      <c r="D2153" s="299">
        <v>1</v>
      </c>
      <c r="E2153" s="300">
        <f>13+13+20</f>
        <v>46</v>
      </c>
      <c r="F2153" s="300">
        <f t="shared" si="2337"/>
        <v>46</v>
      </c>
      <c r="G2153" s="302">
        <f>(0.35*2)+17*0.008*2</f>
        <v>0.97</v>
      </c>
      <c r="H2153" s="310" t="str">
        <f t="shared" si="2330"/>
        <v/>
      </c>
      <c r="I2153" s="311">
        <f t="shared" si="2331"/>
        <v>44.62</v>
      </c>
      <c r="J2153" s="311" t="str">
        <f t="shared" si="2332"/>
        <v/>
      </c>
      <c r="K2153" s="311" t="str">
        <f t="shared" si="2333"/>
        <v/>
      </c>
      <c r="L2153" s="310" t="str">
        <f t="shared" si="2334"/>
        <v/>
      </c>
      <c r="M2153" s="310" t="str">
        <f t="shared" si="2335"/>
        <v/>
      </c>
      <c r="N2153" s="311" t="str">
        <f t="shared" si="2336"/>
        <v/>
      </c>
    </row>
    <row r="2154" spans="1:14">
      <c r="A2154" s="297" t="s">
        <v>1518</v>
      </c>
      <c r="B2154" s="254"/>
      <c r="C2154" s="299" t="s">
        <v>1492</v>
      </c>
      <c r="D2154" s="299">
        <v>1</v>
      </c>
      <c r="E2154" s="300">
        <v>6</v>
      </c>
      <c r="F2154" s="300">
        <f>E2154*D2154</f>
        <v>6</v>
      </c>
      <c r="G2154" s="302">
        <v>2.9</v>
      </c>
      <c r="H2154" s="310" t="str">
        <f t="shared" si="2330"/>
        <v/>
      </c>
      <c r="I2154" s="311" t="str">
        <f t="shared" si="2331"/>
        <v/>
      </c>
      <c r="J2154" s="311" t="str">
        <f t="shared" si="2332"/>
        <v/>
      </c>
      <c r="K2154" s="311" t="str">
        <f t="shared" si="2333"/>
        <v/>
      </c>
      <c r="L2154" s="310">
        <f t="shared" si="2334"/>
        <v>17.399999999999999</v>
      </c>
      <c r="M2154" s="310" t="str">
        <f t="shared" si="2335"/>
        <v/>
      </c>
      <c r="N2154" s="311" t="str">
        <f t="shared" si="2336"/>
        <v/>
      </c>
    </row>
    <row r="2155" spans="1:14">
      <c r="A2155" s="297"/>
      <c r="B2155" s="254"/>
      <c r="C2155" s="299" t="s">
        <v>1516</v>
      </c>
      <c r="D2155" s="299">
        <v>1</v>
      </c>
      <c r="E2155" s="300">
        <v>3</v>
      </c>
      <c r="F2155" s="300">
        <f>E2155*D2155</f>
        <v>3</v>
      </c>
      <c r="G2155" s="302">
        <v>3.85</v>
      </c>
      <c r="H2155" s="310" t="str">
        <f t="shared" si="2330"/>
        <v/>
      </c>
      <c r="I2155" s="311" t="str">
        <f t="shared" si="2331"/>
        <v/>
      </c>
      <c r="J2155" s="311" t="str">
        <f t="shared" si="2332"/>
        <v/>
      </c>
      <c r="K2155" s="311">
        <f t="shared" si="2333"/>
        <v>11.55</v>
      </c>
      <c r="L2155" s="310" t="str">
        <f t="shared" si="2334"/>
        <v/>
      </c>
      <c r="M2155" s="310" t="str">
        <f t="shared" si="2335"/>
        <v/>
      </c>
      <c r="N2155" s="311" t="str">
        <f t="shared" si="2336"/>
        <v/>
      </c>
    </row>
    <row r="2156" spans="1:14" ht="16.5">
      <c r="A2156" s="303"/>
      <c r="B2156" s="254"/>
      <c r="C2156" s="299"/>
      <c r="D2156" s="299"/>
      <c r="E2156" s="300"/>
      <c r="F2156" s="300"/>
      <c r="G2156" s="302"/>
      <c r="H2156" s="310"/>
      <c r="I2156" s="311"/>
      <c r="J2156" s="311"/>
      <c r="K2156" s="311"/>
      <c r="L2156" s="310"/>
      <c r="M2156" s="310"/>
      <c r="N2156" s="311"/>
    </row>
    <row r="2157" spans="1:14" ht="16.5">
      <c r="A2157" s="303" t="s">
        <v>1458</v>
      </c>
      <c r="B2157" s="254"/>
      <c r="C2157" s="299"/>
      <c r="D2157" s="299"/>
      <c r="E2157" s="300"/>
      <c r="F2157" s="300"/>
      <c r="G2157" s="302"/>
      <c r="H2157" s="310"/>
      <c r="I2157" s="311"/>
      <c r="J2157" s="311"/>
      <c r="K2157" s="311"/>
      <c r="L2157" s="310"/>
      <c r="M2157" s="310"/>
      <c r="N2157" s="311"/>
    </row>
    <row r="2158" spans="1:14" s="294" customFormat="1">
      <c r="A2158" s="297" t="s">
        <v>1515</v>
      </c>
      <c r="B2158" s="298"/>
      <c r="C2158" s="299" t="s">
        <v>1519</v>
      </c>
      <c r="D2158" s="299">
        <v>1</v>
      </c>
      <c r="E2158" s="300">
        <v>3</v>
      </c>
      <c r="F2158" s="300">
        <f>E2158*D2158</f>
        <v>3</v>
      </c>
      <c r="G2158" s="299">
        <f>4.25+17*0.01*2</f>
        <v>4.59</v>
      </c>
      <c r="H2158" s="310" t="str">
        <f t="shared" ref="H2158:H2165" si="2338">IF(C2158="T6",G2158*F2158,"")</f>
        <v/>
      </c>
      <c r="I2158" s="311" t="str">
        <f t="shared" ref="I2158:I2165" si="2339">IF(C2158="T8",F2158*G2158,"")</f>
        <v/>
      </c>
      <c r="J2158" s="311">
        <f t="shared" ref="J2158:J2165" si="2340">IF(C2158="T10",F2158*G2158,"")</f>
        <v>13.77</v>
      </c>
      <c r="K2158" s="311" t="str">
        <f t="shared" ref="K2158:K2165" si="2341">IF(C2158="T12",F2158*G2158,"")</f>
        <v/>
      </c>
      <c r="L2158" s="310" t="str">
        <f t="shared" ref="L2158:L2165" si="2342">IF(C2158="T14",F2158*G2158,"")</f>
        <v/>
      </c>
      <c r="M2158" s="310" t="str">
        <f t="shared" ref="M2158:M2165" si="2343">IF(C2158="T16",G2158*F2158,"")</f>
        <v/>
      </c>
      <c r="N2158" s="311" t="str">
        <f t="shared" ref="N2158:N2165" si="2344">IF(C2158="T20",G2158*F2158,"")</f>
        <v/>
      </c>
    </row>
    <row r="2159" spans="1:14" s="294" customFormat="1">
      <c r="A2159" s="297" t="s">
        <v>1515</v>
      </c>
      <c r="B2159" s="298"/>
      <c r="C2159" s="299" t="s">
        <v>1516</v>
      </c>
      <c r="D2159" s="299">
        <v>1</v>
      </c>
      <c r="E2159" s="300">
        <v>3</v>
      </c>
      <c r="F2159" s="300">
        <f>E2159*D2159</f>
        <v>3</v>
      </c>
      <c r="G2159" s="302">
        <f>(4.25)+17*0.014*2</f>
        <v>4.7300000000000004</v>
      </c>
      <c r="H2159" s="310" t="str">
        <f t="shared" si="2338"/>
        <v/>
      </c>
      <c r="I2159" s="311" t="str">
        <f t="shared" si="2339"/>
        <v/>
      </c>
      <c r="J2159" s="311" t="str">
        <f t="shared" si="2340"/>
        <v/>
      </c>
      <c r="K2159" s="311">
        <f t="shared" si="2341"/>
        <v>14.19</v>
      </c>
      <c r="L2159" s="310" t="str">
        <f t="shared" si="2342"/>
        <v/>
      </c>
      <c r="M2159" s="310" t="str">
        <f t="shared" si="2343"/>
        <v/>
      </c>
      <c r="N2159" s="311" t="str">
        <f t="shared" si="2344"/>
        <v/>
      </c>
    </row>
    <row r="2160" spans="1:14" s="294" customFormat="1">
      <c r="A2160" s="297"/>
      <c r="B2160" s="298"/>
      <c r="C2160" s="299" t="s">
        <v>1519</v>
      </c>
      <c r="D2160" s="299">
        <v>1</v>
      </c>
      <c r="E2160" s="300">
        <v>2</v>
      </c>
      <c r="F2160" s="300">
        <f>E2160*D2160</f>
        <v>2</v>
      </c>
      <c r="G2160" s="299">
        <v>4.25</v>
      </c>
      <c r="H2160" s="310" t="str">
        <f t="shared" ref="H2160" si="2345">IF(C2160="T6",G2160*F2160,"")</f>
        <v/>
      </c>
      <c r="I2160" s="311" t="str">
        <f t="shared" ref="I2160" si="2346">IF(C2160="T8",F2160*G2160,"")</f>
        <v/>
      </c>
      <c r="J2160" s="311">
        <f t="shared" ref="J2160" si="2347">IF(C2160="T10",F2160*G2160,"")</f>
        <v>8.5</v>
      </c>
      <c r="K2160" s="311" t="str">
        <f t="shared" ref="K2160" si="2348">IF(C2160="T12",F2160*G2160,"")</f>
        <v/>
      </c>
      <c r="L2160" s="310" t="str">
        <f t="shared" ref="L2160" si="2349">IF(C2160="T14",F2160*G2160,"")</f>
        <v/>
      </c>
      <c r="M2160" s="310" t="str">
        <f t="shared" ref="M2160" si="2350">IF(C2160="T16",G2160*F2160,"")</f>
        <v/>
      </c>
      <c r="N2160" s="311" t="str">
        <f t="shared" ref="N2160" si="2351">IF(C2160="T20",G2160*F2160,"")</f>
        <v/>
      </c>
    </row>
    <row r="2161" spans="1:14" s="294" customFormat="1">
      <c r="A2161" s="297" t="s">
        <v>1494</v>
      </c>
      <c r="B2161" s="301"/>
      <c r="C2161" s="299" t="s">
        <v>1496</v>
      </c>
      <c r="D2161" s="299">
        <v>1</v>
      </c>
      <c r="E2161" s="300">
        <f>13+20+13</f>
        <v>46</v>
      </c>
      <c r="F2161" s="300">
        <f t="shared" ref="F2161:F2162" si="2352">E2161*D2161</f>
        <v>46</v>
      </c>
      <c r="G2161" s="302">
        <f>(0.2+0.5)*2+17*0.008*2</f>
        <v>1.67</v>
      </c>
      <c r="H2161" s="310" t="str">
        <f t="shared" si="2338"/>
        <v/>
      </c>
      <c r="I2161" s="311">
        <f t="shared" si="2339"/>
        <v>76.819999999999993</v>
      </c>
      <c r="J2161" s="311" t="str">
        <f t="shared" si="2340"/>
        <v/>
      </c>
      <c r="K2161" s="311" t="str">
        <f t="shared" si="2341"/>
        <v/>
      </c>
      <c r="L2161" s="310" t="str">
        <f t="shared" si="2342"/>
        <v/>
      </c>
      <c r="M2161" s="310" t="str">
        <f t="shared" si="2343"/>
        <v/>
      </c>
      <c r="N2161" s="311" t="str">
        <f t="shared" si="2344"/>
        <v/>
      </c>
    </row>
    <row r="2162" spans="1:14" s="294" customFormat="1">
      <c r="A2162" s="297" t="s">
        <v>1517</v>
      </c>
      <c r="B2162" s="301"/>
      <c r="C2162" s="299" t="s">
        <v>1496</v>
      </c>
      <c r="D2162" s="299">
        <v>1</v>
      </c>
      <c r="E2162" s="300">
        <v>46</v>
      </c>
      <c r="F2162" s="300">
        <f t="shared" si="2352"/>
        <v>46</v>
      </c>
      <c r="G2162" s="302">
        <f>(0.5*2)+17*0.008*2</f>
        <v>1.27</v>
      </c>
      <c r="H2162" s="310" t="str">
        <f t="shared" si="2338"/>
        <v/>
      </c>
      <c r="I2162" s="311">
        <f t="shared" si="2339"/>
        <v>58.42</v>
      </c>
      <c r="J2162" s="311" t="str">
        <f t="shared" si="2340"/>
        <v/>
      </c>
      <c r="K2162" s="311" t="str">
        <f t="shared" si="2341"/>
        <v/>
      </c>
      <c r="L2162" s="310" t="str">
        <f t="shared" si="2342"/>
        <v/>
      </c>
      <c r="M2162" s="310" t="str">
        <f t="shared" si="2343"/>
        <v/>
      </c>
      <c r="N2162" s="311" t="str">
        <f t="shared" si="2344"/>
        <v/>
      </c>
    </row>
    <row r="2163" spans="1:14">
      <c r="A2163" s="297" t="s">
        <v>1518</v>
      </c>
      <c r="B2163" s="254"/>
      <c r="C2163" s="299" t="s">
        <v>1492</v>
      </c>
      <c r="D2163" s="299">
        <v>1</v>
      </c>
      <c r="E2163" s="300">
        <v>3</v>
      </c>
      <c r="F2163" s="300">
        <f>E2163*D2163</f>
        <v>3</v>
      </c>
      <c r="G2163" s="302">
        <v>3</v>
      </c>
      <c r="H2163" s="310" t="str">
        <f t="shared" si="2338"/>
        <v/>
      </c>
      <c r="I2163" s="311" t="str">
        <f t="shared" si="2339"/>
        <v/>
      </c>
      <c r="J2163" s="311" t="str">
        <f t="shared" si="2340"/>
        <v/>
      </c>
      <c r="K2163" s="311" t="str">
        <f t="shared" si="2341"/>
        <v/>
      </c>
      <c r="L2163" s="310">
        <f t="shared" si="2342"/>
        <v>9</v>
      </c>
      <c r="M2163" s="310" t="str">
        <f t="shared" si="2343"/>
        <v/>
      </c>
      <c r="N2163" s="311" t="str">
        <f t="shared" si="2344"/>
        <v/>
      </c>
    </row>
    <row r="2164" spans="1:14">
      <c r="A2164" s="297"/>
      <c r="B2164" s="254"/>
      <c r="C2164" s="299" t="s">
        <v>1519</v>
      </c>
      <c r="D2164" s="299">
        <v>1</v>
      </c>
      <c r="E2164" s="300">
        <v>3</v>
      </c>
      <c r="F2164" s="300">
        <f>E2164*D2164</f>
        <v>3</v>
      </c>
      <c r="G2164" s="302">
        <v>3.5</v>
      </c>
      <c r="H2164" s="310" t="str">
        <f t="shared" ref="H2164" si="2353">IF(C2164="T6",G2164*F2164,"")</f>
        <v/>
      </c>
      <c r="I2164" s="311" t="str">
        <f t="shared" ref="I2164" si="2354">IF(C2164="T8",F2164*G2164,"")</f>
        <v/>
      </c>
      <c r="J2164" s="311">
        <f t="shared" ref="J2164" si="2355">IF(C2164="T10",F2164*G2164,"")</f>
        <v>10.5</v>
      </c>
      <c r="K2164" s="311" t="str">
        <f t="shared" ref="K2164" si="2356">IF(C2164="T12",F2164*G2164,"")</f>
        <v/>
      </c>
      <c r="L2164" s="310" t="str">
        <f t="shared" ref="L2164" si="2357">IF(C2164="T14",F2164*G2164,"")</f>
        <v/>
      </c>
      <c r="M2164" s="310" t="str">
        <f t="shared" ref="M2164" si="2358">IF(C2164="T16",G2164*F2164,"")</f>
        <v/>
      </c>
      <c r="N2164" s="311" t="str">
        <f t="shared" ref="N2164" si="2359">IF(C2164="T20",G2164*F2164,"")</f>
        <v/>
      </c>
    </row>
    <row r="2165" spans="1:14">
      <c r="A2165" s="297"/>
      <c r="B2165" s="254"/>
      <c r="C2165" s="299" t="s">
        <v>1519</v>
      </c>
      <c r="D2165" s="299">
        <v>1</v>
      </c>
      <c r="E2165" s="300">
        <v>3</v>
      </c>
      <c r="F2165" s="300">
        <f>E2165*D2165</f>
        <v>3</v>
      </c>
      <c r="G2165" s="302">
        <v>4.25</v>
      </c>
      <c r="H2165" s="310" t="str">
        <f t="shared" si="2338"/>
        <v/>
      </c>
      <c r="I2165" s="311" t="str">
        <f t="shared" si="2339"/>
        <v/>
      </c>
      <c r="J2165" s="311">
        <f t="shared" si="2340"/>
        <v>12.75</v>
      </c>
      <c r="K2165" s="311" t="str">
        <f t="shared" si="2341"/>
        <v/>
      </c>
      <c r="L2165" s="310" t="str">
        <f t="shared" si="2342"/>
        <v/>
      </c>
      <c r="M2165" s="310" t="str">
        <f t="shared" si="2343"/>
        <v/>
      </c>
      <c r="N2165" s="311" t="str">
        <f t="shared" si="2344"/>
        <v/>
      </c>
    </row>
    <row r="2166" spans="1:14" ht="16.5">
      <c r="A2166" s="303"/>
      <c r="B2166" s="254"/>
      <c r="C2166" s="299"/>
      <c r="D2166" s="299"/>
      <c r="E2166" s="300"/>
      <c r="F2166" s="300"/>
      <c r="G2166" s="302"/>
      <c r="H2166" s="310"/>
      <c r="I2166" s="311"/>
      <c r="J2166" s="311"/>
      <c r="K2166" s="311"/>
      <c r="L2166" s="310"/>
      <c r="M2166" s="310"/>
      <c r="N2166" s="311"/>
    </row>
    <row r="2167" spans="1:14" ht="16.5">
      <c r="A2167" s="303" t="s">
        <v>1459</v>
      </c>
      <c r="B2167" s="254"/>
      <c r="C2167" s="299"/>
      <c r="D2167" s="299"/>
      <c r="E2167" s="300"/>
      <c r="F2167" s="300"/>
      <c r="G2167" s="302"/>
      <c r="H2167" s="310"/>
      <c r="I2167" s="311"/>
      <c r="J2167" s="311"/>
      <c r="K2167" s="311"/>
      <c r="L2167" s="310"/>
      <c r="M2167" s="310"/>
      <c r="N2167" s="311"/>
    </row>
    <row r="2168" spans="1:14" s="294" customFormat="1">
      <c r="A2168" s="297" t="s">
        <v>1515</v>
      </c>
      <c r="B2168" s="298"/>
      <c r="C2168" s="299" t="s">
        <v>1519</v>
      </c>
      <c r="D2168" s="299">
        <v>1</v>
      </c>
      <c r="E2168" s="300">
        <v>3</v>
      </c>
      <c r="F2168" s="300">
        <f>E2168*D2168</f>
        <v>3</v>
      </c>
      <c r="G2168" s="299">
        <f>2.2+17*0.01*2</f>
        <v>2.54</v>
      </c>
      <c r="H2168" s="310" t="str">
        <f t="shared" ref="H2168:H2172" si="2360">IF(C2168="T6",G2168*F2168,"")</f>
        <v/>
      </c>
      <c r="I2168" s="311" t="str">
        <f t="shared" ref="I2168:I2172" si="2361">IF(C2168="T8",F2168*G2168,"")</f>
        <v/>
      </c>
      <c r="J2168" s="311">
        <f t="shared" ref="J2168:J2172" si="2362">IF(C2168="T10",F2168*G2168,"")</f>
        <v>7.62</v>
      </c>
      <c r="K2168" s="311" t="str">
        <f t="shared" ref="K2168:K2172" si="2363">IF(C2168="T12",F2168*G2168,"")</f>
        <v/>
      </c>
      <c r="L2168" s="310" t="str">
        <f t="shared" ref="L2168:L2172" si="2364">IF(C2168="T14",F2168*G2168,"")</f>
        <v/>
      </c>
      <c r="M2168" s="310" t="str">
        <f t="shared" ref="M2168:M2172" si="2365">IF(C2168="T16",G2168*F2168,"")</f>
        <v/>
      </c>
      <c r="N2168" s="311" t="str">
        <f t="shared" ref="N2168:N2172" si="2366">IF(C2168="T20",G2168*F2168,"")</f>
        <v/>
      </c>
    </row>
    <row r="2169" spans="1:14" s="294" customFormat="1">
      <c r="A2169" s="297" t="s">
        <v>1515</v>
      </c>
      <c r="B2169" s="298"/>
      <c r="C2169" s="299" t="s">
        <v>1492</v>
      </c>
      <c r="D2169" s="299">
        <v>1</v>
      </c>
      <c r="E2169" s="300">
        <v>3</v>
      </c>
      <c r="F2169" s="300">
        <f>E2169*D2169</f>
        <v>3</v>
      </c>
      <c r="G2169" s="302">
        <f>(2.2)+17*0.014*2</f>
        <v>2.68</v>
      </c>
      <c r="H2169" s="310" t="str">
        <f t="shared" si="2360"/>
        <v/>
      </c>
      <c r="I2169" s="311" t="str">
        <f t="shared" si="2361"/>
        <v/>
      </c>
      <c r="J2169" s="311" t="str">
        <f t="shared" si="2362"/>
        <v/>
      </c>
      <c r="K2169" s="311" t="str">
        <f t="shared" si="2363"/>
        <v/>
      </c>
      <c r="L2169" s="310">
        <f t="shared" si="2364"/>
        <v>8.0399999999999991</v>
      </c>
      <c r="M2169" s="310" t="str">
        <f t="shared" si="2365"/>
        <v/>
      </c>
      <c r="N2169" s="311" t="str">
        <f t="shared" si="2366"/>
        <v/>
      </c>
    </row>
    <row r="2170" spans="1:14" s="294" customFormat="1">
      <c r="A2170" s="297" t="s">
        <v>1494</v>
      </c>
      <c r="B2170" s="301"/>
      <c r="C2170" s="299" t="s">
        <v>1496</v>
      </c>
      <c r="D2170" s="299">
        <v>1</v>
      </c>
      <c r="E2170" s="300">
        <f>7+8+7</f>
        <v>22</v>
      </c>
      <c r="F2170" s="300">
        <f t="shared" ref="F2170:F2171" si="2367">E2170*D2170</f>
        <v>22</v>
      </c>
      <c r="G2170" s="302">
        <f>(0.2+0.25)*2+17*0.008*2</f>
        <v>1.17</v>
      </c>
      <c r="H2170" s="310" t="str">
        <f t="shared" si="2360"/>
        <v/>
      </c>
      <c r="I2170" s="311">
        <f t="shared" si="2361"/>
        <v>25.74</v>
      </c>
      <c r="J2170" s="311" t="str">
        <f t="shared" si="2362"/>
        <v/>
      </c>
      <c r="K2170" s="311" t="str">
        <f t="shared" si="2363"/>
        <v/>
      </c>
      <c r="L2170" s="310" t="str">
        <f t="shared" si="2364"/>
        <v/>
      </c>
      <c r="M2170" s="310" t="str">
        <f t="shared" si="2365"/>
        <v/>
      </c>
      <c r="N2170" s="311" t="str">
        <f t="shared" si="2366"/>
        <v/>
      </c>
    </row>
    <row r="2171" spans="1:14" s="294" customFormat="1">
      <c r="A2171" s="297" t="s">
        <v>1517</v>
      </c>
      <c r="B2171" s="301"/>
      <c r="C2171" s="299" t="s">
        <v>1496</v>
      </c>
      <c r="D2171" s="299">
        <v>1</v>
      </c>
      <c r="E2171" s="300">
        <v>22</v>
      </c>
      <c r="F2171" s="300">
        <f t="shared" si="2367"/>
        <v>22</v>
      </c>
      <c r="G2171" s="302">
        <f>(0.25*2)+17*0.008*2</f>
        <v>0.77</v>
      </c>
      <c r="H2171" s="310" t="str">
        <f t="shared" si="2360"/>
        <v/>
      </c>
      <c r="I2171" s="311">
        <f t="shared" si="2361"/>
        <v>16.940000000000001</v>
      </c>
      <c r="J2171" s="311" t="str">
        <f t="shared" si="2362"/>
        <v/>
      </c>
      <c r="K2171" s="311" t="str">
        <f t="shared" si="2363"/>
        <v/>
      </c>
      <c r="L2171" s="310" t="str">
        <f t="shared" si="2364"/>
        <v/>
      </c>
      <c r="M2171" s="310" t="str">
        <f t="shared" si="2365"/>
        <v/>
      </c>
      <c r="N2171" s="311" t="str">
        <f t="shared" si="2366"/>
        <v/>
      </c>
    </row>
    <row r="2172" spans="1:14">
      <c r="A2172" s="297" t="s">
        <v>1518</v>
      </c>
      <c r="B2172" s="254"/>
      <c r="C2172" s="299" t="s">
        <v>1492</v>
      </c>
      <c r="D2172" s="299">
        <v>1</v>
      </c>
      <c r="E2172" s="300">
        <v>6</v>
      </c>
      <c r="F2172" s="300">
        <f>E2172*D2172</f>
        <v>6</v>
      </c>
      <c r="G2172" s="302">
        <v>2.9</v>
      </c>
      <c r="H2172" s="310" t="str">
        <f t="shared" si="2360"/>
        <v/>
      </c>
      <c r="I2172" s="311" t="str">
        <f t="shared" si="2361"/>
        <v/>
      </c>
      <c r="J2172" s="311" t="str">
        <f t="shared" si="2362"/>
        <v/>
      </c>
      <c r="K2172" s="311" t="str">
        <f t="shared" si="2363"/>
        <v/>
      </c>
      <c r="L2172" s="310">
        <f t="shared" si="2364"/>
        <v>17.399999999999999</v>
      </c>
      <c r="M2172" s="310" t="str">
        <f t="shared" si="2365"/>
        <v/>
      </c>
      <c r="N2172" s="311" t="str">
        <f t="shared" si="2366"/>
        <v/>
      </c>
    </row>
    <row r="2173" spans="1:14" ht="16.5">
      <c r="A2173" s="303"/>
      <c r="B2173" s="254"/>
      <c r="C2173" s="299"/>
      <c r="D2173" s="299"/>
      <c r="E2173" s="300"/>
      <c r="F2173" s="300"/>
      <c r="G2173" s="302"/>
      <c r="H2173" s="310"/>
      <c r="I2173" s="311"/>
      <c r="J2173" s="311"/>
      <c r="K2173" s="311"/>
      <c r="L2173" s="310"/>
      <c r="M2173" s="310"/>
      <c r="N2173" s="311"/>
    </row>
    <row r="2174" spans="1:14" ht="16.5">
      <c r="A2174" s="303" t="s">
        <v>1460</v>
      </c>
      <c r="B2174" s="254"/>
      <c r="C2174" s="299"/>
      <c r="D2174" s="299"/>
      <c r="E2174" s="300"/>
      <c r="F2174" s="300"/>
      <c r="G2174" s="302"/>
      <c r="H2174" s="310"/>
      <c r="I2174" s="311"/>
      <c r="J2174" s="311"/>
      <c r="K2174" s="311"/>
      <c r="L2174" s="310"/>
      <c r="M2174" s="310"/>
      <c r="N2174" s="311"/>
    </row>
    <row r="2175" spans="1:14" s="294" customFormat="1">
      <c r="A2175" s="297" t="s">
        <v>1515</v>
      </c>
      <c r="B2175" s="298"/>
      <c r="C2175" s="299" t="s">
        <v>1498</v>
      </c>
      <c r="D2175" s="299">
        <v>1</v>
      </c>
      <c r="E2175" s="300">
        <v>3</v>
      </c>
      <c r="F2175" s="300">
        <f>E2175*D2175</f>
        <v>3</v>
      </c>
      <c r="G2175" s="299">
        <f>6.83+17*0.016*2</f>
        <v>7.3739999999999997</v>
      </c>
      <c r="H2175" s="310" t="str">
        <f t="shared" ref="H2175:H2178" si="2368">IF(C2175="T6",G2175*F2175,"")</f>
        <v/>
      </c>
      <c r="I2175" s="311" t="str">
        <f t="shared" ref="I2175:I2178" si="2369">IF(C2175="T8",F2175*G2175,"")</f>
        <v/>
      </c>
      <c r="J2175" s="311" t="str">
        <f t="shared" ref="J2175:J2178" si="2370">IF(C2175="T10",F2175*G2175,"")</f>
        <v/>
      </c>
      <c r="K2175" s="311" t="str">
        <f t="shared" ref="K2175:K2178" si="2371">IF(C2175="T12",F2175*G2175,"")</f>
        <v/>
      </c>
      <c r="L2175" s="310" t="str">
        <f t="shared" ref="L2175:L2178" si="2372">IF(C2175="T14",F2175*G2175,"")</f>
        <v/>
      </c>
      <c r="M2175" s="310">
        <f t="shared" ref="M2175:M2178" si="2373">IF(C2175="T16",G2175*F2175,"")</f>
        <v>22.12</v>
      </c>
      <c r="N2175" s="311" t="str">
        <f t="shared" ref="N2175:N2178" si="2374">IF(C2175="T20",G2175*F2175,"")</f>
        <v/>
      </c>
    </row>
    <row r="2176" spans="1:14" s="294" customFormat="1">
      <c r="A2176" s="297" t="s">
        <v>1515</v>
      </c>
      <c r="B2176" s="298"/>
      <c r="C2176" s="299" t="s">
        <v>1516</v>
      </c>
      <c r="D2176" s="299">
        <v>1</v>
      </c>
      <c r="E2176" s="300">
        <v>3</v>
      </c>
      <c r="F2176" s="300">
        <f>E2176*D2176</f>
        <v>3</v>
      </c>
      <c r="G2176" s="302">
        <f>(6.82)+17*0.012*2</f>
        <v>7.23</v>
      </c>
      <c r="H2176" s="310" t="str">
        <f t="shared" si="2368"/>
        <v/>
      </c>
      <c r="I2176" s="311" t="str">
        <f t="shared" si="2369"/>
        <v/>
      </c>
      <c r="J2176" s="311" t="str">
        <f t="shared" si="2370"/>
        <v/>
      </c>
      <c r="K2176" s="311">
        <f t="shared" si="2371"/>
        <v>21.69</v>
      </c>
      <c r="L2176" s="310" t="str">
        <f t="shared" si="2372"/>
        <v/>
      </c>
      <c r="M2176" s="310" t="str">
        <f t="shared" si="2373"/>
        <v/>
      </c>
      <c r="N2176" s="311" t="str">
        <f t="shared" si="2374"/>
        <v/>
      </c>
    </row>
    <row r="2177" spans="1:14" s="294" customFormat="1">
      <c r="A2177" s="297" t="s">
        <v>1494</v>
      </c>
      <c r="B2177" s="301"/>
      <c r="C2177" s="299" t="s">
        <v>1496</v>
      </c>
      <c r="D2177" s="299">
        <v>1</v>
      </c>
      <c r="E2177" s="300">
        <f>6.82/0.15</f>
        <v>45</v>
      </c>
      <c r="F2177" s="300">
        <f t="shared" ref="F2177:F2178" si="2375">E2177*D2177</f>
        <v>45</v>
      </c>
      <c r="G2177" s="302">
        <f>(0.25+0.25)*2+17*0.008*2</f>
        <v>1.27</v>
      </c>
      <c r="H2177" s="310" t="str">
        <f t="shared" si="2368"/>
        <v/>
      </c>
      <c r="I2177" s="311">
        <f t="shared" si="2369"/>
        <v>57.15</v>
      </c>
      <c r="J2177" s="311" t="str">
        <f t="shared" si="2370"/>
        <v/>
      </c>
      <c r="K2177" s="311" t="str">
        <f t="shared" si="2371"/>
        <v/>
      </c>
      <c r="L2177" s="310" t="str">
        <f t="shared" si="2372"/>
        <v/>
      </c>
      <c r="M2177" s="310" t="str">
        <f t="shared" si="2373"/>
        <v/>
      </c>
      <c r="N2177" s="311" t="str">
        <f t="shared" si="2374"/>
        <v/>
      </c>
    </row>
    <row r="2178" spans="1:14" s="294" customFormat="1">
      <c r="A2178" s="297" t="s">
        <v>1517</v>
      </c>
      <c r="B2178" s="301"/>
      <c r="C2178" s="299" t="s">
        <v>1496</v>
      </c>
      <c r="D2178" s="299">
        <v>1</v>
      </c>
      <c r="E2178" s="300">
        <f>45*2</f>
        <v>90</v>
      </c>
      <c r="F2178" s="300">
        <f t="shared" si="2375"/>
        <v>90</v>
      </c>
      <c r="G2178" s="302">
        <f>(0.25*2)+17*0.008*2</f>
        <v>0.77</v>
      </c>
      <c r="H2178" s="310" t="str">
        <f t="shared" si="2368"/>
        <v/>
      </c>
      <c r="I2178" s="311">
        <f t="shared" si="2369"/>
        <v>69.3</v>
      </c>
      <c r="J2178" s="311" t="str">
        <f t="shared" si="2370"/>
        <v/>
      </c>
      <c r="K2178" s="311" t="str">
        <f t="shared" si="2371"/>
        <v/>
      </c>
      <c r="L2178" s="310" t="str">
        <f t="shared" si="2372"/>
        <v/>
      </c>
      <c r="M2178" s="310" t="str">
        <f t="shared" si="2373"/>
        <v/>
      </c>
      <c r="N2178" s="311" t="str">
        <f t="shared" si="2374"/>
        <v/>
      </c>
    </row>
    <row r="2179" spans="1:14">
      <c r="A2179" s="253"/>
      <c r="B2179" s="254"/>
      <c r="C2179" s="299"/>
      <c r="D2179" s="299"/>
      <c r="E2179" s="300"/>
      <c r="F2179" s="300"/>
      <c r="G2179" s="302"/>
      <c r="H2179" s="310"/>
      <c r="I2179" s="311"/>
      <c r="J2179" s="311"/>
      <c r="K2179" s="311"/>
      <c r="L2179" s="310"/>
      <c r="M2179" s="310"/>
      <c r="N2179" s="311"/>
    </row>
    <row r="2180" spans="1:14" ht="16.5">
      <c r="A2180" s="303" t="s">
        <v>1461</v>
      </c>
      <c r="B2180" s="254"/>
      <c r="C2180" s="299"/>
      <c r="D2180" s="299"/>
      <c r="E2180" s="300"/>
      <c r="F2180" s="300"/>
      <c r="G2180" s="302"/>
      <c r="H2180" s="310"/>
      <c r="I2180" s="311"/>
      <c r="J2180" s="311"/>
      <c r="K2180" s="311"/>
      <c r="L2180" s="310"/>
      <c r="M2180" s="310"/>
      <c r="N2180" s="311"/>
    </row>
    <row r="2181" spans="1:14" s="294" customFormat="1">
      <c r="A2181" s="297" t="s">
        <v>1515</v>
      </c>
      <c r="B2181" s="298"/>
      <c r="C2181" s="299" t="s">
        <v>1519</v>
      </c>
      <c r="D2181" s="299">
        <v>1</v>
      </c>
      <c r="E2181" s="300">
        <v>3</v>
      </c>
      <c r="F2181" s="300">
        <f>E2181*D2181</f>
        <v>3</v>
      </c>
      <c r="G2181" s="299">
        <f>2.55+17*0.01*2</f>
        <v>2.89</v>
      </c>
      <c r="H2181" s="310" t="str">
        <f t="shared" ref="H2181:H2185" si="2376">IF(C2181="T6",G2181*F2181,"")</f>
        <v/>
      </c>
      <c r="I2181" s="311" t="str">
        <f t="shared" ref="I2181:I2185" si="2377">IF(C2181="T8",F2181*G2181,"")</f>
        <v/>
      </c>
      <c r="J2181" s="311">
        <f t="shared" ref="J2181:J2185" si="2378">IF(C2181="T10",F2181*G2181,"")</f>
        <v>8.67</v>
      </c>
      <c r="K2181" s="311" t="str">
        <f t="shared" ref="K2181:K2185" si="2379">IF(C2181="T12",F2181*G2181,"")</f>
        <v/>
      </c>
      <c r="L2181" s="310" t="str">
        <f t="shared" ref="L2181:L2185" si="2380">IF(C2181="T14",F2181*G2181,"")</f>
        <v/>
      </c>
      <c r="M2181" s="310" t="str">
        <f t="shared" ref="M2181:M2185" si="2381">IF(C2181="T16",G2181*F2181,"")</f>
        <v/>
      </c>
      <c r="N2181" s="311" t="str">
        <f t="shared" ref="N2181:N2185" si="2382">IF(C2181="T20",G2181*F2181,"")</f>
        <v/>
      </c>
    </row>
    <row r="2182" spans="1:14" s="294" customFormat="1">
      <c r="A2182" s="297" t="s">
        <v>1515</v>
      </c>
      <c r="B2182" s="298"/>
      <c r="C2182" s="299" t="s">
        <v>1516</v>
      </c>
      <c r="D2182" s="299">
        <v>1</v>
      </c>
      <c r="E2182" s="300">
        <v>3</v>
      </c>
      <c r="F2182" s="300">
        <f>E2182*D2182</f>
        <v>3</v>
      </c>
      <c r="G2182" s="302">
        <f>(2.55)+17*0.012*2</f>
        <v>2.96</v>
      </c>
      <c r="H2182" s="310" t="str">
        <f t="shared" si="2376"/>
        <v/>
      </c>
      <c r="I2182" s="311" t="str">
        <f t="shared" si="2377"/>
        <v/>
      </c>
      <c r="J2182" s="311" t="str">
        <f t="shared" si="2378"/>
        <v/>
      </c>
      <c r="K2182" s="311">
        <f t="shared" si="2379"/>
        <v>8.8800000000000008</v>
      </c>
      <c r="L2182" s="310" t="str">
        <f t="shared" si="2380"/>
        <v/>
      </c>
      <c r="M2182" s="310" t="str">
        <f t="shared" si="2381"/>
        <v/>
      </c>
      <c r="N2182" s="311" t="str">
        <f t="shared" si="2382"/>
        <v/>
      </c>
    </row>
    <row r="2183" spans="1:14" s="294" customFormat="1">
      <c r="A2183" s="297" t="s">
        <v>1494</v>
      </c>
      <c r="B2183" s="301"/>
      <c r="C2183" s="299" t="s">
        <v>1496</v>
      </c>
      <c r="D2183" s="299">
        <v>1</v>
      </c>
      <c r="E2183" s="300">
        <f>8+10+8</f>
        <v>26</v>
      </c>
      <c r="F2183" s="300">
        <f t="shared" ref="F2183:F2184" si="2383">E2183*D2183</f>
        <v>26</v>
      </c>
      <c r="G2183" s="302">
        <f>(0.2+0.25)*2+17*0.008*2</f>
        <v>1.17</v>
      </c>
      <c r="H2183" s="310" t="str">
        <f t="shared" si="2376"/>
        <v/>
      </c>
      <c r="I2183" s="311">
        <f t="shared" si="2377"/>
        <v>30.42</v>
      </c>
      <c r="J2183" s="311" t="str">
        <f t="shared" si="2378"/>
        <v/>
      </c>
      <c r="K2183" s="311" t="str">
        <f t="shared" si="2379"/>
        <v/>
      </c>
      <c r="L2183" s="310" t="str">
        <f t="shared" si="2380"/>
        <v/>
      </c>
      <c r="M2183" s="310" t="str">
        <f t="shared" si="2381"/>
        <v/>
      </c>
      <c r="N2183" s="311" t="str">
        <f t="shared" si="2382"/>
        <v/>
      </c>
    </row>
    <row r="2184" spans="1:14" s="294" customFormat="1">
      <c r="A2184" s="297" t="s">
        <v>1517</v>
      </c>
      <c r="B2184" s="301"/>
      <c r="C2184" s="299" t="s">
        <v>1496</v>
      </c>
      <c r="D2184" s="299">
        <v>1</v>
      </c>
      <c r="E2184" s="300">
        <v>26</v>
      </c>
      <c r="F2184" s="300">
        <f t="shared" si="2383"/>
        <v>26</v>
      </c>
      <c r="G2184" s="302">
        <f>(0.25*2)+17*0.008*2</f>
        <v>0.77</v>
      </c>
      <c r="H2184" s="310" t="str">
        <f t="shared" si="2376"/>
        <v/>
      </c>
      <c r="I2184" s="311">
        <f t="shared" si="2377"/>
        <v>20.02</v>
      </c>
      <c r="J2184" s="311" t="str">
        <f t="shared" si="2378"/>
        <v/>
      </c>
      <c r="K2184" s="311" t="str">
        <f t="shared" si="2379"/>
        <v/>
      </c>
      <c r="L2184" s="310" t="str">
        <f t="shared" si="2380"/>
        <v/>
      </c>
      <c r="M2184" s="310" t="str">
        <f t="shared" si="2381"/>
        <v/>
      </c>
      <c r="N2184" s="311" t="str">
        <f t="shared" si="2382"/>
        <v/>
      </c>
    </row>
    <row r="2185" spans="1:14">
      <c r="A2185" s="297" t="s">
        <v>1518</v>
      </c>
      <c r="B2185" s="254"/>
      <c r="C2185" s="299" t="s">
        <v>1492</v>
      </c>
      <c r="D2185" s="299">
        <v>1</v>
      </c>
      <c r="E2185" s="300">
        <v>3</v>
      </c>
      <c r="F2185" s="300">
        <f>E2185*D2185</f>
        <v>3</v>
      </c>
      <c r="G2185" s="302">
        <v>1.4</v>
      </c>
      <c r="H2185" s="310" t="str">
        <f t="shared" si="2376"/>
        <v/>
      </c>
      <c r="I2185" s="311" t="str">
        <f t="shared" si="2377"/>
        <v/>
      </c>
      <c r="J2185" s="311" t="str">
        <f t="shared" si="2378"/>
        <v/>
      </c>
      <c r="K2185" s="311" t="str">
        <f t="shared" si="2379"/>
        <v/>
      </c>
      <c r="L2185" s="310">
        <f t="shared" si="2380"/>
        <v>4.2</v>
      </c>
      <c r="M2185" s="310" t="str">
        <f t="shared" si="2381"/>
        <v/>
      </c>
      <c r="N2185" s="311" t="str">
        <f t="shared" si="2382"/>
        <v/>
      </c>
    </row>
    <row r="2186" spans="1:14">
      <c r="A2186" s="297" t="s">
        <v>1518</v>
      </c>
      <c r="B2186" s="254"/>
      <c r="C2186" s="299" t="s">
        <v>1492</v>
      </c>
      <c r="D2186" s="299">
        <v>1</v>
      </c>
      <c r="E2186" s="300">
        <v>3</v>
      </c>
      <c r="F2186" s="300">
        <f>E2186*D2186</f>
        <v>3</v>
      </c>
      <c r="G2186" s="302">
        <v>3.2</v>
      </c>
      <c r="H2186" s="310" t="str">
        <f t="shared" ref="H2186" si="2384">IF(C2186="T6",G2186*F2186,"")</f>
        <v/>
      </c>
      <c r="I2186" s="311" t="str">
        <f t="shared" ref="I2186" si="2385">IF(C2186="T8",F2186*G2186,"")</f>
        <v/>
      </c>
      <c r="J2186" s="311" t="str">
        <f t="shared" ref="J2186" si="2386">IF(C2186="T10",F2186*G2186,"")</f>
        <v/>
      </c>
      <c r="K2186" s="311" t="str">
        <f t="shared" ref="K2186" si="2387">IF(C2186="T12",F2186*G2186,"")</f>
        <v/>
      </c>
      <c r="L2186" s="310">
        <f t="shared" ref="L2186" si="2388">IF(C2186="T14",F2186*G2186,"")</f>
        <v>9.6</v>
      </c>
      <c r="M2186" s="310" t="str">
        <f t="shared" ref="M2186" si="2389">IF(C2186="T16",G2186*F2186,"")</f>
        <v/>
      </c>
      <c r="N2186" s="311" t="str">
        <f t="shared" ref="N2186" si="2390">IF(C2186="T20",G2186*F2186,"")</f>
        <v/>
      </c>
    </row>
    <row r="2187" spans="1:14" ht="16.5">
      <c r="A2187" s="303"/>
      <c r="B2187" s="254"/>
      <c r="C2187" s="299"/>
      <c r="D2187" s="299"/>
      <c r="E2187" s="300"/>
      <c r="F2187" s="300"/>
      <c r="G2187" s="302"/>
      <c r="H2187" s="310"/>
      <c r="I2187" s="311"/>
      <c r="J2187" s="311"/>
      <c r="K2187" s="311"/>
      <c r="L2187" s="310"/>
      <c r="M2187" s="310"/>
      <c r="N2187" s="311"/>
    </row>
    <row r="2188" spans="1:14" ht="16.5">
      <c r="A2188" s="303" t="s">
        <v>1465</v>
      </c>
      <c r="B2188" s="254"/>
      <c r="C2188" s="299"/>
      <c r="D2188" s="299"/>
      <c r="E2188" s="300"/>
      <c r="F2188" s="300"/>
      <c r="G2188" s="302"/>
      <c r="H2188" s="310"/>
      <c r="I2188" s="311"/>
      <c r="J2188" s="311"/>
      <c r="K2188" s="311"/>
      <c r="L2188" s="310"/>
      <c r="M2188" s="310"/>
      <c r="N2188" s="311"/>
    </row>
    <row r="2189" spans="1:14" s="294" customFormat="1">
      <c r="A2189" s="297" t="s">
        <v>1515</v>
      </c>
      <c r="B2189" s="298"/>
      <c r="C2189" s="299" t="s">
        <v>1519</v>
      </c>
      <c r="D2189" s="299">
        <v>1</v>
      </c>
      <c r="E2189" s="300">
        <v>3</v>
      </c>
      <c r="F2189" s="300">
        <f>E2189*D2189</f>
        <v>3</v>
      </c>
      <c r="G2189" s="299">
        <f>3.9+17*0.01*2</f>
        <v>4.24</v>
      </c>
      <c r="H2189" s="310" t="str">
        <f t="shared" ref="H2189:H2194" si="2391">IF(C2189="T6",G2189*F2189,"")</f>
        <v/>
      </c>
      <c r="I2189" s="311" t="str">
        <f t="shared" ref="I2189:I2194" si="2392">IF(C2189="T8",F2189*G2189,"")</f>
        <v/>
      </c>
      <c r="J2189" s="311">
        <f t="shared" ref="J2189:J2194" si="2393">IF(C2189="T10",F2189*G2189,"")</f>
        <v>12.72</v>
      </c>
      <c r="K2189" s="311" t="str">
        <f t="shared" ref="K2189:K2194" si="2394">IF(C2189="T12",F2189*G2189,"")</f>
        <v/>
      </c>
      <c r="L2189" s="310" t="str">
        <f t="shared" ref="L2189:L2194" si="2395">IF(C2189="T14",F2189*G2189,"")</f>
        <v/>
      </c>
      <c r="M2189" s="310" t="str">
        <f t="shared" ref="M2189:M2194" si="2396">IF(C2189="T16",G2189*F2189,"")</f>
        <v/>
      </c>
      <c r="N2189" s="311" t="str">
        <f t="shared" ref="N2189:N2194" si="2397">IF(C2189="T20",G2189*F2189,"")</f>
        <v/>
      </c>
    </row>
    <row r="2190" spans="1:14" s="294" customFormat="1">
      <c r="A2190" s="297" t="s">
        <v>1515</v>
      </c>
      <c r="B2190" s="298"/>
      <c r="C2190" s="299" t="s">
        <v>1516</v>
      </c>
      <c r="D2190" s="299">
        <v>1</v>
      </c>
      <c r="E2190" s="300">
        <v>3</v>
      </c>
      <c r="F2190" s="300">
        <f>E2190*D2190</f>
        <v>3</v>
      </c>
      <c r="G2190" s="302">
        <f>(3.9)+17*0.012*2</f>
        <v>4.3099999999999996</v>
      </c>
      <c r="H2190" s="310" t="str">
        <f t="shared" si="2391"/>
        <v/>
      </c>
      <c r="I2190" s="311" t="str">
        <f t="shared" si="2392"/>
        <v/>
      </c>
      <c r="J2190" s="311" t="str">
        <f t="shared" si="2393"/>
        <v/>
      </c>
      <c r="K2190" s="311">
        <f t="shared" si="2394"/>
        <v>12.93</v>
      </c>
      <c r="L2190" s="310" t="str">
        <f t="shared" si="2395"/>
        <v/>
      </c>
      <c r="M2190" s="310" t="str">
        <f t="shared" si="2396"/>
        <v/>
      </c>
      <c r="N2190" s="311" t="str">
        <f t="shared" si="2397"/>
        <v/>
      </c>
    </row>
    <row r="2191" spans="1:14" s="294" customFormat="1">
      <c r="A2191" s="297" t="s">
        <v>1494</v>
      </c>
      <c r="B2191" s="301"/>
      <c r="C2191" s="299" t="s">
        <v>1496</v>
      </c>
      <c r="D2191" s="299">
        <v>1</v>
      </c>
      <c r="E2191" s="300">
        <f>12+11+12</f>
        <v>35</v>
      </c>
      <c r="F2191" s="300">
        <f t="shared" ref="F2191:F2192" si="2398">E2191*D2191</f>
        <v>35</v>
      </c>
      <c r="G2191" s="302">
        <f>(0.2+0.35)*2+17*0.008*2</f>
        <v>1.37</v>
      </c>
      <c r="H2191" s="310" t="str">
        <f t="shared" si="2391"/>
        <v/>
      </c>
      <c r="I2191" s="311">
        <f t="shared" si="2392"/>
        <v>47.95</v>
      </c>
      <c r="J2191" s="311" t="str">
        <f t="shared" si="2393"/>
        <v/>
      </c>
      <c r="K2191" s="311" t="str">
        <f t="shared" si="2394"/>
        <v/>
      </c>
      <c r="L2191" s="310" t="str">
        <f t="shared" si="2395"/>
        <v/>
      </c>
      <c r="M2191" s="310" t="str">
        <f t="shared" si="2396"/>
        <v/>
      </c>
      <c r="N2191" s="311" t="str">
        <f t="shared" si="2397"/>
        <v/>
      </c>
    </row>
    <row r="2192" spans="1:14" s="294" customFormat="1">
      <c r="A2192" s="297" t="s">
        <v>1517</v>
      </c>
      <c r="B2192" s="301"/>
      <c r="C2192" s="299" t="s">
        <v>1496</v>
      </c>
      <c r="D2192" s="299">
        <v>1</v>
      </c>
      <c r="E2192" s="300">
        <v>35</v>
      </c>
      <c r="F2192" s="300">
        <f t="shared" si="2398"/>
        <v>35</v>
      </c>
      <c r="G2192" s="302">
        <f>(0.35*2)+17*0.008*2</f>
        <v>0.97</v>
      </c>
      <c r="H2192" s="310" t="str">
        <f t="shared" si="2391"/>
        <v/>
      </c>
      <c r="I2192" s="311">
        <f t="shared" si="2392"/>
        <v>33.950000000000003</v>
      </c>
      <c r="J2192" s="311" t="str">
        <f t="shared" si="2393"/>
        <v/>
      </c>
      <c r="K2192" s="311" t="str">
        <f t="shared" si="2394"/>
        <v/>
      </c>
      <c r="L2192" s="310" t="str">
        <f t="shared" si="2395"/>
        <v/>
      </c>
      <c r="M2192" s="310" t="str">
        <f t="shared" si="2396"/>
        <v/>
      </c>
      <c r="N2192" s="311" t="str">
        <f t="shared" si="2397"/>
        <v/>
      </c>
    </row>
    <row r="2193" spans="1:14">
      <c r="A2193" s="297" t="s">
        <v>1518</v>
      </c>
      <c r="B2193" s="254"/>
      <c r="C2193" s="299" t="s">
        <v>1492</v>
      </c>
      <c r="D2193" s="299">
        <v>1</v>
      </c>
      <c r="E2193" s="300">
        <v>3</v>
      </c>
      <c r="F2193" s="300">
        <f>E2193*D2193</f>
        <v>3</v>
      </c>
      <c r="G2193" s="302">
        <v>2.2000000000000002</v>
      </c>
      <c r="H2193" s="310" t="str">
        <f t="shared" si="2391"/>
        <v/>
      </c>
      <c r="I2193" s="311" t="str">
        <f t="shared" si="2392"/>
        <v/>
      </c>
      <c r="J2193" s="311" t="str">
        <f t="shared" si="2393"/>
        <v/>
      </c>
      <c r="K2193" s="311" t="str">
        <f t="shared" si="2394"/>
        <v/>
      </c>
      <c r="L2193" s="310">
        <f t="shared" si="2395"/>
        <v>6.6</v>
      </c>
      <c r="M2193" s="310" t="str">
        <f t="shared" si="2396"/>
        <v/>
      </c>
      <c r="N2193" s="311" t="str">
        <f t="shared" si="2397"/>
        <v/>
      </c>
    </row>
    <row r="2194" spans="1:14">
      <c r="A2194" s="297" t="s">
        <v>1518</v>
      </c>
      <c r="B2194" s="254"/>
      <c r="C2194" s="299" t="s">
        <v>1492</v>
      </c>
      <c r="D2194" s="299">
        <v>1</v>
      </c>
      <c r="E2194" s="300">
        <v>3</v>
      </c>
      <c r="F2194" s="300">
        <f>E2194*D2194</f>
        <v>3</v>
      </c>
      <c r="G2194" s="302">
        <v>3.2</v>
      </c>
      <c r="H2194" s="310" t="str">
        <f t="shared" si="2391"/>
        <v/>
      </c>
      <c r="I2194" s="311" t="str">
        <f t="shared" si="2392"/>
        <v/>
      </c>
      <c r="J2194" s="311" t="str">
        <f t="shared" si="2393"/>
        <v/>
      </c>
      <c r="K2194" s="311" t="str">
        <f t="shared" si="2394"/>
        <v/>
      </c>
      <c r="L2194" s="310">
        <f t="shared" si="2395"/>
        <v>9.6</v>
      </c>
      <c r="M2194" s="310" t="str">
        <f t="shared" si="2396"/>
        <v/>
      </c>
      <c r="N2194" s="311" t="str">
        <f t="shared" si="2397"/>
        <v/>
      </c>
    </row>
    <row r="2195" spans="1:14" ht="16.5">
      <c r="A2195" s="303"/>
      <c r="B2195" s="254"/>
      <c r="C2195" s="299"/>
      <c r="D2195" s="299"/>
      <c r="E2195" s="300"/>
      <c r="F2195" s="300"/>
      <c r="G2195" s="302"/>
      <c r="H2195" s="310"/>
      <c r="I2195" s="311"/>
      <c r="J2195" s="311"/>
      <c r="K2195" s="311"/>
      <c r="L2195" s="310"/>
      <c r="M2195" s="310"/>
      <c r="N2195" s="311"/>
    </row>
    <row r="2196" spans="1:14" ht="16.5">
      <c r="A2196" s="303" t="s">
        <v>1464</v>
      </c>
      <c r="B2196" s="254"/>
      <c r="C2196" s="299"/>
      <c r="D2196" s="299"/>
      <c r="E2196" s="300"/>
      <c r="F2196" s="300"/>
      <c r="G2196" s="302"/>
      <c r="H2196" s="310"/>
      <c r="I2196" s="311"/>
      <c r="J2196" s="311"/>
      <c r="K2196" s="311"/>
      <c r="L2196" s="310"/>
      <c r="M2196" s="310"/>
      <c r="N2196" s="311"/>
    </row>
    <row r="2197" spans="1:14" s="294" customFormat="1">
      <c r="A2197" s="297" t="s">
        <v>1515</v>
      </c>
      <c r="B2197" s="298"/>
      <c r="C2197" s="299" t="s">
        <v>1519</v>
      </c>
      <c r="D2197" s="299">
        <v>1</v>
      </c>
      <c r="E2197" s="300">
        <v>3</v>
      </c>
      <c r="F2197" s="300">
        <f>E2197*D2197</f>
        <v>3</v>
      </c>
      <c r="G2197" s="299">
        <f>3.5+17*0.01*2</f>
        <v>3.84</v>
      </c>
      <c r="H2197" s="310" t="str">
        <f t="shared" ref="H2197:H2203" si="2399">IF(C2197="T6",G2197*F2197,"")</f>
        <v/>
      </c>
      <c r="I2197" s="311" t="str">
        <f t="shared" ref="I2197:I2203" si="2400">IF(C2197="T8",F2197*G2197,"")</f>
        <v/>
      </c>
      <c r="J2197" s="311">
        <f t="shared" ref="J2197:J2203" si="2401">IF(C2197="T10",F2197*G2197,"")</f>
        <v>11.52</v>
      </c>
      <c r="K2197" s="311" t="str">
        <f t="shared" ref="K2197:K2203" si="2402">IF(C2197="T12",F2197*G2197,"")</f>
        <v/>
      </c>
      <c r="L2197" s="310" t="str">
        <f t="shared" ref="L2197:L2203" si="2403">IF(C2197="T14",F2197*G2197,"")</f>
        <v/>
      </c>
      <c r="M2197" s="310" t="str">
        <f t="shared" ref="M2197:M2203" si="2404">IF(C2197="T16",G2197*F2197,"")</f>
        <v/>
      </c>
      <c r="N2197" s="311" t="str">
        <f t="shared" ref="N2197:N2203" si="2405">IF(C2197="T20",G2197*F2197,"")</f>
        <v/>
      </c>
    </row>
    <row r="2198" spans="1:14" s="294" customFormat="1">
      <c r="A2198" s="297" t="s">
        <v>1515</v>
      </c>
      <c r="B2198" s="298"/>
      <c r="C2198" s="299" t="s">
        <v>1516</v>
      </c>
      <c r="D2198" s="299">
        <v>1</v>
      </c>
      <c r="E2198" s="300">
        <v>3</v>
      </c>
      <c r="F2198" s="300">
        <f>E2198*D2198</f>
        <v>3</v>
      </c>
      <c r="G2198" s="302">
        <f>(3.5)+17*0.012*2</f>
        <v>3.91</v>
      </c>
      <c r="H2198" s="310" t="str">
        <f t="shared" si="2399"/>
        <v/>
      </c>
      <c r="I2198" s="311" t="str">
        <f t="shared" si="2400"/>
        <v/>
      </c>
      <c r="J2198" s="311" t="str">
        <f t="shared" si="2401"/>
        <v/>
      </c>
      <c r="K2198" s="311">
        <f t="shared" si="2402"/>
        <v>11.73</v>
      </c>
      <c r="L2198" s="310" t="str">
        <f t="shared" si="2403"/>
        <v/>
      </c>
      <c r="M2198" s="310" t="str">
        <f t="shared" si="2404"/>
        <v/>
      </c>
      <c r="N2198" s="311" t="str">
        <f t="shared" si="2405"/>
        <v/>
      </c>
    </row>
    <row r="2199" spans="1:14" s="294" customFormat="1">
      <c r="A2199" s="297"/>
      <c r="B2199" s="298"/>
      <c r="C2199" s="299" t="s">
        <v>1519</v>
      </c>
      <c r="D2199" s="299">
        <v>1</v>
      </c>
      <c r="E2199" s="300">
        <v>2</v>
      </c>
      <c r="F2199" s="300">
        <f>E2199*D2199</f>
        <v>2</v>
      </c>
      <c r="G2199" s="299">
        <v>3.5</v>
      </c>
      <c r="H2199" s="310" t="str">
        <f t="shared" ref="H2199" si="2406">IF(C2199="T6",G2199*F2199,"")</f>
        <v/>
      </c>
      <c r="I2199" s="311" t="str">
        <f t="shared" ref="I2199" si="2407">IF(C2199="T8",F2199*G2199,"")</f>
        <v/>
      </c>
      <c r="J2199" s="311">
        <f t="shared" ref="J2199" si="2408">IF(C2199="T10",F2199*G2199,"")</f>
        <v>7</v>
      </c>
      <c r="K2199" s="311" t="str">
        <f t="shared" ref="K2199" si="2409">IF(C2199="T12",F2199*G2199,"")</f>
        <v/>
      </c>
      <c r="L2199" s="310" t="str">
        <f t="shared" ref="L2199" si="2410">IF(C2199="T14",F2199*G2199,"")</f>
        <v/>
      </c>
      <c r="M2199" s="310" t="str">
        <f t="shared" ref="M2199" si="2411">IF(C2199="T16",G2199*F2199,"")</f>
        <v/>
      </c>
      <c r="N2199" s="311" t="str">
        <f t="shared" ref="N2199" si="2412">IF(C2199="T20",G2199*F2199,"")</f>
        <v/>
      </c>
    </row>
    <row r="2200" spans="1:14" s="294" customFormat="1">
      <c r="A2200" s="297" t="s">
        <v>1494</v>
      </c>
      <c r="B2200" s="301"/>
      <c r="C2200" s="299" t="s">
        <v>1496</v>
      </c>
      <c r="D2200" s="299">
        <v>1</v>
      </c>
      <c r="E2200" s="300">
        <f>15+12+15</f>
        <v>42</v>
      </c>
      <c r="F2200" s="300">
        <f t="shared" ref="F2200:F2201" si="2413">E2200*D2200</f>
        <v>42</v>
      </c>
      <c r="G2200" s="302">
        <f>(0.2+0.5)*2+17*0.008*2</f>
        <v>1.67</v>
      </c>
      <c r="H2200" s="310" t="str">
        <f t="shared" si="2399"/>
        <v/>
      </c>
      <c r="I2200" s="311">
        <f t="shared" si="2400"/>
        <v>70.14</v>
      </c>
      <c r="J2200" s="311" t="str">
        <f t="shared" si="2401"/>
        <v/>
      </c>
      <c r="K2200" s="311" t="str">
        <f t="shared" si="2402"/>
        <v/>
      </c>
      <c r="L2200" s="310" t="str">
        <f t="shared" si="2403"/>
        <v/>
      </c>
      <c r="M2200" s="310" t="str">
        <f t="shared" si="2404"/>
        <v/>
      </c>
      <c r="N2200" s="311" t="str">
        <f t="shared" si="2405"/>
        <v/>
      </c>
    </row>
    <row r="2201" spans="1:14" s="294" customFormat="1">
      <c r="A2201" s="297" t="s">
        <v>1517</v>
      </c>
      <c r="B2201" s="301"/>
      <c r="C2201" s="299" t="s">
        <v>1496</v>
      </c>
      <c r="D2201" s="299">
        <v>1</v>
      </c>
      <c r="E2201" s="300">
        <v>42</v>
      </c>
      <c r="F2201" s="300">
        <f t="shared" si="2413"/>
        <v>42</v>
      </c>
      <c r="G2201" s="302">
        <f>(0.5*2)+17*0.008*2</f>
        <v>1.27</v>
      </c>
      <c r="H2201" s="310" t="str">
        <f t="shared" si="2399"/>
        <v/>
      </c>
      <c r="I2201" s="311">
        <f t="shared" si="2400"/>
        <v>53.34</v>
      </c>
      <c r="J2201" s="311" t="str">
        <f t="shared" si="2401"/>
        <v/>
      </c>
      <c r="K2201" s="311" t="str">
        <f t="shared" si="2402"/>
        <v/>
      </c>
      <c r="L2201" s="310" t="str">
        <f t="shared" si="2403"/>
        <v/>
      </c>
      <c r="M2201" s="310" t="str">
        <f t="shared" si="2404"/>
        <v/>
      </c>
      <c r="N2201" s="311" t="str">
        <f t="shared" si="2405"/>
        <v/>
      </c>
    </row>
    <row r="2202" spans="1:14">
      <c r="A2202" s="297" t="s">
        <v>1518</v>
      </c>
      <c r="B2202" s="254"/>
      <c r="C2202" s="299" t="s">
        <v>1492</v>
      </c>
      <c r="D2202" s="299">
        <v>1</v>
      </c>
      <c r="E2202" s="300">
        <v>3</v>
      </c>
      <c r="F2202" s="300">
        <f>E2202*D2202</f>
        <v>3</v>
      </c>
      <c r="G2202" s="302">
        <v>2.2000000000000002</v>
      </c>
      <c r="H2202" s="310" t="str">
        <f t="shared" si="2399"/>
        <v/>
      </c>
      <c r="I2202" s="311" t="str">
        <f t="shared" si="2400"/>
        <v/>
      </c>
      <c r="J2202" s="311" t="str">
        <f t="shared" si="2401"/>
        <v/>
      </c>
      <c r="K2202" s="311" t="str">
        <f t="shared" si="2402"/>
        <v/>
      </c>
      <c r="L2202" s="310">
        <f t="shared" si="2403"/>
        <v>6.6</v>
      </c>
      <c r="M2202" s="310" t="str">
        <f t="shared" si="2404"/>
        <v/>
      </c>
      <c r="N2202" s="311" t="str">
        <f t="shared" si="2405"/>
        <v/>
      </c>
    </row>
    <row r="2203" spans="1:14">
      <c r="A2203" s="297" t="s">
        <v>1518</v>
      </c>
      <c r="B2203" s="254"/>
      <c r="C2203" s="299" t="s">
        <v>1516</v>
      </c>
      <c r="D2203" s="299">
        <v>1</v>
      </c>
      <c r="E2203" s="300">
        <v>3</v>
      </c>
      <c r="F2203" s="300">
        <f>E2203*D2203</f>
        <v>3</v>
      </c>
      <c r="G2203" s="302">
        <v>1</v>
      </c>
      <c r="H2203" s="310" t="str">
        <f t="shared" si="2399"/>
        <v/>
      </c>
      <c r="I2203" s="311" t="str">
        <f t="shared" si="2400"/>
        <v/>
      </c>
      <c r="J2203" s="311" t="str">
        <f t="shared" si="2401"/>
        <v/>
      </c>
      <c r="K2203" s="311">
        <f t="shared" si="2402"/>
        <v>3</v>
      </c>
      <c r="L2203" s="310" t="str">
        <f t="shared" si="2403"/>
        <v/>
      </c>
      <c r="M2203" s="310" t="str">
        <f t="shared" si="2404"/>
        <v/>
      </c>
      <c r="N2203" s="311" t="str">
        <f t="shared" si="2405"/>
        <v/>
      </c>
    </row>
    <row r="2204" spans="1:14" ht="16.5">
      <c r="A2204" s="303"/>
      <c r="B2204" s="254"/>
      <c r="C2204" s="299"/>
      <c r="D2204" s="299"/>
      <c r="E2204" s="300"/>
      <c r="F2204" s="300"/>
      <c r="G2204" s="302"/>
      <c r="H2204" s="310"/>
      <c r="I2204" s="311"/>
      <c r="J2204" s="311"/>
      <c r="K2204" s="311"/>
      <c r="L2204" s="310"/>
      <c r="M2204" s="310"/>
      <c r="N2204" s="311"/>
    </row>
    <row r="2205" spans="1:14" ht="16.5">
      <c r="A2205" s="303" t="s">
        <v>1463</v>
      </c>
      <c r="B2205" s="254"/>
      <c r="C2205" s="299"/>
      <c r="D2205" s="299"/>
      <c r="E2205" s="300"/>
      <c r="F2205" s="300"/>
      <c r="G2205" s="302"/>
      <c r="H2205" s="310"/>
      <c r="I2205" s="311"/>
      <c r="J2205" s="311"/>
      <c r="K2205" s="311"/>
      <c r="L2205" s="310"/>
      <c r="M2205" s="310"/>
      <c r="N2205" s="311"/>
    </row>
    <row r="2206" spans="1:14" s="294" customFormat="1">
      <c r="A2206" s="297" t="s">
        <v>1515</v>
      </c>
      <c r="B2206" s="298"/>
      <c r="C2206" s="299" t="s">
        <v>1519</v>
      </c>
      <c r="D2206" s="299">
        <v>1</v>
      </c>
      <c r="E2206" s="300">
        <v>3</v>
      </c>
      <c r="F2206" s="300">
        <f>E2206*D2206</f>
        <v>3</v>
      </c>
      <c r="G2206" s="299">
        <f>4.25+17*0.01*2</f>
        <v>4.59</v>
      </c>
      <c r="H2206" s="310" t="str">
        <f t="shared" ref="H2206:H2212" si="2414">IF(C2206="T6",G2206*F2206,"")</f>
        <v/>
      </c>
      <c r="I2206" s="311" t="str">
        <f t="shared" ref="I2206:I2212" si="2415">IF(C2206="T8",F2206*G2206,"")</f>
        <v/>
      </c>
      <c r="J2206" s="311">
        <f t="shared" ref="J2206:J2212" si="2416">IF(C2206="T10",F2206*G2206,"")</f>
        <v>13.77</v>
      </c>
      <c r="K2206" s="311" t="str">
        <f t="shared" ref="K2206:K2212" si="2417">IF(C2206="T12",F2206*G2206,"")</f>
        <v/>
      </c>
      <c r="L2206" s="310" t="str">
        <f t="shared" ref="L2206:L2212" si="2418">IF(C2206="T14",F2206*G2206,"")</f>
        <v/>
      </c>
      <c r="M2206" s="310" t="str">
        <f t="shared" ref="M2206:M2212" si="2419">IF(C2206="T16",G2206*F2206,"")</f>
        <v/>
      </c>
      <c r="N2206" s="311" t="str">
        <f t="shared" ref="N2206:N2212" si="2420">IF(C2206="T20",G2206*F2206,"")</f>
        <v/>
      </c>
    </row>
    <row r="2207" spans="1:14" s="294" customFormat="1">
      <c r="A2207" s="297" t="s">
        <v>1515</v>
      </c>
      <c r="B2207" s="298"/>
      <c r="C2207" s="299" t="s">
        <v>1516</v>
      </c>
      <c r="D2207" s="299">
        <v>1</v>
      </c>
      <c r="E2207" s="300">
        <v>3</v>
      </c>
      <c r="F2207" s="300">
        <f>E2207*D2207</f>
        <v>3</v>
      </c>
      <c r="G2207" s="302">
        <f>(4.25)+17*0.012*2</f>
        <v>4.66</v>
      </c>
      <c r="H2207" s="310" t="str">
        <f t="shared" si="2414"/>
        <v/>
      </c>
      <c r="I2207" s="311" t="str">
        <f t="shared" si="2415"/>
        <v/>
      </c>
      <c r="J2207" s="311" t="str">
        <f t="shared" si="2416"/>
        <v/>
      </c>
      <c r="K2207" s="311">
        <f t="shared" si="2417"/>
        <v>13.98</v>
      </c>
      <c r="L2207" s="310" t="str">
        <f t="shared" si="2418"/>
        <v/>
      </c>
      <c r="M2207" s="310" t="str">
        <f t="shared" si="2419"/>
        <v/>
      </c>
      <c r="N2207" s="311" t="str">
        <f t="shared" si="2420"/>
        <v/>
      </c>
    </row>
    <row r="2208" spans="1:14" s="294" customFormat="1">
      <c r="A2208" s="297"/>
      <c r="B2208" s="298"/>
      <c r="C2208" s="299" t="s">
        <v>1519</v>
      </c>
      <c r="D2208" s="299">
        <v>1</v>
      </c>
      <c r="E2208" s="300">
        <v>2</v>
      </c>
      <c r="F2208" s="300">
        <f>E2208*D2208</f>
        <v>2</v>
      </c>
      <c r="G2208" s="299">
        <v>4.25</v>
      </c>
      <c r="H2208" s="310" t="str">
        <f t="shared" si="2414"/>
        <v/>
      </c>
      <c r="I2208" s="311" t="str">
        <f t="shared" si="2415"/>
        <v/>
      </c>
      <c r="J2208" s="311">
        <f t="shared" si="2416"/>
        <v>8.5</v>
      </c>
      <c r="K2208" s="311" t="str">
        <f t="shared" si="2417"/>
        <v/>
      </c>
      <c r="L2208" s="310" t="str">
        <f t="shared" si="2418"/>
        <v/>
      </c>
      <c r="M2208" s="310" t="str">
        <f t="shared" si="2419"/>
        <v/>
      </c>
      <c r="N2208" s="311" t="str">
        <f t="shared" si="2420"/>
        <v/>
      </c>
    </row>
    <row r="2209" spans="1:14" s="294" customFormat="1">
      <c r="A2209" s="297" t="s">
        <v>1494</v>
      </c>
      <c r="B2209" s="301"/>
      <c r="C2209" s="299" t="s">
        <v>1496</v>
      </c>
      <c r="D2209" s="299">
        <v>1</v>
      </c>
      <c r="E2209" s="300">
        <f>13+20+13</f>
        <v>46</v>
      </c>
      <c r="F2209" s="300">
        <f t="shared" ref="F2209:F2210" si="2421">E2209*D2209</f>
        <v>46</v>
      </c>
      <c r="G2209" s="302">
        <f>(0.2+0.5)*2+17*0.008*2</f>
        <v>1.67</v>
      </c>
      <c r="H2209" s="310" t="str">
        <f t="shared" si="2414"/>
        <v/>
      </c>
      <c r="I2209" s="311">
        <f t="shared" si="2415"/>
        <v>76.819999999999993</v>
      </c>
      <c r="J2209" s="311" t="str">
        <f t="shared" si="2416"/>
        <v/>
      </c>
      <c r="K2209" s="311" t="str">
        <f t="shared" si="2417"/>
        <v/>
      </c>
      <c r="L2209" s="310" t="str">
        <f t="shared" si="2418"/>
        <v/>
      </c>
      <c r="M2209" s="310" t="str">
        <f t="shared" si="2419"/>
        <v/>
      </c>
      <c r="N2209" s="311" t="str">
        <f t="shared" si="2420"/>
        <v/>
      </c>
    </row>
    <row r="2210" spans="1:14" s="294" customFormat="1">
      <c r="A2210" s="297" t="s">
        <v>1517</v>
      </c>
      <c r="B2210" s="301"/>
      <c r="C2210" s="299" t="s">
        <v>1496</v>
      </c>
      <c r="D2210" s="299">
        <v>1</v>
      </c>
      <c r="E2210" s="300">
        <v>46</v>
      </c>
      <c r="F2210" s="300">
        <f t="shared" si="2421"/>
        <v>46</v>
      </c>
      <c r="G2210" s="302">
        <f>(0.5*2)+17*0.008*2</f>
        <v>1.27</v>
      </c>
      <c r="H2210" s="310" t="str">
        <f t="shared" si="2414"/>
        <v/>
      </c>
      <c r="I2210" s="311">
        <f t="shared" si="2415"/>
        <v>58.42</v>
      </c>
      <c r="J2210" s="311" t="str">
        <f t="shared" si="2416"/>
        <v/>
      </c>
      <c r="K2210" s="311" t="str">
        <f t="shared" si="2417"/>
        <v/>
      </c>
      <c r="L2210" s="310" t="str">
        <f t="shared" si="2418"/>
        <v/>
      </c>
      <c r="M2210" s="310" t="str">
        <f t="shared" si="2419"/>
        <v/>
      </c>
      <c r="N2210" s="311" t="str">
        <f t="shared" si="2420"/>
        <v/>
      </c>
    </row>
    <row r="2211" spans="1:14">
      <c r="A2211" s="297" t="s">
        <v>1518</v>
      </c>
      <c r="B2211" s="254"/>
      <c r="C2211" s="299" t="s">
        <v>1492</v>
      </c>
      <c r="D2211" s="299">
        <v>1</v>
      </c>
      <c r="E2211" s="300">
        <v>3</v>
      </c>
      <c r="F2211" s="300">
        <f>E2211*D2211</f>
        <v>3</v>
      </c>
      <c r="G2211" s="302">
        <v>3</v>
      </c>
      <c r="H2211" s="310" t="str">
        <f t="shared" si="2414"/>
        <v/>
      </c>
      <c r="I2211" s="311" t="str">
        <f t="shared" si="2415"/>
        <v/>
      </c>
      <c r="J2211" s="311" t="str">
        <f t="shared" si="2416"/>
        <v/>
      </c>
      <c r="K2211" s="311" t="str">
        <f t="shared" si="2417"/>
        <v/>
      </c>
      <c r="L2211" s="310">
        <f t="shared" si="2418"/>
        <v>9</v>
      </c>
      <c r="M2211" s="310" t="str">
        <f t="shared" si="2419"/>
        <v/>
      </c>
      <c r="N2211" s="311" t="str">
        <f t="shared" si="2420"/>
        <v/>
      </c>
    </row>
    <row r="2212" spans="1:14">
      <c r="A2212" s="297" t="s">
        <v>1518</v>
      </c>
      <c r="B2212" s="254"/>
      <c r="C2212" s="299" t="s">
        <v>1519</v>
      </c>
      <c r="D2212" s="299">
        <v>1</v>
      </c>
      <c r="E2212" s="300">
        <v>3</v>
      </c>
      <c r="F2212" s="300">
        <f>E2212*D2212</f>
        <v>3</v>
      </c>
      <c r="G2212" s="302">
        <v>3.5</v>
      </c>
      <c r="H2212" s="310" t="str">
        <f t="shared" si="2414"/>
        <v/>
      </c>
      <c r="I2212" s="311" t="str">
        <f t="shared" si="2415"/>
        <v/>
      </c>
      <c r="J2212" s="311">
        <f t="shared" si="2416"/>
        <v>10.5</v>
      </c>
      <c r="K2212" s="311" t="str">
        <f t="shared" si="2417"/>
        <v/>
      </c>
      <c r="L2212" s="310" t="str">
        <f t="shared" si="2418"/>
        <v/>
      </c>
      <c r="M2212" s="310" t="str">
        <f t="shared" si="2419"/>
        <v/>
      </c>
      <c r="N2212" s="311" t="str">
        <f t="shared" si="2420"/>
        <v/>
      </c>
    </row>
    <row r="2213" spans="1:14">
      <c r="A2213" s="297" t="s">
        <v>1518</v>
      </c>
      <c r="B2213" s="254"/>
      <c r="C2213" s="299" t="s">
        <v>1516</v>
      </c>
      <c r="D2213" s="299">
        <v>1</v>
      </c>
      <c r="E2213" s="300">
        <v>3</v>
      </c>
      <c r="F2213" s="300">
        <f>E2213*D2213</f>
        <v>3</v>
      </c>
      <c r="G2213" s="302">
        <v>4.25</v>
      </c>
      <c r="H2213" s="310" t="str">
        <f t="shared" ref="H2213" si="2422">IF(C2213="T6",G2213*F2213,"")</f>
        <v/>
      </c>
      <c r="I2213" s="311" t="str">
        <f t="shared" ref="I2213" si="2423">IF(C2213="T8",F2213*G2213,"")</f>
        <v/>
      </c>
      <c r="J2213" s="311" t="str">
        <f t="shared" ref="J2213" si="2424">IF(C2213="T10",F2213*G2213,"")</f>
        <v/>
      </c>
      <c r="K2213" s="311">
        <f t="shared" ref="K2213" si="2425">IF(C2213="T12",F2213*G2213,"")</f>
        <v>12.75</v>
      </c>
      <c r="L2213" s="310" t="str">
        <f t="shared" ref="L2213" si="2426">IF(C2213="T14",F2213*G2213,"")</f>
        <v/>
      </c>
      <c r="M2213" s="310" t="str">
        <f t="shared" ref="M2213" si="2427">IF(C2213="T16",G2213*F2213,"")</f>
        <v/>
      </c>
      <c r="N2213" s="311" t="str">
        <f t="shared" ref="N2213" si="2428">IF(C2213="T20",G2213*F2213,"")</f>
        <v/>
      </c>
    </row>
    <row r="2214" spans="1:14" ht="16.5">
      <c r="A2214" s="303"/>
      <c r="B2214" s="254"/>
      <c r="C2214" s="299"/>
      <c r="D2214" s="299"/>
      <c r="E2214" s="300"/>
      <c r="F2214" s="300"/>
      <c r="G2214" s="302"/>
      <c r="H2214" s="310"/>
      <c r="I2214" s="311"/>
      <c r="J2214" s="311"/>
      <c r="K2214" s="311"/>
      <c r="L2214" s="310"/>
      <c r="M2214" s="310"/>
      <c r="N2214" s="311"/>
    </row>
    <row r="2215" spans="1:14" ht="16.5">
      <c r="A2215" s="303" t="s">
        <v>1462</v>
      </c>
      <c r="B2215" s="254"/>
      <c r="C2215" s="299"/>
      <c r="D2215" s="299"/>
      <c r="E2215" s="300"/>
      <c r="F2215" s="300"/>
      <c r="G2215" s="302"/>
      <c r="H2215" s="310"/>
      <c r="I2215" s="311"/>
      <c r="J2215" s="311"/>
      <c r="K2215" s="311"/>
      <c r="L2215" s="310"/>
      <c r="M2215" s="310"/>
      <c r="N2215" s="311"/>
    </row>
    <row r="2216" spans="1:14" s="294" customFormat="1">
      <c r="A2216" s="297" t="s">
        <v>1515</v>
      </c>
      <c r="B2216" s="298"/>
      <c r="C2216" s="299" t="s">
        <v>1519</v>
      </c>
      <c r="D2216" s="299">
        <v>1</v>
      </c>
      <c r="E2216" s="300">
        <v>3</v>
      </c>
      <c r="F2216" s="300">
        <f>E2216*D2216</f>
        <v>3</v>
      </c>
      <c r="G2216" s="299">
        <f>5.8+17*0.01*2</f>
        <v>6.14</v>
      </c>
      <c r="H2216" s="310" t="str">
        <f t="shared" ref="H2216:H2222" si="2429">IF(C2216="T6",G2216*F2216,"")</f>
        <v/>
      </c>
      <c r="I2216" s="311" t="str">
        <f t="shared" ref="I2216:I2222" si="2430">IF(C2216="T8",F2216*G2216,"")</f>
        <v/>
      </c>
      <c r="J2216" s="311">
        <f t="shared" ref="J2216:J2222" si="2431">IF(C2216="T10",F2216*G2216,"")</f>
        <v>18.420000000000002</v>
      </c>
      <c r="K2216" s="311" t="str">
        <f t="shared" ref="K2216:K2222" si="2432">IF(C2216="T12",F2216*G2216,"")</f>
        <v/>
      </c>
      <c r="L2216" s="310" t="str">
        <f t="shared" ref="L2216:L2222" si="2433">IF(C2216="T14",F2216*G2216,"")</f>
        <v/>
      </c>
      <c r="M2216" s="310" t="str">
        <f t="shared" ref="M2216:M2222" si="2434">IF(C2216="T16",G2216*F2216,"")</f>
        <v/>
      </c>
      <c r="N2216" s="311" t="str">
        <f t="shared" ref="N2216:N2222" si="2435">IF(C2216="T20",G2216*F2216,"")</f>
        <v/>
      </c>
    </row>
    <row r="2217" spans="1:14" s="294" customFormat="1">
      <c r="A2217" s="297" t="s">
        <v>1515</v>
      </c>
      <c r="B2217" s="298"/>
      <c r="C2217" s="299" t="s">
        <v>1516</v>
      </c>
      <c r="D2217" s="299">
        <v>1</v>
      </c>
      <c r="E2217" s="300">
        <v>3</v>
      </c>
      <c r="F2217" s="300">
        <f>E2217*D2217</f>
        <v>3</v>
      </c>
      <c r="G2217" s="302">
        <f>(5.8)+17*0.012*2</f>
        <v>6.21</v>
      </c>
      <c r="H2217" s="310" t="str">
        <f t="shared" si="2429"/>
        <v/>
      </c>
      <c r="I2217" s="311" t="str">
        <f t="shared" si="2430"/>
        <v/>
      </c>
      <c r="J2217" s="311" t="str">
        <f t="shared" si="2431"/>
        <v/>
      </c>
      <c r="K2217" s="311">
        <f t="shared" si="2432"/>
        <v>18.63</v>
      </c>
      <c r="L2217" s="310" t="str">
        <f t="shared" si="2433"/>
        <v/>
      </c>
      <c r="M2217" s="310" t="str">
        <f t="shared" si="2434"/>
        <v/>
      </c>
      <c r="N2217" s="311" t="str">
        <f t="shared" si="2435"/>
        <v/>
      </c>
    </row>
    <row r="2218" spans="1:14" s="294" customFormat="1">
      <c r="A2218" s="297"/>
      <c r="B2218" s="298"/>
      <c r="C2218" s="299" t="s">
        <v>1519</v>
      </c>
      <c r="D2218" s="299">
        <v>1</v>
      </c>
      <c r="E2218" s="300">
        <v>2</v>
      </c>
      <c r="F2218" s="300">
        <f>E2218*D2218</f>
        <v>2</v>
      </c>
      <c r="G2218" s="299">
        <v>5.8</v>
      </c>
      <c r="H2218" s="310" t="str">
        <f t="shared" si="2429"/>
        <v/>
      </c>
      <c r="I2218" s="311" t="str">
        <f t="shared" si="2430"/>
        <v/>
      </c>
      <c r="J2218" s="311">
        <f t="shared" si="2431"/>
        <v>11.6</v>
      </c>
      <c r="K2218" s="311" t="str">
        <f t="shared" si="2432"/>
        <v/>
      </c>
      <c r="L2218" s="310" t="str">
        <f t="shared" si="2433"/>
        <v/>
      </c>
      <c r="M2218" s="310" t="str">
        <f t="shared" si="2434"/>
        <v/>
      </c>
      <c r="N2218" s="311" t="str">
        <f t="shared" si="2435"/>
        <v/>
      </c>
    </row>
    <row r="2219" spans="1:14" s="294" customFormat="1">
      <c r="A2219" s="297" t="s">
        <v>1494</v>
      </c>
      <c r="B2219" s="301"/>
      <c r="C2219" s="299" t="s">
        <v>1496</v>
      </c>
      <c r="D2219" s="299">
        <v>1</v>
      </c>
      <c r="E2219" s="300">
        <f>15+16+15</f>
        <v>46</v>
      </c>
      <c r="F2219" s="300">
        <f t="shared" ref="F2219:F2220" si="2436">E2219*D2219</f>
        <v>46</v>
      </c>
      <c r="G2219" s="302">
        <f>(0.2+0.45)*2+17*0.008*2</f>
        <v>1.57</v>
      </c>
      <c r="H2219" s="310" t="str">
        <f t="shared" si="2429"/>
        <v/>
      </c>
      <c r="I2219" s="311">
        <f t="shared" si="2430"/>
        <v>72.22</v>
      </c>
      <c r="J2219" s="311" t="str">
        <f t="shared" si="2431"/>
        <v/>
      </c>
      <c r="K2219" s="311" t="str">
        <f t="shared" si="2432"/>
        <v/>
      </c>
      <c r="L2219" s="310" t="str">
        <f t="shared" si="2433"/>
        <v/>
      </c>
      <c r="M2219" s="310" t="str">
        <f t="shared" si="2434"/>
        <v/>
      </c>
      <c r="N2219" s="311" t="str">
        <f t="shared" si="2435"/>
        <v/>
      </c>
    </row>
    <row r="2220" spans="1:14" s="294" customFormat="1">
      <c r="A2220" s="297" t="s">
        <v>1517</v>
      </c>
      <c r="B2220" s="301"/>
      <c r="C2220" s="299" t="s">
        <v>1496</v>
      </c>
      <c r="D2220" s="299">
        <v>1</v>
      </c>
      <c r="E2220" s="300">
        <v>46</v>
      </c>
      <c r="F2220" s="300">
        <f t="shared" si="2436"/>
        <v>46</v>
      </c>
      <c r="G2220" s="302">
        <f>(0.45*2)+17*0.008*2</f>
        <v>1.17</v>
      </c>
      <c r="H2220" s="310" t="str">
        <f t="shared" si="2429"/>
        <v/>
      </c>
      <c r="I2220" s="311">
        <f t="shared" si="2430"/>
        <v>53.82</v>
      </c>
      <c r="J2220" s="311" t="str">
        <f t="shared" si="2431"/>
        <v/>
      </c>
      <c r="K2220" s="311" t="str">
        <f t="shared" si="2432"/>
        <v/>
      </c>
      <c r="L2220" s="310" t="str">
        <f t="shared" si="2433"/>
        <v/>
      </c>
      <c r="M2220" s="310" t="str">
        <f t="shared" si="2434"/>
        <v/>
      </c>
      <c r="N2220" s="311" t="str">
        <f t="shared" si="2435"/>
        <v/>
      </c>
    </row>
    <row r="2221" spans="1:14">
      <c r="A2221" s="297" t="s">
        <v>1518</v>
      </c>
      <c r="B2221" s="254"/>
      <c r="C2221" s="299" t="s">
        <v>1492</v>
      </c>
      <c r="D2221" s="299">
        <v>1</v>
      </c>
      <c r="E2221" s="300">
        <v>3</v>
      </c>
      <c r="F2221" s="300">
        <f>E2221*D2221</f>
        <v>3</v>
      </c>
      <c r="G2221" s="302">
        <v>3.5</v>
      </c>
      <c r="H2221" s="310" t="str">
        <f t="shared" si="2429"/>
        <v/>
      </c>
      <c r="I2221" s="311" t="str">
        <f t="shared" si="2430"/>
        <v/>
      </c>
      <c r="J2221" s="311" t="str">
        <f t="shared" si="2431"/>
        <v/>
      </c>
      <c r="K2221" s="311" t="str">
        <f t="shared" si="2432"/>
        <v/>
      </c>
      <c r="L2221" s="310">
        <f t="shared" si="2433"/>
        <v>10.5</v>
      </c>
      <c r="M2221" s="310" t="str">
        <f t="shared" si="2434"/>
        <v/>
      </c>
      <c r="N2221" s="311" t="str">
        <f t="shared" si="2435"/>
        <v/>
      </c>
    </row>
    <row r="2222" spans="1:14">
      <c r="A2222" s="297"/>
      <c r="B2222" s="254"/>
      <c r="C2222" s="299" t="s">
        <v>1516</v>
      </c>
      <c r="D2222" s="299">
        <v>1</v>
      </c>
      <c r="E2222" s="300">
        <v>3</v>
      </c>
      <c r="F2222" s="300">
        <f>E2222*D2222</f>
        <v>3</v>
      </c>
      <c r="G2222" s="302">
        <v>1.5</v>
      </c>
      <c r="H2222" s="310" t="str">
        <f t="shared" si="2429"/>
        <v/>
      </c>
      <c r="I2222" s="311" t="str">
        <f t="shared" si="2430"/>
        <v/>
      </c>
      <c r="J2222" s="311" t="str">
        <f t="shared" si="2431"/>
        <v/>
      </c>
      <c r="K2222" s="311">
        <f t="shared" si="2432"/>
        <v>4.5</v>
      </c>
      <c r="L2222" s="310" t="str">
        <f t="shared" si="2433"/>
        <v/>
      </c>
      <c r="M2222" s="310" t="str">
        <f t="shared" si="2434"/>
        <v/>
      </c>
      <c r="N2222" s="311" t="str">
        <f t="shared" si="2435"/>
        <v/>
      </c>
    </row>
    <row r="2223" spans="1:14">
      <c r="A2223" s="297"/>
      <c r="B2223" s="254"/>
      <c r="C2223" s="299" t="s">
        <v>1516</v>
      </c>
      <c r="D2223" s="299">
        <v>1</v>
      </c>
      <c r="E2223" s="300">
        <v>3</v>
      </c>
      <c r="F2223" s="300">
        <f>E2223*D2223</f>
        <v>3</v>
      </c>
      <c r="G2223" s="302">
        <v>5.4</v>
      </c>
      <c r="H2223" s="310" t="str">
        <f t="shared" ref="H2223" si="2437">IF(C2223="T6",G2223*F2223,"")</f>
        <v/>
      </c>
      <c r="I2223" s="311" t="str">
        <f t="shared" ref="I2223" si="2438">IF(C2223="T8",F2223*G2223,"")</f>
        <v/>
      </c>
      <c r="J2223" s="311" t="str">
        <f t="shared" ref="J2223" si="2439">IF(C2223="T10",F2223*G2223,"")</f>
        <v/>
      </c>
      <c r="K2223" s="311">
        <f t="shared" ref="K2223" si="2440">IF(C2223="T12",F2223*G2223,"")</f>
        <v>16.2</v>
      </c>
      <c r="L2223" s="310" t="str">
        <f t="shared" ref="L2223" si="2441">IF(C2223="T14",F2223*G2223,"")</f>
        <v/>
      </c>
      <c r="M2223" s="310" t="str">
        <f t="shared" ref="M2223" si="2442">IF(C2223="T16",G2223*F2223,"")</f>
        <v/>
      </c>
      <c r="N2223" s="311" t="str">
        <f t="shared" ref="N2223" si="2443">IF(C2223="T20",G2223*F2223,"")</f>
        <v/>
      </c>
    </row>
    <row r="2224" spans="1:14">
      <c r="A2224" s="253"/>
      <c r="B2224" s="254"/>
      <c r="C2224" s="299"/>
      <c r="D2224" s="299"/>
      <c r="E2224" s="300"/>
      <c r="F2224" s="300"/>
      <c r="G2224" s="302"/>
      <c r="H2224" s="310"/>
      <c r="I2224" s="311"/>
      <c r="J2224" s="311"/>
      <c r="K2224" s="311"/>
      <c r="L2224" s="310"/>
      <c r="M2224" s="310"/>
      <c r="N2224" s="311"/>
    </row>
    <row r="2225" spans="1:14" ht="16.5">
      <c r="A2225" s="303" t="s">
        <v>1466</v>
      </c>
      <c r="B2225" s="254"/>
      <c r="C2225" s="299"/>
      <c r="D2225" s="299"/>
      <c r="E2225" s="300"/>
      <c r="F2225" s="300"/>
      <c r="G2225" s="302"/>
      <c r="H2225" s="310"/>
      <c r="I2225" s="311"/>
      <c r="J2225" s="311"/>
      <c r="K2225" s="311"/>
      <c r="L2225" s="310"/>
      <c r="M2225" s="310"/>
      <c r="N2225" s="311"/>
    </row>
    <row r="2226" spans="1:14" s="294" customFormat="1">
      <c r="A2226" s="297" t="s">
        <v>1515</v>
      </c>
      <c r="B2226" s="298"/>
      <c r="C2226" s="299" t="s">
        <v>1492</v>
      </c>
      <c r="D2226" s="299">
        <v>1</v>
      </c>
      <c r="E2226" s="300">
        <v>3</v>
      </c>
      <c r="F2226" s="300">
        <f>E2226*D2226</f>
        <v>3</v>
      </c>
      <c r="G2226" s="299">
        <f>5.35+17*0.014*2</f>
        <v>5.8259999999999996</v>
      </c>
      <c r="H2226" s="310" t="str">
        <f t="shared" ref="H2226:H2233" si="2444">IF(C2226="T6",G2226*F2226,"")</f>
        <v/>
      </c>
      <c r="I2226" s="311" t="str">
        <f t="shared" ref="I2226:I2233" si="2445">IF(C2226="T8",F2226*G2226,"")</f>
        <v/>
      </c>
      <c r="J2226" s="311" t="str">
        <f t="shared" ref="J2226:J2233" si="2446">IF(C2226="T10",F2226*G2226,"")</f>
        <v/>
      </c>
      <c r="K2226" s="311" t="str">
        <f t="shared" ref="K2226:K2233" si="2447">IF(C2226="T12",F2226*G2226,"")</f>
        <v/>
      </c>
      <c r="L2226" s="310">
        <f t="shared" ref="L2226:L2233" si="2448">IF(C2226="T14",F2226*G2226,"")</f>
        <v>17.48</v>
      </c>
      <c r="M2226" s="310" t="str">
        <f t="shared" ref="M2226:M2233" si="2449">IF(C2226="T16",G2226*F2226,"")</f>
        <v/>
      </c>
      <c r="N2226" s="311" t="str">
        <f t="shared" ref="N2226:N2233" si="2450">IF(C2226="T20",G2226*F2226,"")</f>
        <v/>
      </c>
    </row>
    <row r="2227" spans="1:14" s="294" customFormat="1">
      <c r="A2227" s="297" t="s">
        <v>1515</v>
      </c>
      <c r="B2227" s="298"/>
      <c r="C2227" s="299" t="s">
        <v>1516</v>
      </c>
      <c r="D2227" s="299">
        <v>1</v>
      </c>
      <c r="E2227" s="300">
        <v>3</v>
      </c>
      <c r="F2227" s="300">
        <f>E2227*D2227</f>
        <v>3</v>
      </c>
      <c r="G2227" s="302">
        <f>(5.35)+17*0.012*2</f>
        <v>5.76</v>
      </c>
      <c r="H2227" s="310" t="str">
        <f t="shared" si="2444"/>
        <v/>
      </c>
      <c r="I2227" s="311" t="str">
        <f t="shared" si="2445"/>
        <v/>
      </c>
      <c r="J2227" s="311" t="str">
        <f t="shared" si="2446"/>
        <v/>
      </c>
      <c r="K2227" s="311">
        <f t="shared" si="2447"/>
        <v>17.28</v>
      </c>
      <c r="L2227" s="310" t="str">
        <f t="shared" si="2448"/>
        <v/>
      </c>
      <c r="M2227" s="310" t="str">
        <f t="shared" si="2449"/>
        <v/>
      </c>
      <c r="N2227" s="311" t="str">
        <f t="shared" si="2450"/>
        <v/>
      </c>
    </row>
    <row r="2228" spans="1:14" s="294" customFormat="1">
      <c r="A2228" s="297"/>
      <c r="B2228" s="298"/>
      <c r="C2228" s="299" t="s">
        <v>1519</v>
      </c>
      <c r="D2228" s="299">
        <v>1</v>
      </c>
      <c r="E2228" s="300">
        <v>2</v>
      </c>
      <c r="F2228" s="300">
        <f>E2228*D2228</f>
        <v>2</v>
      </c>
      <c r="G2228" s="299">
        <v>5.35</v>
      </c>
      <c r="H2228" s="310" t="str">
        <f t="shared" si="2444"/>
        <v/>
      </c>
      <c r="I2228" s="311" t="str">
        <f t="shared" si="2445"/>
        <v/>
      </c>
      <c r="J2228" s="311">
        <f t="shared" si="2446"/>
        <v>10.7</v>
      </c>
      <c r="K2228" s="311" t="str">
        <f t="shared" si="2447"/>
        <v/>
      </c>
      <c r="L2228" s="310" t="str">
        <f t="shared" si="2448"/>
        <v/>
      </c>
      <c r="M2228" s="310" t="str">
        <f t="shared" si="2449"/>
        <v/>
      </c>
      <c r="N2228" s="311" t="str">
        <f t="shared" si="2450"/>
        <v/>
      </c>
    </row>
    <row r="2229" spans="1:14" s="294" customFormat="1">
      <c r="A2229" s="297" t="s">
        <v>1494</v>
      </c>
      <c r="B2229" s="301"/>
      <c r="C2229" s="299" t="s">
        <v>1496</v>
      </c>
      <c r="D2229" s="299">
        <v>1</v>
      </c>
      <c r="E2229" s="300">
        <f>16+13+16</f>
        <v>45</v>
      </c>
      <c r="F2229" s="300">
        <f t="shared" ref="F2229:F2230" si="2451">E2229*D2229</f>
        <v>45</v>
      </c>
      <c r="G2229" s="302">
        <f>(0.2+0.55)*2+17*0.008*2</f>
        <v>1.77</v>
      </c>
      <c r="H2229" s="310" t="str">
        <f t="shared" si="2444"/>
        <v/>
      </c>
      <c r="I2229" s="311">
        <f t="shared" si="2445"/>
        <v>79.650000000000006</v>
      </c>
      <c r="J2229" s="311" t="str">
        <f t="shared" si="2446"/>
        <v/>
      </c>
      <c r="K2229" s="311" t="str">
        <f t="shared" si="2447"/>
        <v/>
      </c>
      <c r="L2229" s="310" t="str">
        <f t="shared" si="2448"/>
        <v/>
      </c>
      <c r="M2229" s="310" t="str">
        <f t="shared" si="2449"/>
        <v/>
      </c>
      <c r="N2229" s="311" t="str">
        <f t="shared" si="2450"/>
        <v/>
      </c>
    </row>
    <row r="2230" spans="1:14" s="294" customFormat="1">
      <c r="A2230" s="297" t="s">
        <v>1517</v>
      </c>
      <c r="B2230" s="301"/>
      <c r="C2230" s="299" t="s">
        <v>1496</v>
      </c>
      <c r="D2230" s="299">
        <v>1</v>
      </c>
      <c r="E2230" s="300">
        <v>45</v>
      </c>
      <c r="F2230" s="300">
        <f t="shared" si="2451"/>
        <v>45</v>
      </c>
      <c r="G2230" s="302">
        <f>(0.55*2)+17*0.008*2</f>
        <v>1.37</v>
      </c>
      <c r="H2230" s="310" t="str">
        <f t="shared" si="2444"/>
        <v/>
      </c>
      <c r="I2230" s="311">
        <f t="shared" si="2445"/>
        <v>61.65</v>
      </c>
      <c r="J2230" s="311" t="str">
        <f t="shared" si="2446"/>
        <v/>
      </c>
      <c r="K2230" s="311" t="str">
        <f t="shared" si="2447"/>
        <v/>
      </c>
      <c r="L2230" s="310" t="str">
        <f t="shared" si="2448"/>
        <v/>
      </c>
      <c r="M2230" s="310" t="str">
        <f t="shared" si="2449"/>
        <v/>
      </c>
      <c r="N2230" s="311" t="str">
        <f t="shared" si="2450"/>
        <v/>
      </c>
    </row>
    <row r="2231" spans="1:14">
      <c r="A2231" s="297" t="s">
        <v>1518</v>
      </c>
      <c r="B2231" s="254"/>
      <c r="C2231" s="299" t="s">
        <v>1492</v>
      </c>
      <c r="D2231" s="299">
        <v>1</v>
      </c>
      <c r="E2231" s="300">
        <v>6</v>
      </c>
      <c r="F2231" s="300">
        <f>E2231*D2231</f>
        <v>6</v>
      </c>
      <c r="G2231" s="302">
        <v>3.6</v>
      </c>
      <c r="H2231" s="310" t="str">
        <f t="shared" si="2444"/>
        <v/>
      </c>
      <c r="I2231" s="311" t="str">
        <f t="shared" si="2445"/>
        <v/>
      </c>
      <c r="J2231" s="311" t="str">
        <f t="shared" si="2446"/>
        <v/>
      </c>
      <c r="K2231" s="311" t="str">
        <f t="shared" si="2447"/>
        <v/>
      </c>
      <c r="L2231" s="310">
        <f t="shared" si="2448"/>
        <v>21.6</v>
      </c>
      <c r="M2231" s="310" t="str">
        <f t="shared" si="2449"/>
        <v/>
      </c>
      <c r="N2231" s="311" t="str">
        <f t="shared" si="2450"/>
        <v/>
      </c>
    </row>
    <row r="2232" spans="1:14">
      <c r="A2232" s="297"/>
      <c r="B2232" s="254"/>
      <c r="C2232" s="299" t="s">
        <v>1492</v>
      </c>
      <c r="D2232" s="299">
        <v>1</v>
      </c>
      <c r="E2232" s="300">
        <v>3</v>
      </c>
      <c r="F2232" s="300">
        <f>E2232*D2232</f>
        <v>3</v>
      </c>
      <c r="G2232" s="302">
        <v>3</v>
      </c>
      <c r="H2232" s="310" t="str">
        <f t="shared" si="2444"/>
        <v/>
      </c>
      <c r="I2232" s="311" t="str">
        <f t="shared" si="2445"/>
        <v/>
      </c>
      <c r="J2232" s="311" t="str">
        <f t="shared" si="2446"/>
        <v/>
      </c>
      <c r="K2232" s="311" t="str">
        <f t="shared" si="2447"/>
        <v/>
      </c>
      <c r="L2232" s="310">
        <f t="shared" si="2448"/>
        <v>9</v>
      </c>
      <c r="M2232" s="310" t="str">
        <f t="shared" si="2449"/>
        <v/>
      </c>
      <c r="N2232" s="311" t="str">
        <f t="shared" si="2450"/>
        <v/>
      </c>
    </row>
    <row r="2233" spans="1:14">
      <c r="A2233" s="297"/>
      <c r="B2233" s="254"/>
      <c r="C2233" s="299" t="s">
        <v>1492</v>
      </c>
      <c r="D2233" s="299">
        <v>1</v>
      </c>
      <c r="E2233" s="300">
        <v>3</v>
      </c>
      <c r="F2233" s="300">
        <f>E2233*D2233</f>
        <v>3</v>
      </c>
      <c r="G2233" s="302">
        <v>4.8499999999999996</v>
      </c>
      <c r="H2233" s="310" t="str">
        <f t="shared" si="2444"/>
        <v/>
      </c>
      <c r="I2233" s="311" t="str">
        <f t="shared" si="2445"/>
        <v/>
      </c>
      <c r="J2233" s="311" t="str">
        <f t="shared" si="2446"/>
        <v/>
      </c>
      <c r="K2233" s="311" t="str">
        <f t="shared" si="2447"/>
        <v/>
      </c>
      <c r="L2233" s="310">
        <f t="shared" si="2448"/>
        <v>14.55</v>
      </c>
      <c r="M2233" s="310" t="str">
        <f t="shared" si="2449"/>
        <v/>
      </c>
      <c r="N2233" s="311" t="str">
        <f t="shared" si="2450"/>
        <v/>
      </c>
    </row>
    <row r="2234" spans="1:14" ht="16.5">
      <c r="A2234" s="303"/>
      <c r="B2234" s="254"/>
      <c r="C2234" s="299"/>
      <c r="D2234" s="299"/>
      <c r="E2234" s="300"/>
      <c r="F2234" s="300"/>
      <c r="G2234" s="302"/>
      <c r="H2234" s="310"/>
      <c r="I2234" s="311"/>
      <c r="J2234" s="311"/>
      <c r="K2234" s="311"/>
      <c r="L2234" s="310"/>
      <c r="M2234" s="310"/>
      <c r="N2234" s="311"/>
    </row>
    <row r="2235" spans="1:14" ht="16.5">
      <c r="A2235" s="303" t="s">
        <v>1467</v>
      </c>
      <c r="B2235" s="254"/>
      <c r="C2235" s="299"/>
      <c r="D2235" s="299"/>
      <c r="E2235" s="300"/>
      <c r="F2235" s="300"/>
      <c r="G2235" s="302"/>
      <c r="H2235" s="310"/>
      <c r="I2235" s="311"/>
      <c r="J2235" s="311"/>
      <c r="K2235" s="311"/>
      <c r="L2235" s="310"/>
      <c r="M2235" s="310"/>
      <c r="N2235" s="311"/>
    </row>
    <row r="2236" spans="1:14" s="294" customFormat="1">
      <c r="A2236" s="297" t="s">
        <v>1515</v>
      </c>
      <c r="B2236" s="298"/>
      <c r="C2236" s="299" t="s">
        <v>1519</v>
      </c>
      <c r="D2236" s="299">
        <v>1</v>
      </c>
      <c r="E2236" s="300">
        <v>3</v>
      </c>
      <c r="F2236" s="300">
        <f>E2236*D2236</f>
        <v>3</v>
      </c>
      <c r="G2236" s="299">
        <f>3.05+17*0.01*2</f>
        <v>3.39</v>
      </c>
      <c r="H2236" s="310" t="str">
        <f t="shared" ref="H2236:H2241" si="2452">IF(C2236="T6",G2236*F2236,"")</f>
        <v/>
      </c>
      <c r="I2236" s="311" t="str">
        <f t="shared" ref="I2236:I2241" si="2453">IF(C2236="T8",F2236*G2236,"")</f>
        <v/>
      </c>
      <c r="J2236" s="311">
        <f t="shared" ref="J2236:J2241" si="2454">IF(C2236="T10",F2236*G2236,"")</f>
        <v>10.17</v>
      </c>
      <c r="K2236" s="311" t="str">
        <f t="shared" ref="K2236:K2241" si="2455">IF(C2236="T12",F2236*G2236,"")</f>
        <v/>
      </c>
      <c r="L2236" s="310" t="str">
        <f t="shared" ref="L2236:L2241" si="2456">IF(C2236="T14",F2236*G2236,"")</f>
        <v/>
      </c>
      <c r="M2236" s="310" t="str">
        <f t="shared" ref="M2236:M2241" si="2457">IF(C2236="T16",G2236*F2236,"")</f>
        <v/>
      </c>
      <c r="N2236" s="311" t="str">
        <f t="shared" ref="N2236:N2241" si="2458">IF(C2236="T20",G2236*F2236,"")</f>
        <v/>
      </c>
    </row>
    <row r="2237" spans="1:14" s="294" customFormat="1">
      <c r="A2237" s="297" t="s">
        <v>1515</v>
      </c>
      <c r="B2237" s="298"/>
      <c r="C2237" s="299" t="s">
        <v>1492</v>
      </c>
      <c r="D2237" s="299">
        <v>1</v>
      </c>
      <c r="E2237" s="300">
        <v>3</v>
      </c>
      <c r="F2237" s="300">
        <f>E2237*D2237</f>
        <v>3</v>
      </c>
      <c r="G2237" s="302">
        <f>3.05+17*0.014*2</f>
        <v>3.53</v>
      </c>
      <c r="H2237" s="310" t="str">
        <f t="shared" si="2452"/>
        <v/>
      </c>
      <c r="I2237" s="311" t="str">
        <f t="shared" si="2453"/>
        <v/>
      </c>
      <c r="J2237" s="311" t="str">
        <f t="shared" si="2454"/>
        <v/>
      </c>
      <c r="K2237" s="311" t="str">
        <f t="shared" si="2455"/>
        <v/>
      </c>
      <c r="L2237" s="310">
        <f t="shared" si="2456"/>
        <v>10.59</v>
      </c>
      <c r="M2237" s="310" t="str">
        <f t="shared" si="2457"/>
        <v/>
      </c>
      <c r="N2237" s="311" t="str">
        <f t="shared" si="2458"/>
        <v/>
      </c>
    </row>
    <row r="2238" spans="1:14" s="294" customFormat="1">
      <c r="A2238" s="297" t="s">
        <v>1494</v>
      </c>
      <c r="B2238" s="301"/>
      <c r="C2238" s="299" t="s">
        <v>1496</v>
      </c>
      <c r="D2238" s="299">
        <v>1</v>
      </c>
      <c r="E2238" s="300">
        <f>10+10+9</f>
        <v>29</v>
      </c>
      <c r="F2238" s="300">
        <f t="shared" ref="F2238:F2239" si="2459">E2238*D2238</f>
        <v>29</v>
      </c>
      <c r="G2238" s="302">
        <f>(0.2+0.35)*2+17*0.008*2</f>
        <v>1.37</v>
      </c>
      <c r="H2238" s="310" t="str">
        <f t="shared" si="2452"/>
        <v/>
      </c>
      <c r="I2238" s="311">
        <f t="shared" si="2453"/>
        <v>39.729999999999997</v>
      </c>
      <c r="J2238" s="311" t="str">
        <f t="shared" si="2454"/>
        <v/>
      </c>
      <c r="K2238" s="311" t="str">
        <f t="shared" si="2455"/>
        <v/>
      </c>
      <c r="L2238" s="310" t="str">
        <f t="shared" si="2456"/>
        <v/>
      </c>
      <c r="M2238" s="310" t="str">
        <f t="shared" si="2457"/>
        <v/>
      </c>
      <c r="N2238" s="311" t="str">
        <f t="shared" si="2458"/>
        <v/>
      </c>
    </row>
    <row r="2239" spans="1:14" s="294" customFormat="1">
      <c r="A2239" s="297" t="s">
        <v>1517</v>
      </c>
      <c r="B2239" s="301"/>
      <c r="C2239" s="299" t="s">
        <v>1496</v>
      </c>
      <c r="D2239" s="299">
        <v>1</v>
      </c>
      <c r="E2239" s="300">
        <v>29</v>
      </c>
      <c r="F2239" s="300">
        <f t="shared" si="2459"/>
        <v>29</v>
      </c>
      <c r="G2239" s="302">
        <f>(0.35*2)+17*0.008*2</f>
        <v>0.97</v>
      </c>
      <c r="H2239" s="310" t="str">
        <f t="shared" si="2452"/>
        <v/>
      </c>
      <c r="I2239" s="311">
        <f t="shared" si="2453"/>
        <v>28.13</v>
      </c>
      <c r="J2239" s="311" t="str">
        <f t="shared" si="2454"/>
        <v/>
      </c>
      <c r="K2239" s="311" t="str">
        <f t="shared" si="2455"/>
        <v/>
      </c>
      <c r="L2239" s="310" t="str">
        <f t="shared" si="2456"/>
        <v/>
      </c>
      <c r="M2239" s="310" t="str">
        <f t="shared" si="2457"/>
        <v/>
      </c>
      <c r="N2239" s="311" t="str">
        <f t="shared" si="2458"/>
        <v/>
      </c>
    </row>
    <row r="2240" spans="1:14">
      <c r="A2240" s="297" t="s">
        <v>1518</v>
      </c>
      <c r="B2240" s="254"/>
      <c r="C2240" s="299" t="s">
        <v>1492</v>
      </c>
      <c r="D2240" s="299">
        <v>1</v>
      </c>
      <c r="E2240" s="300">
        <v>3</v>
      </c>
      <c r="F2240" s="300">
        <f>E2240*D2240</f>
        <v>3</v>
      </c>
      <c r="G2240" s="302">
        <v>3</v>
      </c>
      <c r="H2240" s="310" t="str">
        <f t="shared" si="2452"/>
        <v/>
      </c>
      <c r="I2240" s="311" t="str">
        <f t="shared" si="2453"/>
        <v/>
      </c>
      <c r="J2240" s="311" t="str">
        <f t="shared" si="2454"/>
        <v/>
      </c>
      <c r="K2240" s="311" t="str">
        <f t="shared" si="2455"/>
        <v/>
      </c>
      <c r="L2240" s="310">
        <f t="shared" si="2456"/>
        <v>9</v>
      </c>
      <c r="M2240" s="310" t="str">
        <f t="shared" si="2457"/>
        <v/>
      </c>
      <c r="N2240" s="311" t="str">
        <f t="shared" si="2458"/>
        <v/>
      </c>
    </row>
    <row r="2241" spans="1:14">
      <c r="A2241" s="297" t="s">
        <v>1518</v>
      </c>
      <c r="B2241" s="254"/>
      <c r="C2241" s="299" t="s">
        <v>1492</v>
      </c>
      <c r="D2241" s="299">
        <v>1</v>
      </c>
      <c r="E2241" s="300">
        <v>3</v>
      </c>
      <c r="F2241" s="300">
        <f>E2241*D2241</f>
        <v>3</v>
      </c>
      <c r="G2241" s="302">
        <v>2.7</v>
      </c>
      <c r="H2241" s="310" t="str">
        <f t="shared" si="2452"/>
        <v/>
      </c>
      <c r="I2241" s="311" t="str">
        <f t="shared" si="2453"/>
        <v/>
      </c>
      <c r="J2241" s="311" t="str">
        <f t="shared" si="2454"/>
        <v/>
      </c>
      <c r="K2241" s="311" t="str">
        <f t="shared" si="2455"/>
        <v/>
      </c>
      <c r="L2241" s="310">
        <f t="shared" si="2456"/>
        <v>8.1</v>
      </c>
      <c r="M2241" s="310" t="str">
        <f t="shared" si="2457"/>
        <v/>
      </c>
      <c r="N2241" s="311" t="str">
        <f t="shared" si="2458"/>
        <v/>
      </c>
    </row>
    <row r="2242" spans="1:14" ht="16.5">
      <c r="A2242" s="303"/>
      <c r="B2242" s="254"/>
      <c r="C2242" s="299"/>
      <c r="D2242" s="299"/>
      <c r="E2242" s="300"/>
      <c r="F2242" s="300"/>
      <c r="G2242" s="302"/>
      <c r="H2242" s="310"/>
      <c r="I2242" s="311"/>
      <c r="J2242" s="311"/>
      <c r="K2242" s="311"/>
      <c r="L2242" s="310"/>
      <c r="M2242" s="310"/>
      <c r="N2242" s="311"/>
    </row>
    <row r="2243" spans="1:14" ht="16.5">
      <c r="A2243" s="303" t="s">
        <v>1468</v>
      </c>
      <c r="B2243" s="254"/>
      <c r="C2243" s="299"/>
      <c r="D2243" s="299"/>
      <c r="E2243" s="300"/>
      <c r="F2243" s="300"/>
      <c r="G2243" s="302"/>
      <c r="H2243" s="310"/>
      <c r="I2243" s="311"/>
      <c r="J2243" s="311"/>
      <c r="K2243" s="311"/>
      <c r="L2243" s="310"/>
      <c r="M2243" s="310"/>
      <c r="N2243" s="311"/>
    </row>
    <row r="2244" spans="1:14" s="294" customFormat="1">
      <c r="A2244" s="297" t="s">
        <v>1515</v>
      </c>
      <c r="B2244" s="298"/>
      <c r="C2244" s="299" t="s">
        <v>1519</v>
      </c>
      <c r="D2244" s="299">
        <v>1</v>
      </c>
      <c r="E2244" s="300">
        <v>3</v>
      </c>
      <c r="F2244" s="300">
        <f>E2244*D2244</f>
        <v>3</v>
      </c>
      <c r="G2244" s="299">
        <f>1.5+17*0.01*2</f>
        <v>1.84</v>
      </c>
      <c r="H2244" s="310" t="str">
        <f t="shared" ref="H2244:H2249" si="2460">IF(C2244="T6",G2244*F2244,"")</f>
        <v/>
      </c>
      <c r="I2244" s="311" t="str">
        <f t="shared" ref="I2244:I2249" si="2461">IF(C2244="T8",F2244*G2244,"")</f>
        <v/>
      </c>
      <c r="J2244" s="311">
        <f t="shared" ref="J2244:J2249" si="2462">IF(C2244="T10",F2244*G2244,"")</f>
        <v>5.52</v>
      </c>
      <c r="K2244" s="311" t="str">
        <f t="shared" ref="K2244:K2249" si="2463">IF(C2244="T12",F2244*G2244,"")</f>
        <v/>
      </c>
      <c r="L2244" s="310" t="str">
        <f t="shared" ref="L2244:L2249" si="2464">IF(C2244="T14",F2244*G2244,"")</f>
        <v/>
      </c>
      <c r="M2244" s="310" t="str">
        <f t="shared" ref="M2244:M2249" si="2465">IF(C2244="T16",G2244*F2244,"")</f>
        <v/>
      </c>
      <c r="N2244" s="311" t="str">
        <f t="shared" ref="N2244:N2249" si="2466">IF(C2244="T20",G2244*F2244,"")</f>
        <v/>
      </c>
    </row>
    <row r="2245" spans="1:14" s="294" customFormat="1">
      <c r="A2245" s="297" t="s">
        <v>1515</v>
      </c>
      <c r="B2245" s="298"/>
      <c r="C2245" s="299" t="s">
        <v>1516</v>
      </c>
      <c r="D2245" s="299">
        <v>1</v>
      </c>
      <c r="E2245" s="300">
        <v>3</v>
      </c>
      <c r="F2245" s="300">
        <f>E2245*D2245</f>
        <v>3</v>
      </c>
      <c r="G2245" s="302">
        <f>1.5+17*0.014*2</f>
        <v>1.98</v>
      </c>
      <c r="H2245" s="310" t="str">
        <f t="shared" si="2460"/>
        <v/>
      </c>
      <c r="I2245" s="311" t="str">
        <f t="shared" si="2461"/>
        <v/>
      </c>
      <c r="J2245" s="311" t="str">
        <f t="shared" si="2462"/>
        <v/>
      </c>
      <c r="K2245" s="311">
        <f t="shared" si="2463"/>
        <v>5.94</v>
      </c>
      <c r="L2245" s="310" t="str">
        <f t="shared" si="2464"/>
        <v/>
      </c>
      <c r="M2245" s="310" t="str">
        <f t="shared" si="2465"/>
        <v/>
      </c>
      <c r="N2245" s="311" t="str">
        <f t="shared" si="2466"/>
        <v/>
      </c>
    </row>
    <row r="2246" spans="1:14" s="294" customFormat="1">
      <c r="A2246" s="297" t="s">
        <v>1494</v>
      </c>
      <c r="B2246" s="301"/>
      <c r="C2246" s="299" t="s">
        <v>1496</v>
      </c>
      <c r="D2246" s="299">
        <v>1</v>
      </c>
      <c r="E2246" s="300">
        <f>5*3</f>
        <v>15</v>
      </c>
      <c r="F2246" s="300">
        <f t="shared" ref="F2246:F2247" si="2467">E2246*D2246</f>
        <v>15</v>
      </c>
      <c r="G2246" s="302">
        <f>(0.2+0.25)*2+17*0.008*2</f>
        <v>1.17</v>
      </c>
      <c r="H2246" s="310" t="str">
        <f t="shared" si="2460"/>
        <v/>
      </c>
      <c r="I2246" s="311">
        <f t="shared" si="2461"/>
        <v>17.55</v>
      </c>
      <c r="J2246" s="311" t="str">
        <f t="shared" si="2462"/>
        <v/>
      </c>
      <c r="K2246" s="311" t="str">
        <f t="shared" si="2463"/>
        <v/>
      </c>
      <c r="L2246" s="310" t="str">
        <f t="shared" si="2464"/>
        <v/>
      </c>
      <c r="M2246" s="310" t="str">
        <f t="shared" si="2465"/>
        <v/>
      </c>
      <c r="N2246" s="311" t="str">
        <f t="shared" si="2466"/>
        <v/>
      </c>
    </row>
    <row r="2247" spans="1:14" s="294" customFormat="1">
      <c r="A2247" s="297" t="s">
        <v>1517</v>
      </c>
      <c r="B2247" s="301"/>
      <c r="C2247" s="299" t="s">
        <v>1496</v>
      </c>
      <c r="D2247" s="299">
        <v>1</v>
      </c>
      <c r="E2247" s="300">
        <v>15</v>
      </c>
      <c r="F2247" s="300">
        <f t="shared" si="2467"/>
        <v>15</v>
      </c>
      <c r="G2247" s="302">
        <f>(0.25*2)+17*0.008*2</f>
        <v>0.77</v>
      </c>
      <c r="H2247" s="310" t="str">
        <f t="shared" si="2460"/>
        <v/>
      </c>
      <c r="I2247" s="311">
        <f t="shared" si="2461"/>
        <v>11.55</v>
      </c>
      <c r="J2247" s="311" t="str">
        <f t="shared" si="2462"/>
        <v/>
      </c>
      <c r="K2247" s="311" t="str">
        <f t="shared" si="2463"/>
        <v/>
      </c>
      <c r="L2247" s="310" t="str">
        <f t="shared" si="2464"/>
        <v/>
      </c>
      <c r="M2247" s="310" t="str">
        <f t="shared" si="2465"/>
        <v/>
      </c>
      <c r="N2247" s="311" t="str">
        <f t="shared" si="2466"/>
        <v/>
      </c>
    </row>
    <row r="2248" spans="1:14">
      <c r="A2248" s="297" t="s">
        <v>1518</v>
      </c>
      <c r="B2248" s="254"/>
      <c r="C2248" s="299" t="s">
        <v>1492</v>
      </c>
      <c r="D2248" s="299">
        <v>1</v>
      </c>
      <c r="E2248" s="300">
        <v>3</v>
      </c>
      <c r="F2248" s="300">
        <f>E2248*D2248</f>
        <v>3</v>
      </c>
      <c r="G2248" s="302">
        <v>3</v>
      </c>
      <c r="H2248" s="310" t="str">
        <f t="shared" si="2460"/>
        <v/>
      </c>
      <c r="I2248" s="311" t="str">
        <f t="shared" si="2461"/>
        <v/>
      </c>
      <c r="J2248" s="311" t="str">
        <f t="shared" si="2462"/>
        <v/>
      </c>
      <c r="K2248" s="311" t="str">
        <f t="shared" si="2463"/>
        <v/>
      </c>
      <c r="L2248" s="310">
        <f t="shared" si="2464"/>
        <v>9</v>
      </c>
      <c r="M2248" s="310" t="str">
        <f t="shared" si="2465"/>
        <v/>
      </c>
      <c r="N2248" s="311" t="str">
        <f t="shared" si="2466"/>
        <v/>
      </c>
    </row>
    <row r="2249" spans="1:14">
      <c r="A2249" s="297" t="s">
        <v>1518</v>
      </c>
      <c r="B2249" s="254"/>
      <c r="C2249" s="299" t="s">
        <v>1492</v>
      </c>
      <c r="D2249" s="299">
        <v>1</v>
      </c>
      <c r="E2249" s="300">
        <v>3</v>
      </c>
      <c r="F2249" s="300">
        <f>E2249*D2249</f>
        <v>3</v>
      </c>
      <c r="G2249" s="302">
        <v>2.7</v>
      </c>
      <c r="H2249" s="310" t="str">
        <f t="shared" si="2460"/>
        <v/>
      </c>
      <c r="I2249" s="311" t="str">
        <f t="shared" si="2461"/>
        <v/>
      </c>
      <c r="J2249" s="311" t="str">
        <f t="shared" si="2462"/>
        <v/>
      </c>
      <c r="K2249" s="311" t="str">
        <f t="shared" si="2463"/>
        <v/>
      </c>
      <c r="L2249" s="310">
        <f t="shared" si="2464"/>
        <v>8.1</v>
      </c>
      <c r="M2249" s="310" t="str">
        <f t="shared" si="2465"/>
        <v/>
      </c>
      <c r="N2249" s="311" t="str">
        <f t="shared" si="2466"/>
        <v/>
      </c>
    </row>
    <row r="2250" spans="1:14" ht="16.5">
      <c r="A2250" s="303"/>
      <c r="B2250" s="254"/>
      <c r="C2250" s="299"/>
      <c r="D2250" s="299"/>
      <c r="E2250" s="300"/>
      <c r="F2250" s="300"/>
      <c r="G2250" s="302"/>
      <c r="H2250" s="310"/>
      <c r="I2250" s="311"/>
      <c r="J2250" s="311"/>
      <c r="K2250" s="311"/>
      <c r="L2250" s="310"/>
      <c r="M2250" s="310"/>
      <c r="N2250" s="311"/>
    </row>
    <row r="2251" spans="1:14" ht="16.5">
      <c r="A2251" s="303" t="s">
        <v>1469</v>
      </c>
      <c r="B2251" s="254"/>
      <c r="C2251" s="299"/>
      <c r="D2251" s="299"/>
      <c r="E2251" s="300"/>
      <c r="F2251" s="300"/>
      <c r="G2251" s="302"/>
      <c r="H2251" s="310"/>
      <c r="I2251" s="311"/>
      <c r="J2251" s="311"/>
      <c r="K2251" s="311"/>
      <c r="L2251" s="310"/>
      <c r="M2251" s="310"/>
      <c r="N2251" s="311"/>
    </row>
    <row r="2252" spans="1:14" s="294" customFormat="1">
      <c r="A2252" s="297" t="s">
        <v>1515</v>
      </c>
      <c r="B2252" s="298"/>
      <c r="C2252" s="299" t="s">
        <v>1519</v>
      </c>
      <c r="D2252" s="299">
        <v>1</v>
      </c>
      <c r="E2252" s="300">
        <v>3</v>
      </c>
      <c r="F2252" s="300">
        <f>E2252*D2252</f>
        <v>3</v>
      </c>
      <c r="G2252" s="299">
        <f>4.8+17*0.01*2</f>
        <v>5.14</v>
      </c>
      <c r="H2252" s="310" t="str">
        <f t="shared" ref="H2252:H2259" si="2468">IF(C2252="T6",G2252*F2252,"")</f>
        <v/>
      </c>
      <c r="I2252" s="311" t="str">
        <f t="shared" ref="I2252:I2259" si="2469">IF(C2252="T8",F2252*G2252,"")</f>
        <v/>
      </c>
      <c r="J2252" s="311">
        <f t="shared" ref="J2252:J2259" si="2470">IF(C2252="T10",F2252*G2252,"")</f>
        <v>15.42</v>
      </c>
      <c r="K2252" s="311" t="str">
        <f t="shared" ref="K2252:K2259" si="2471">IF(C2252="T12",F2252*G2252,"")</f>
        <v/>
      </c>
      <c r="L2252" s="310" t="str">
        <f t="shared" ref="L2252:L2259" si="2472">IF(C2252="T14",F2252*G2252,"")</f>
        <v/>
      </c>
      <c r="M2252" s="310" t="str">
        <f t="shared" ref="M2252:M2259" si="2473">IF(C2252="T16",G2252*F2252,"")</f>
        <v/>
      </c>
      <c r="N2252" s="311" t="str">
        <f t="shared" ref="N2252:N2259" si="2474">IF(C2252="T20",G2252*F2252,"")</f>
        <v/>
      </c>
    </row>
    <row r="2253" spans="1:14" s="294" customFormat="1">
      <c r="A2253" s="297" t="s">
        <v>1515</v>
      </c>
      <c r="B2253" s="298"/>
      <c r="C2253" s="299" t="s">
        <v>1516</v>
      </c>
      <c r="D2253" s="299">
        <v>1</v>
      </c>
      <c r="E2253" s="300">
        <v>3</v>
      </c>
      <c r="F2253" s="300">
        <f>E2253*D2253</f>
        <v>3</v>
      </c>
      <c r="G2253" s="302">
        <f>(4.8)+17*0.012*2</f>
        <v>5.21</v>
      </c>
      <c r="H2253" s="310" t="str">
        <f t="shared" si="2468"/>
        <v/>
      </c>
      <c r="I2253" s="311" t="str">
        <f t="shared" si="2469"/>
        <v/>
      </c>
      <c r="J2253" s="311" t="str">
        <f t="shared" si="2470"/>
        <v/>
      </c>
      <c r="K2253" s="311">
        <f t="shared" si="2471"/>
        <v>15.63</v>
      </c>
      <c r="L2253" s="310" t="str">
        <f t="shared" si="2472"/>
        <v/>
      </c>
      <c r="M2253" s="310" t="str">
        <f t="shared" si="2473"/>
        <v/>
      </c>
      <c r="N2253" s="311" t="str">
        <f t="shared" si="2474"/>
        <v/>
      </c>
    </row>
    <row r="2254" spans="1:14" s="294" customFormat="1">
      <c r="A2254" s="297"/>
      <c r="B2254" s="298"/>
      <c r="C2254" s="299" t="s">
        <v>1519</v>
      </c>
      <c r="D2254" s="299">
        <v>1</v>
      </c>
      <c r="E2254" s="300">
        <v>2</v>
      </c>
      <c r="F2254" s="300">
        <f>E2254*D2254</f>
        <v>2</v>
      </c>
      <c r="G2254" s="299">
        <v>4.8</v>
      </c>
      <c r="H2254" s="310" t="str">
        <f t="shared" si="2468"/>
        <v/>
      </c>
      <c r="I2254" s="311" t="str">
        <f t="shared" si="2469"/>
        <v/>
      </c>
      <c r="J2254" s="311">
        <f t="shared" si="2470"/>
        <v>9.6</v>
      </c>
      <c r="K2254" s="311" t="str">
        <f t="shared" si="2471"/>
        <v/>
      </c>
      <c r="L2254" s="310" t="str">
        <f t="shared" si="2472"/>
        <v/>
      </c>
      <c r="M2254" s="310" t="str">
        <f t="shared" si="2473"/>
        <v/>
      </c>
      <c r="N2254" s="311" t="str">
        <f t="shared" si="2474"/>
        <v/>
      </c>
    </row>
    <row r="2255" spans="1:14" s="294" customFormat="1">
      <c r="A2255" s="297" t="s">
        <v>1494</v>
      </c>
      <c r="B2255" s="301"/>
      <c r="C2255" s="299" t="s">
        <v>1496</v>
      </c>
      <c r="D2255" s="299">
        <v>1</v>
      </c>
      <c r="E2255" s="300">
        <f>14+14+20</f>
        <v>48</v>
      </c>
      <c r="F2255" s="300">
        <f t="shared" ref="F2255:F2256" si="2475">E2255*D2255</f>
        <v>48</v>
      </c>
      <c r="G2255" s="302">
        <f>(0.2+0.45)*2+17*0.008*2</f>
        <v>1.57</v>
      </c>
      <c r="H2255" s="310" t="str">
        <f t="shared" si="2468"/>
        <v/>
      </c>
      <c r="I2255" s="311">
        <f t="shared" si="2469"/>
        <v>75.36</v>
      </c>
      <c r="J2255" s="311" t="str">
        <f t="shared" si="2470"/>
        <v/>
      </c>
      <c r="K2255" s="311" t="str">
        <f t="shared" si="2471"/>
        <v/>
      </c>
      <c r="L2255" s="310" t="str">
        <f t="shared" si="2472"/>
        <v/>
      </c>
      <c r="M2255" s="310" t="str">
        <f t="shared" si="2473"/>
        <v/>
      </c>
      <c r="N2255" s="311" t="str">
        <f t="shared" si="2474"/>
        <v/>
      </c>
    </row>
    <row r="2256" spans="1:14" s="294" customFormat="1">
      <c r="A2256" s="297" t="s">
        <v>1517</v>
      </c>
      <c r="B2256" s="301"/>
      <c r="C2256" s="299" t="s">
        <v>1496</v>
      </c>
      <c r="D2256" s="299">
        <v>1</v>
      </c>
      <c r="E2256" s="300">
        <v>48</v>
      </c>
      <c r="F2256" s="300">
        <f t="shared" si="2475"/>
        <v>48</v>
      </c>
      <c r="G2256" s="302">
        <f>(0.45*2)+17*0.008*2</f>
        <v>1.17</v>
      </c>
      <c r="H2256" s="310" t="str">
        <f t="shared" si="2468"/>
        <v/>
      </c>
      <c r="I2256" s="311">
        <f t="shared" si="2469"/>
        <v>56.16</v>
      </c>
      <c r="J2256" s="311" t="str">
        <f t="shared" si="2470"/>
        <v/>
      </c>
      <c r="K2256" s="311" t="str">
        <f t="shared" si="2471"/>
        <v/>
      </c>
      <c r="L2256" s="310" t="str">
        <f t="shared" si="2472"/>
        <v/>
      </c>
      <c r="M2256" s="310" t="str">
        <f t="shared" si="2473"/>
        <v/>
      </c>
      <c r="N2256" s="311" t="str">
        <f t="shared" si="2474"/>
        <v/>
      </c>
    </row>
    <row r="2257" spans="1:14">
      <c r="A2257" s="297" t="s">
        <v>1518</v>
      </c>
      <c r="B2257" s="254"/>
      <c r="C2257" s="299" t="s">
        <v>1492</v>
      </c>
      <c r="D2257" s="299">
        <v>1</v>
      </c>
      <c r="E2257" s="300">
        <v>3</v>
      </c>
      <c r="F2257" s="300">
        <f>E2257*D2257</f>
        <v>3</v>
      </c>
      <c r="G2257" s="302">
        <v>3</v>
      </c>
      <c r="H2257" s="310" t="str">
        <f t="shared" si="2468"/>
        <v/>
      </c>
      <c r="I2257" s="311" t="str">
        <f t="shared" si="2469"/>
        <v/>
      </c>
      <c r="J2257" s="311" t="str">
        <f t="shared" si="2470"/>
        <v/>
      </c>
      <c r="K2257" s="311" t="str">
        <f t="shared" si="2471"/>
        <v/>
      </c>
      <c r="L2257" s="310">
        <f t="shared" si="2472"/>
        <v>9</v>
      </c>
      <c r="M2257" s="310" t="str">
        <f t="shared" si="2473"/>
        <v/>
      </c>
      <c r="N2257" s="311" t="str">
        <f t="shared" si="2474"/>
        <v/>
      </c>
    </row>
    <row r="2258" spans="1:14">
      <c r="A2258" s="297"/>
      <c r="B2258" s="254"/>
      <c r="C2258" s="299" t="s">
        <v>1492</v>
      </c>
      <c r="D2258" s="299">
        <v>1</v>
      </c>
      <c r="E2258" s="300">
        <v>3</v>
      </c>
      <c r="F2258" s="300">
        <f>E2258*D2258</f>
        <v>3</v>
      </c>
      <c r="G2258" s="302">
        <v>1.9</v>
      </c>
      <c r="H2258" s="310" t="str">
        <f t="shared" si="2468"/>
        <v/>
      </c>
      <c r="I2258" s="311" t="str">
        <f t="shared" si="2469"/>
        <v/>
      </c>
      <c r="J2258" s="311" t="str">
        <f t="shared" si="2470"/>
        <v/>
      </c>
      <c r="K2258" s="311" t="str">
        <f t="shared" si="2471"/>
        <v/>
      </c>
      <c r="L2258" s="310">
        <f t="shared" si="2472"/>
        <v>5.7</v>
      </c>
      <c r="M2258" s="310" t="str">
        <f t="shared" si="2473"/>
        <v/>
      </c>
      <c r="N2258" s="311" t="str">
        <f t="shared" si="2474"/>
        <v/>
      </c>
    </row>
    <row r="2259" spans="1:14">
      <c r="A2259" s="297"/>
      <c r="B2259" s="254"/>
      <c r="C2259" s="299" t="s">
        <v>1516</v>
      </c>
      <c r="D2259" s="299">
        <v>1</v>
      </c>
      <c r="E2259" s="300">
        <v>3</v>
      </c>
      <c r="F2259" s="300">
        <f>E2259*D2259</f>
        <v>3</v>
      </c>
      <c r="G2259" s="302">
        <v>4.4000000000000004</v>
      </c>
      <c r="H2259" s="310" t="str">
        <f t="shared" si="2468"/>
        <v/>
      </c>
      <c r="I2259" s="311" t="str">
        <f t="shared" si="2469"/>
        <v/>
      </c>
      <c r="J2259" s="311" t="str">
        <f t="shared" si="2470"/>
        <v/>
      </c>
      <c r="K2259" s="311">
        <f t="shared" si="2471"/>
        <v>13.2</v>
      </c>
      <c r="L2259" s="310" t="str">
        <f t="shared" si="2472"/>
        <v/>
      </c>
      <c r="M2259" s="310" t="str">
        <f t="shared" si="2473"/>
        <v/>
      </c>
      <c r="N2259" s="311" t="str">
        <f t="shared" si="2474"/>
        <v/>
      </c>
    </row>
    <row r="2260" spans="1:14" ht="16.5">
      <c r="A2260" s="303"/>
      <c r="B2260" s="254"/>
      <c r="C2260" s="299"/>
      <c r="D2260" s="299"/>
      <c r="E2260" s="300"/>
      <c r="F2260" s="300"/>
      <c r="G2260" s="302"/>
      <c r="H2260" s="310"/>
      <c r="I2260" s="311"/>
      <c r="J2260" s="311"/>
      <c r="K2260" s="311"/>
      <c r="L2260" s="310"/>
      <c r="M2260" s="310"/>
      <c r="N2260" s="311"/>
    </row>
    <row r="2261" spans="1:14" ht="16.5">
      <c r="A2261" s="303" t="s">
        <v>1470</v>
      </c>
      <c r="B2261" s="254"/>
      <c r="C2261" s="299"/>
      <c r="D2261" s="299"/>
      <c r="E2261" s="300"/>
      <c r="F2261" s="300"/>
      <c r="G2261" s="302"/>
      <c r="H2261" s="310"/>
      <c r="I2261" s="311"/>
      <c r="J2261" s="311"/>
      <c r="K2261" s="311"/>
      <c r="L2261" s="310"/>
      <c r="M2261" s="310"/>
      <c r="N2261" s="311"/>
    </row>
    <row r="2262" spans="1:14" s="294" customFormat="1">
      <c r="A2262" s="297" t="s">
        <v>1515</v>
      </c>
      <c r="B2262" s="298"/>
      <c r="C2262" s="299" t="s">
        <v>1492</v>
      </c>
      <c r="D2262" s="299">
        <v>1</v>
      </c>
      <c r="E2262" s="300">
        <v>3</v>
      </c>
      <c r="F2262" s="300">
        <f>E2262*D2262</f>
        <v>3</v>
      </c>
      <c r="G2262" s="299">
        <f>5.35+17*0.014*2</f>
        <v>5.8259999999999996</v>
      </c>
      <c r="H2262" s="310" t="str">
        <f t="shared" ref="H2262:H2269" si="2476">IF(C2262="T6",G2262*F2262,"")</f>
        <v/>
      </c>
      <c r="I2262" s="311" t="str">
        <f t="shared" ref="I2262:I2269" si="2477">IF(C2262="T8",F2262*G2262,"")</f>
        <v/>
      </c>
      <c r="J2262" s="311" t="str">
        <f t="shared" ref="J2262:J2269" si="2478">IF(C2262="T10",F2262*G2262,"")</f>
        <v/>
      </c>
      <c r="K2262" s="311" t="str">
        <f t="shared" ref="K2262:K2269" si="2479">IF(C2262="T12",F2262*G2262,"")</f>
        <v/>
      </c>
      <c r="L2262" s="310">
        <f t="shared" ref="L2262:L2269" si="2480">IF(C2262="T14",F2262*G2262,"")</f>
        <v>17.48</v>
      </c>
      <c r="M2262" s="310" t="str">
        <f t="shared" ref="M2262:M2269" si="2481">IF(C2262="T16",G2262*F2262,"")</f>
        <v/>
      </c>
      <c r="N2262" s="311" t="str">
        <f t="shared" ref="N2262:N2269" si="2482">IF(C2262="T20",G2262*F2262,"")</f>
        <v/>
      </c>
    </row>
    <row r="2263" spans="1:14" s="294" customFormat="1">
      <c r="A2263" s="297" t="s">
        <v>1515</v>
      </c>
      <c r="B2263" s="298"/>
      <c r="C2263" s="299" t="s">
        <v>1516</v>
      </c>
      <c r="D2263" s="299">
        <v>1</v>
      </c>
      <c r="E2263" s="300">
        <v>3</v>
      </c>
      <c r="F2263" s="300">
        <f>E2263*D2263</f>
        <v>3</v>
      </c>
      <c r="G2263" s="302">
        <f>(5.35)+17*0.012*2</f>
        <v>5.76</v>
      </c>
      <c r="H2263" s="310" t="str">
        <f t="shared" si="2476"/>
        <v/>
      </c>
      <c r="I2263" s="311" t="str">
        <f t="shared" si="2477"/>
        <v/>
      </c>
      <c r="J2263" s="311" t="str">
        <f t="shared" si="2478"/>
        <v/>
      </c>
      <c r="K2263" s="311">
        <f t="shared" si="2479"/>
        <v>17.28</v>
      </c>
      <c r="L2263" s="310" t="str">
        <f t="shared" si="2480"/>
        <v/>
      </c>
      <c r="M2263" s="310" t="str">
        <f t="shared" si="2481"/>
        <v/>
      </c>
      <c r="N2263" s="311" t="str">
        <f t="shared" si="2482"/>
        <v/>
      </c>
    </row>
    <row r="2264" spans="1:14" s="294" customFormat="1">
      <c r="A2264" s="297"/>
      <c r="B2264" s="298"/>
      <c r="C2264" s="299" t="s">
        <v>1519</v>
      </c>
      <c r="D2264" s="299">
        <v>1</v>
      </c>
      <c r="E2264" s="300">
        <v>2</v>
      </c>
      <c r="F2264" s="300">
        <f>E2264*D2264</f>
        <v>2</v>
      </c>
      <c r="G2264" s="299">
        <v>5.35</v>
      </c>
      <c r="H2264" s="310" t="str">
        <f t="shared" si="2476"/>
        <v/>
      </c>
      <c r="I2264" s="311" t="str">
        <f t="shared" si="2477"/>
        <v/>
      </c>
      <c r="J2264" s="311">
        <f t="shared" si="2478"/>
        <v>10.7</v>
      </c>
      <c r="K2264" s="311" t="str">
        <f t="shared" si="2479"/>
        <v/>
      </c>
      <c r="L2264" s="310" t="str">
        <f t="shared" si="2480"/>
        <v/>
      </c>
      <c r="M2264" s="310" t="str">
        <f t="shared" si="2481"/>
        <v/>
      </c>
      <c r="N2264" s="311" t="str">
        <f t="shared" si="2482"/>
        <v/>
      </c>
    </row>
    <row r="2265" spans="1:14" s="294" customFormat="1">
      <c r="A2265" s="297" t="s">
        <v>1494</v>
      </c>
      <c r="B2265" s="301"/>
      <c r="C2265" s="299" t="s">
        <v>1496</v>
      </c>
      <c r="D2265" s="299">
        <v>1</v>
      </c>
      <c r="E2265" s="300">
        <f>16+13+16</f>
        <v>45</v>
      </c>
      <c r="F2265" s="300">
        <f t="shared" ref="F2265:F2266" si="2483">E2265*D2265</f>
        <v>45</v>
      </c>
      <c r="G2265" s="302">
        <f>(0.2+0.55)*2+17*0.008*2</f>
        <v>1.77</v>
      </c>
      <c r="H2265" s="310" t="str">
        <f t="shared" si="2476"/>
        <v/>
      </c>
      <c r="I2265" s="311">
        <f t="shared" si="2477"/>
        <v>79.650000000000006</v>
      </c>
      <c r="J2265" s="311" t="str">
        <f t="shared" si="2478"/>
        <v/>
      </c>
      <c r="K2265" s="311" t="str">
        <f t="shared" si="2479"/>
        <v/>
      </c>
      <c r="L2265" s="310" t="str">
        <f t="shared" si="2480"/>
        <v/>
      </c>
      <c r="M2265" s="310" t="str">
        <f t="shared" si="2481"/>
        <v/>
      </c>
      <c r="N2265" s="311" t="str">
        <f t="shared" si="2482"/>
        <v/>
      </c>
    </row>
    <row r="2266" spans="1:14" s="294" customFormat="1">
      <c r="A2266" s="297" t="s">
        <v>1517</v>
      </c>
      <c r="B2266" s="301"/>
      <c r="C2266" s="299" t="s">
        <v>1496</v>
      </c>
      <c r="D2266" s="299">
        <v>1</v>
      </c>
      <c r="E2266" s="300">
        <v>45</v>
      </c>
      <c r="F2266" s="300">
        <f t="shared" si="2483"/>
        <v>45</v>
      </c>
      <c r="G2266" s="302">
        <f>(0.55*2)+17*0.008*2</f>
        <v>1.37</v>
      </c>
      <c r="H2266" s="310" t="str">
        <f t="shared" si="2476"/>
        <v/>
      </c>
      <c r="I2266" s="311">
        <f t="shared" si="2477"/>
        <v>61.65</v>
      </c>
      <c r="J2266" s="311" t="str">
        <f t="shared" si="2478"/>
        <v/>
      </c>
      <c r="K2266" s="311" t="str">
        <f t="shared" si="2479"/>
        <v/>
      </c>
      <c r="L2266" s="310" t="str">
        <f t="shared" si="2480"/>
        <v/>
      </c>
      <c r="M2266" s="310" t="str">
        <f t="shared" si="2481"/>
        <v/>
      </c>
      <c r="N2266" s="311" t="str">
        <f t="shared" si="2482"/>
        <v/>
      </c>
    </row>
    <row r="2267" spans="1:14">
      <c r="A2267" s="297" t="s">
        <v>1518</v>
      </c>
      <c r="B2267" s="254"/>
      <c r="C2267" s="299" t="s">
        <v>1492</v>
      </c>
      <c r="D2267" s="299">
        <v>1</v>
      </c>
      <c r="E2267" s="300">
        <v>3</v>
      </c>
      <c r="F2267" s="300">
        <f>E2267*D2267</f>
        <v>3</v>
      </c>
      <c r="G2267" s="302">
        <v>4</v>
      </c>
      <c r="H2267" s="310" t="str">
        <f t="shared" si="2476"/>
        <v/>
      </c>
      <c r="I2267" s="311" t="str">
        <f t="shared" si="2477"/>
        <v/>
      </c>
      <c r="J2267" s="311" t="str">
        <f t="shared" si="2478"/>
        <v/>
      </c>
      <c r="K2267" s="311" t="str">
        <f t="shared" si="2479"/>
        <v/>
      </c>
      <c r="L2267" s="310">
        <f t="shared" si="2480"/>
        <v>12</v>
      </c>
      <c r="M2267" s="310" t="str">
        <f t="shared" si="2481"/>
        <v/>
      </c>
      <c r="N2267" s="311" t="str">
        <f t="shared" si="2482"/>
        <v/>
      </c>
    </row>
    <row r="2268" spans="1:14">
      <c r="A2268" s="297"/>
      <c r="B2268" s="254"/>
      <c r="C2268" s="299" t="s">
        <v>1492</v>
      </c>
      <c r="D2268" s="299">
        <v>1</v>
      </c>
      <c r="E2268" s="300">
        <v>3</v>
      </c>
      <c r="F2268" s="300">
        <f>E2268*D2268</f>
        <v>3</v>
      </c>
      <c r="G2268" s="302">
        <v>2</v>
      </c>
      <c r="H2268" s="310" t="str">
        <f t="shared" si="2476"/>
        <v/>
      </c>
      <c r="I2268" s="311" t="str">
        <f t="shared" si="2477"/>
        <v/>
      </c>
      <c r="J2268" s="311" t="str">
        <f t="shared" si="2478"/>
        <v/>
      </c>
      <c r="K2268" s="311" t="str">
        <f t="shared" si="2479"/>
        <v/>
      </c>
      <c r="L2268" s="310">
        <f t="shared" si="2480"/>
        <v>6</v>
      </c>
      <c r="M2268" s="310" t="str">
        <f t="shared" si="2481"/>
        <v/>
      </c>
      <c r="N2268" s="311" t="str">
        <f t="shared" si="2482"/>
        <v/>
      </c>
    </row>
    <row r="2269" spans="1:14">
      <c r="A2269" s="297"/>
      <c r="B2269" s="254"/>
      <c r="C2269" s="299" t="s">
        <v>1516</v>
      </c>
      <c r="D2269" s="299">
        <v>1</v>
      </c>
      <c r="E2269" s="300">
        <v>3</v>
      </c>
      <c r="F2269" s="300">
        <f>E2269*D2269</f>
        <v>3</v>
      </c>
      <c r="G2269" s="302">
        <v>4.8</v>
      </c>
      <c r="H2269" s="310" t="str">
        <f t="shared" si="2476"/>
        <v/>
      </c>
      <c r="I2269" s="311" t="str">
        <f t="shared" si="2477"/>
        <v/>
      </c>
      <c r="J2269" s="311" t="str">
        <f t="shared" si="2478"/>
        <v/>
      </c>
      <c r="K2269" s="311">
        <f t="shared" si="2479"/>
        <v>14.4</v>
      </c>
      <c r="L2269" s="310" t="str">
        <f t="shared" si="2480"/>
        <v/>
      </c>
      <c r="M2269" s="310" t="str">
        <f t="shared" si="2481"/>
        <v/>
      </c>
      <c r="N2269" s="311" t="str">
        <f t="shared" si="2482"/>
        <v/>
      </c>
    </row>
    <row r="2270" spans="1:14" ht="16.5">
      <c r="A2270" s="303"/>
      <c r="B2270" s="254"/>
      <c r="C2270" s="299"/>
      <c r="D2270" s="299"/>
      <c r="E2270" s="300"/>
      <c r="F2270" s="300"/>
      <c r="G2270" s="302"/>
      <c r="H2270" s="310"/>
      <c r="I2270" s="311"/>
      <c r="J2270" s="311"/>
      <c r="K2270" s="311"/>
      <c r="L2270" s="310"/>
      <c r="M2270" s="310"/>
      <c r="N2270" s="311"/>
    </row>
    <row r="2271" spans="1:14" ht="16.5">
      <c r="A2271" s="303" t="s">
        <v>1388</v>
      </c>
      <c r="B2271" s="254"/>
      <c r="C2271" s="299"/>
      <c r="D2271" s="299"/>
      <c r="E2271" s="300"/>
      <c r="F2271" s="300"/>
      <c r="G2271" s="302"/>
      <c r="H2271" s="310"/>
      <c r="I2271" s="311"/>
      <c r="J2271" s="311"/>
      <c r="K2271" s="311"/>
      <c r="L2271" s="310"/>
      <c r="M2271" s="310"/>
      <c r="N2271" s="311"/>
    </row>
    <row r="2272" spans="1:14" s="294" customFormat="1">
      <c r="A2272" s="297" t="s">
        <v>1515</v>
      </c>
      <c r="B2272" s="298"/>
      <c r="C2272" s="299" t="s">
        <v>1519</v>
      </c>
      <c r="D2272" s="299">
        <v>10</v>
      </c>
      <c r="E2272" s="300">
        <v>3</v>
      </c>
      <c r="F2272" s="300">
        <f>E2272*D2272</f>
        <v>30</v>
      </c>
      <c r="G2272" s="299">
        <f>1+17*0.01*2</f>
        <v>1.34</v>
      </c>
      <c r="H2272" s="310" t="str">
        <f t="shared" ref="H2272:H2275" si="2484">IF(C2272="T6",G2272*F2272,"")</f>
        <v/>
      </c>
      <c r="I2272" s="311" t="str">
        <f t="shared" ref="I2272:I2275" si="2485">IF(C2272="T8",F2272*G2272,"")</f>
        <v/>
      </c>
      <c r="J2272" s="311">
        <f t="shared" ref="J2272:J2275" si="2486">IF(C2272="T10",F2272*G2272,"")</f>
        <v>40.200000000000003</v>
      </c>
      <c r="K2272" s="311" t="str">
        <f t="shared" ref="K2272:K2275" si="2487">IF(C2272="T12",F2272*G2272,"")</f>
        <v/>
      </c>
      <c r="L2272" s="310" t="str">
        <f t="shared" ref="L2272:L2275" si="2488">IF(C2272="T14",F2272*G2272,"")</f>
        <v/>
      </c>
      <c r="M2272" s="310" t="str">
        <f t="shared" ref="M2272:M2275" si="2489">IF(C2272="T16",G2272*F2272,"")</f>
        <v/>
      </c>
      <c r="N2272" s="311" t="str">
        <f t="shared" ref="N2272:N2275" si="2490">IF(C2272="T20",G2272*F2272,"")</f>
        <v/>
      </c>
    </row>
    <row r="2273" spans="1:14" s="294" customFormat="1">
      <c r="A2273" s="297" t="s">
        <v>1515</v>
      </c>
      <c r="B2273" s="298"/>
      <c r="C2273" s="299" t="s">
        <v>1492</v>
      </c>
      <c r="D2273" s="299">
        <v>10</v>
      </c>
      <c r="E2273" s="300">
        <v>3</v>
      </c>
      <c r="F2273" s="300">
        <f>E2273*D2273</f>
        <v>30</v>
      </c>
      <c r="G2273" s="302">
        <f>(1)+17*0.012*2</f>
        <v>1.41</v>
      </c>
      <c r="H2273" s="310" t="str">
        <f t="shared" si="2484"/>
        <v/>
      </c>
      <c r="I2273" s="311" t="str">
        <f t="shared" si="2485"/>
        <v/>
      </c>
      <c r="J2273" s="311" t="str">
        <f t="shared" si="2486"/>
        <v/>
      </c>
      <c r="K2273" s="311" t="str">
        <f t="shared" si="2487"/>
        <v/>
      </c>
      <c r="L2273" s="310">
        <f t="shared" si="2488"/>
        <v>42.3</v>
      </c>
      <c r="M2273" s="310" t="str">
        <f t="shared" si="2489"/>
        <v/>
      </c>
      <c r="N2273" s="311" t="str">
        <f t="shared" si="2490"/>
        <v/>
      </c>
    </row>
    <row r="2274" spans="1:14" s="294" customFormat="1">
      <c r="A2274" s="297" t="s">
        <v>1494</v>
      </c>
      <c r="B2274" s="301"/>
      <c r="C2274" s="299" t="s">
        <v>1496</v>
      </c>
      <c r="D2274" s="299">
        <v>10</v>
      </c>
      <c r="E2274" s="300">
        <f>1/0.15</f>
        <v>7</v>
      </c>
      <c r="F2274" s="300">
        <f t="shared" ref="F2274:F2275" si="2491">E2274*D2274</f>
        <v>70</v>
      </c>
      <c r="G2274" s="302">
        <f>(0.2+0.15)*2+17*0.008*2</f>
        <v>0.97</v>
      </c>
      <c r="H2274" s="310" t="str">
        <f t="shared" si="2484"/>
        <v/>
      </c>
      <c r="I2274" s="311">
        <f t="shared" si="2485"/>
        <v>67.900000000000006</v>
      </c>
      <c r="J2274" s="311" t="str">
        <f t="shared" si="2486"/>
        <v/>
      </c>
      <c r="K2274" s="311" t="str">
        <f t="shared" si="2487"/>
        <v/>
      </c>
      <c r="L2274" s="310" t="str">
        <f t="shared" si="2488"/>
        <v/>
      </c>
      <c r="M2274" s="310" t="str">
        <f t="shared" si="2489"/>
        <v/>
      </c>
      <c r="N2274" s="311" t="str">
        <f t="shared" si="2490"/>
        <v/>
      </c>
    </row>
    <row r="2275" spans="1:14" s="294" customFormat="1">
      <c r="A2275" s="297" t="s">
        <v>1517</v>
      </c>
      <c r="B2275" s="301"/>
      <c r="C2275" s="299" t="s">
        <v>1496</v>
      </c>
      <c r="D2275" s="299">
        <v>10</v>
      </c>
      <c r="E2275" s="300">
        <v>7</v>
      </c>
      <c r="F2275" s="300">
        <f t="shared" si="2491"/>
        <v>70</v>
      </c>
      <c r="G2275" s="302">
        <f>(0.2*2)+17*0.008*2</f>
        <v>0.67</v>
      </c>
      <c r="H2275" s="310" t="str">
        <f t="shared" si="2484"/>
        <v/>
      </c>
      <c r="I2275" s="311">
        <f t="shared" si="2485"/>
        <v>46.9</v>
      </c>
      <c r="J2275" s="311" t="str">
        <f t="shared" si="2486"/>
        <v/>
      </c>
      <c r="K2275" s="311" t="str">
        <f t="shared" si="2487"/>
        <v/>
      </c>
      <c r="L2275" s="310" t="str">
        <f t="shared" si="2488"/>
        <v/>
      </c>
      <c r="M2275" s="310" t="str">
        <f t="shared" si="2489"/>
        <v/>
      </c>
      <c r="N2275" s="311" t="str">
        <f t="shared" si="2490"/>
        <v/>
      </c>
    </row>
    <row r="2276" spans="1:14">
      <c r="A2276" s="253"/>
      <c r="B2276" s="254"/>
      <c r="C2276" s="299"/>
      <c r="D2276" s="299"/>
      <c r="E2276" s="300"/>
      <c r="F2276" s="300"/>
      <c r="G2276" s="302"/>
      <c r="H2276" s="310"/>
      <c r="I2276" s="311"/>
      <c r="J2276" s="311"/>
      <c r="K2276" s="311"/>
      <c r="L2276" s="310"/>
      <c r="M2276" s="310"/>
      <c r="N2276" s="311"/>
    </row>
    <row r="2277" spans="1:14" ht="16.5">
      <c r="A2277" s="303" t="s">
        <v>1471</v>
      </c>
      <c r="B2277" s="254"/>
      <c r="C2277" s="299"/>
      <c r="D2277" s="299"/>
      <c r="E2277" s="300"/>
      <c r="F2277" s="300"/>
      <c r="G2277" s="302"/>
      <c r="H2277" s="310"/>
      <c r="I2277" s="311"/>
      <c r="J2277" s="311"/>
      <c r="K2277" s="311"/>
      <c r="L2277" s="310"/>
      <c r="M2277" s="310"/>
      <c r="N2277" s="311"/>
    </row>
    <row r="2278" spans="1:14" s="294" customFormat="1">
      <c r="A2278" s="297" t="s">
        <v>1515</v>
      </c>
      <c r="B2278" s="298"/>
      <c r="C2278" s="299" t="s">
        <v>1519</v>
      </c>
      <c r="D2278" s="299">
        <v>1</v>
      </c>
      <c r="E2278" s="300">
        <v>3</v>
      </c>
      <c r="F2278" s="300">
        <f>E2278*D2278</f>
        <v>3</v>
      </c>
      <c r="G2278" s="299">
        <f>4.8+17*0.01*2</f>
        <v>5.14</v>
      </c>
      <c r="H2278" s="310" t="str">
        <f t="shared" ref="H2278:H2285" si="2492">IF(C2278="T6",G2278*F2278,"")</f>
        <v/>
      </c>
      <c r="I2278" s="311" t="str">
        <f t="shared" ref="I2278:I2285" si="2493">IF(C2278="T8",F2278*G2278,"")</f>
        <v/>
      </c>
      <c r="J2278" s="311">
        <f t="shared" ref="J2278:J2285" si="2494">IF(C2278="T10",F2278*G2278,"")</f>
        <v>15.42</v>
      </c>
      <c r="K2278" s="311" t="str">
        <f t="shared" ref="K2278:K2285" si="2495">IF(C2278="T12",F2278*G2278,"")</f>
        <v/>
      </c>
      <c r="L2278" s="310" t="str">
        <f t="shared" ref="L2278:L2285" si="2496">IF(C2278="T14",F2278*G2278,"")</f>
        <v/>
      </c>
      <c r="M2278" s="310" t="str">
        <f t="shared" ref="M2278:M2285" si="2497">IF(C2278="T16",G2278*F2278,"")</f>
        <v/>
      </c>
      <c r="N2278" s="311" t="str">
        <f t="shared" ref="N2278:N2285" si="2498">IF(C2278="T20",G2278*F2278,"")</f>
        <v/>
      </c>
    </row>
    <row r="2279" spans="1:14" s="294" customFormat="1">
      <c r="A2279" s="297" t="s">
        <v>1515</v>
      </c>
      <c r="B2279" s="298"/>
      <c r="C2279" s="299" t="s">
        <v>1516</v>
      </c>
      <c r="D2279" s="299">
        <v>1</v>
      </c>
      <c r="E2279" s="300">
        <v>3</v>
      </c>
      <c r="F2279" s="300">
        <f>E2279*D2279</f>
        <v>3</v>
      </c>
      <c r="G2279" s="302">
        <f>(4.8)+17*0.012*2</f>
        <v>5.21</v>
      </c>
      <c r="H2279" s="310" t="str">
        <f t="shared" si="2492"/>
        <v/>
      </c>
      <c r="I2279" s="311" t="str">
        <f t="shared" si="2493"/>
        <v/>
      </c>
      <c r="J2279" s="311" t="str">
        <f t="shared" si="2494"/>
        <v/>
      </c>
      <c r="K2279" s="311">
        <f t="shared" si="2495"/>
        <v>15.63</v>
      </c>
      <c r="L2279" s="310" t="str">
        <f t="shared" si="2496"/>
        <v/>
      </c>
      <c r="M2279" s="310" t="str">
        <f t="shared" si="2497"/>
        <v/>
      </c>
      <c r="N2279" s="311" t="str">
        <f t="shared" si="2498"/>
        <v/>
      </c>
    </row>
    <row r="2280" spans="1:14" s="294" customFormat="1">
      <c r="A2280" s="297"/>
      <c r="B2280" s="298"/>
      <c r="C2280" s="299" t="s">
        <v>1519</v>
      </c>
      <c r="D2280" s="299">
        <v>1</v>
      </c>
      <c r="E2280" s="300">
        <v>2</v>
      </c>
      <c r="F2280" s="300">
        <f>E2280*D2280</f>
        <v>2</v>
      </c>
      <c r="G2280" s="299">
        <v>4.8</v>
      </c>
      <c r="H2280" s="310" t="str">
        <f t="shared" si="2492"/>
        <v/>
      </c>
      <c r="I2280" s="311" t="str">
        <f t="shared" si="2493"/>
        <v/>
      </c>
      <c r="J2280" s="311">
        <f t="shared" si="2494"/>
        <v>9.6</v>
      </c>
      <c r="K2280" s="311" t="str">
        <f t="shared" si="2495"/>
        <v/>
      </c>
      <c r="L2280" s="310" t="str">
        <f t="shared" si="2496"/>
        <v/>
      </c>
      <c r="M2280" s="310" t="str">
        <f t="shared" si="2497"/>
        <v/>
      </c>
      <c r="N2280" s="311" t="str">
        <f t="shared" si="2498"/>
        <v/>
      </c>
    </row>
    <row r="2281" spans="1:14" s="294" customFormat="1">
      <c r="A2281" s="297" t="s">
        <v>1494</v>
      </c>
      <c r="B2281" s="301"/>
      <c r="C2281" s="299" t="s">
        <v>1496</v>
      </c>
      <c r="D2281" s="299">
        <v>1</v>
      </c>
      <c r="E2281" s="300">
        <f>14+14+20</f>
        <v>48</v>
      </c>
      <c r="F2281" s="300">
        <f t="shared" ref="F2281:F2282" si="2499">E2281*D2281</f>
        <v>48</v>
      </c>
      <c r="G2281" s="302">
        <f>(0.2+0.45)*2+17*0.008*2</f>
        <v>1.57</v>
      </c>
      <c r="H2281" s="310" t="str">
        <f t="shared" si="2492"/>
        <v/>
      </c>
      <c r="I2281" s="311">
        <f t="shared" si="2493"/>
        <v>75.36</v>
      </c>
      <c r="J2281" s="311" t="str">
        <f t="shared" si="2494"/>
        <v/>
      </c>
      <c r="K2281" s="311" t="str">
        <f t="shared" si="2495"/>
        <v/>
      </c>
      <c r="L2281" s="310" t="str">
        <f t="shared" si="2496"/>
        <v/>
      </c>
      <c r="M2281" s="310" t="str">
        <f t="shared" si="2497"/>
        <v/>
      </c>
      <c r="N2281" s="311" t="str">
        <f t="shared" si="2498"/>
        <v/>
      </c>
    </row>
    <row r="2282" spans="1:14" s="294" customFormat="1">
      <c r="A2282" s="297" t="s">
        <v>1517</v>
      </c>
      <c r="B2282" s="301"/>
      <c r="C2282" s="299" t="s">
        <v>1496</v>
      </c>
      <c r="D2282" s="299">
        <v>1</v>
      </c>
      <c r="E2282" s="300">
        <v>48</v>
      </c>
      <c r="F2282" s="300">
        <f t="shared" si="2499"/>
        <v>48</v>
      </c>
      <c r="G2282" s="302">
        <f>(0.45*2)+17*0.008*2</f>
        <v>1.17</v>
      </c>
      <c r="H2282" s="310" t="str">
        <f t="shared" si="2492"/>
        <v/>
      </c>
      <c r="I2282" s="311">
        <f t="shared" si="2493"/>
        <v>56.16</v>
      </c>
      <c r="J2282" s="311" t="str">
        <f t="shared" si="2494"/>
        <v/>
      </c>
      <c r="K2282" s="311" t="str">
        <f t="shared" si="2495"/>
        <v/>
      </c>
      <c r="L2282" s="310" t="str">
        <f t="shared" si="2496"/>
        <v/>
      </c>
      <c r="M2282" s="310" t="str">
        <f t="shared" si="2497"/>
        <v/>
      </c>
      <c r="N2282" s="311" t="str">
        <f t="shared" si="2498"/>
        <v/>
      </c>
    </row>
    <row r="2283" spans="1:14">
      <c r="A2283" s="297" t="s">
        <v>1518</v>
      </c>
      <c r="B2283" s="254"/>
      <c r="C2283" s="299" t="s">
        <v>1492</v>
      </c>
      <c r="D2283" s="299">
        <v>1</v>
      </c>
      <c r="E2283" s="300">
        <v>3</v>
      </c>
      <c r="F2283" s="300">
        <f>E2283*D2283</f>
        <v>3</v>
      </c>
      <c r="G2283" s="302">
        <v>3</v>
      </c>
      <c r="H2283" s="310" t="str">
        <f t="shared" si="2492"/>
        <v/>
      </c>
      <c r="I2283" s="311" t="str">
        <f t="shared" si="2493"/>
        <v/>
      </c>
      <c r="J2283" s="311" t="str">
        <f t="shared" si="2494"/>
        <v/>
      </c>
      <c r="K2283" s="311" t="str">
        <f t="shared" si="2495"/>
        <v/>
      </c>
      <c r="L2283" s="310">
        <f t="shared" si="2496"/>
        <v>9</v>
      </c>
      <c r="M2283" s="310" t="str">
        <f t="shared" si="2497"/>
        <v/>
      </c>
      <c r="N2283" s="311" t="str">
        <f t="shared" si="2498"/>
        <v/>
      </c>
    </row>
    <row r="2284" spans="1:14">
      <c r="A2284" s="297"/>
      <c r="B2284" s="254"/>
      <c r="C2284" s="299" t="s">
        <v>1492</v>
      </c>
      <c r="D2284" s="299">
        <v>1</v>
      </c>
      <c r="E2284" s="300">
        <v>3</v>
      </c>
      <c r="F2284" s="300">
        <f>E2284*D2284</f>
        <v>3</v>
      </c>
      <c r="G2284" s="302">
        <v>1.9</v>
      </c>
      <c r="H2284" s="310" t="str">
        <f t="shared" si="2492"/>
        <v/>
      </c>
      <c r="I2284" s="311" t="str">
        <f t="shared" si="2493"/>
        <v/>
      </c>
      <c r="J2284" s="311" t="str">
        <f t="shared" si="2494"/>
        <v/>
      </c>
      <c r="K2284" s="311" t="str">
        <f t="shared" si="2495"/>
        <v/>
      </c>
      <c r="L2284" s="310">
        <f t="shared" si="2496"/>
        <v>5.7</v>
      </c>
      <c r="M2284" s="310" t="str">
        <f t="shared" si="2497"/>
        <v/>
      </c>
      <c r="N2284" s="311" t="str">
        <f t="shared" si="2498"/>
        <v/>
      </c>
    </row>
    <row r="2285" spans="1:14">
      <c r="A2285" s="297"/>
      <c r="B2285" s="254"/>
      <c r="C2285" s="299" t="s">
        <v>1516</v>
      </c>
      <c r="D2285" s="299">
        <v>1</v>
      </c>
      <c r="E2285" s="300">
        <v>3</v>
      </c>
      <c r="F2285" s="300">
        <f>E2285*D2285</f>
        <v>3</v>
      </c>
      <c r="G2285" s="302">
        <v>4.4000000000000004</v>
      </c>
      <c r="H2285" s="310" t="str">
        <f t="shared" si="2492"/>
        <v/>
      </c>
      <c r="I2285" s="311" t="str">
        <f t="shared" si="2493"/>
        <v/>
      </c>
      <c r="J2285" s="311" t="str">
        <f t="shared" si="2494"/>
        <v/>
      </c>
      <c r="K2285" s="311">
        <f t="shared" si="2495"/>
        <v>13.2</v>
      </c>
      <c r="L2285" s="310" t="str">
        <f t="shared" si="2496"/>
        <v/>
      </c>
      <c r="M2285" s="310" t="str">
        <f t="shared" si="2497"/>
        <v/>
      </c>
      <c r="N2285" s="311" t="str">
        <f t="shared" si="2498"/>
        <v/>
      </c>
    </row>
    <row r="2286" spans="1:14" ht="16.5">
      <c r="A2286" s="303"/>
      <c r="B2286" s="254"/>
      <c r="C2286" s="299"/>
      <c r="D2286" s="299"/>
      <c r="E2286" s="300"/>
      <c r="F2286" s="300"/>
      <c r="G2286" s="302"/>
      <c r="H2286" s="310"/>
      <c r="I2286" s="311"/>
      <c r="J2286" s="311"/>
      <c r="K2286" s="311"/>
      <c r="L2286" s="310"/>
      <c r="M2286" s="310"/>
      <c r="N2286" s="311"/>
    </row>
    <row r="2287" spans="1:14" ht="16.5">
      <c r="A2287" s="303" t="s">
        <v>1435</v>
      </c>
      <c r="B2287" s="254"/>
      <c r="C2287" s="299"/>
      <c r="D2287" s="299"/>
      <c r="E2287" s="300"/>
      <c r="F2287" s="300"/>
      <c r="G2287" s="302"/>
      <c r="H2287" s="310"/>
      <c r="I2287" s="311"/>
      <c r="J2287" s="311"/>
      <c r="K2287" s="311"/>
      <c r="L2287" s="310"/>
      <c r="M2287" s="310"/>
      <c r="N2287" s="311"/>
    </row>
    <row r="2288" spans="1:14" s="294" customFormat="1">
      <c r="A2288" s="297" t="s">
        <v>1515</v>
      </c>
      <c r="B2288" s="298"/>
      <c r="C2288" s="299" t="s">
        <v>1519</v>
      </c>
      <c r="D2288" s="299">
        <v>1</v>
      </c>
      <c r="E2288" s="300">
        <v>3</v>
      </c>
      <c r="F2288" s="300">
        <f>E2288*D2288</f>
        <v>3</v>
      </c>
      <c r="G2288" s="299">
        <f>5.25+17*0.01*2</f>
        <v>5.59</v>
      </c>
      <c r="H2288" s="310" t="str">
        <f t="shared" ref="H2288:H2295" si="2500">IF(C2288="T6",G2288*F2288,"")</f>
        <v/>
      </c>
      <c r="I2288" s="311" t="str">
        <f t="shared" ref="I2288:I2295" si="2501">IF(C2288="T8",F2288*G2288,"")</f>
        <v/>
      </c>
      <c r="J2288" s="311">
        <f t="shared" ref="J2288:J2295" si="2502">IF(C2288="T10",F2288*G2288,"")</f>
        <v>16.77</v>
      </c>
      <c r="K2288" s="311" t="str">
        <f t="shared" ref="K2288:K2295" si="2503">IF(C2288="T12",F2288*G2288,"")</f>
        <v/>
      </c>
      <c r="L2288" s="310" t="str">
        <f t="shared" ref="L2288:L2295" si="2504">IF(C2288="T14",F2288*G2288,"")</f>
        <v/>
      </c>
      <c r="M2288" s="310" t="str">
        <f t="shared" ref="M2288:M2295" si="2505">IF(C2288="T16",G2288*F2288,"")</f>
        <v/>
      </c>
      <c r="N2288" s="311" t="str">
        <f t="shared" ref="N2288:N2295" si="2506">IF(C2288="T20",G2288*F2288,"")</f>
        <v/>
      </c>
    </row>
    <row r="2289" spans="1:14" s="294" customFormat="1">
      <c r="A2289" s="297" t="s">
        <v>1515</v>
      </c>
      <c r="B2289" s="298"/>
      <c r="C2289" s="299" t="s">
        <v>1492</v>
      </c>
      <c r="D2289" s="299">
        <v>1</v>
      </c>
      <c r="E2289" s="300">
        <v>3</v>
      </c>
      <c r="F2289" s="300">
        <f>E2289*D2289</f>
        <v>3</v>
      </c>
      <c r="G2289" s="302">
        <f>(5.25)+17*0.014*2</f>
        <v>5.73</v>
      </c>
      <c r="H2289" s="310" t="str">
        <f t="shared" si="2500"/>
        <v/>
      </c>
      <c r="I2289" s="311" t="str">
        <f t="shared" si="2501"/>
        <v/>
      </c>
      <c r="J2289" s="311" t="str">
        <f t="shared" si="2502"/>
        <v/>
      </c>
      <c r="K2289" s="311" t="str">
        <f t="shared" si="2503"/>
        <v/>
      </c>
      <c r="L2289" s="310">
        <f t="shared" si="2504"/>
        <v>17.190000000000001</v>
      </c>
      <c r="M2289" s="310" t="str">
        <f t="shared" si="2505"/>
        <v/>
      </c>
      <c r="N2289" s="311" t="str">
        <f t="shared" si="2506"/>
        <v/>
      </c>
    </row>
    <row r="2290" spans="1:14" s="294" customFormat="1">
      <c r="A2290" s="297"/>
      <c r="B2290" s="298"/>
      <c r="C2290" s="299" t="s">
        <v>1519</v>
      </c>
      <c r="D2290" s="299">
        <v>1</v>
      </c>
      <c r="E2290" s="300">
        <v>2</v>
      </c>
      <c r="F2290" s="300">
        <f>E2290*D2290</f>
        <v>2</v>
      </c>
      <c r="G2290" s="299">
        <v>5.25</v>
      </c>
      <c r="H2290" s="310" t="str">
        <f t="shared" si="2500"/>
        <v/>
      </c>
      <c r="I2290" s="311" t="str">
        <f t="shared" si="2501"/>
        <v/>
      </c>
      <c r="J2290" s="311">
        <f t="shared" si="2502"/>
        <v>10.5</v>
      </c>
      <c r="K2290" s="311" t="str">
        <f t="shared" si="2503"/>
        <v/>
      </c>
      <c r="L2290" s="310" t="str">
        <f t="shared" si="2504"/>
        <v/>
      </c>
      <c r="M2290" s="310" t="str">
        <f t="shared" si="2505"/>
        <v/>
      </c>
      <c r="N2290" s="311" t="str">
        <f t="shared" si="2506"/>
        <v/>
      </c>
    </row>
    <row r="2291" spans="1:14" s="294" customFormat="1">
      <c r="A2291" s="297" t="s">
        <v>1494</v>
      </c>
      <c r="B2291" s="301"/>
      <c r="C2291" s="299" t="s">
        <v>1496</v>
      </c>
      <c r="D2291" s="299">
        <v>1</v>
      </c>
      <c r="E2291" s="300">
        <f>16+16+20</f>
        <v>52</v>
      </c>
      <c r="F2291" s="300">
        <f t="shared" ref="F2291:F2292" si="2507">E2291*D2291</f>
        <v>52</v>
      </c>
      <c r="G2291" s="302">
        <f>(0.2+0.45)*2+17*0.008*2</f>
        <v>1.57</v>
      </c>
      <c r="H2291" s="310" t="str">
        <f t="shared" si="2500"/>
        <v/>
      </c>
      <c r="I2291" s="311">
        <f t="shared" si="2501"/>
        <v>81.64</v>
      </c>
      <c r="J2291" s="311" t="str">
        <f t="shared" si="2502"/>
        <v/>
      </c>
      <c r="K2291" s="311" t="str">
        <f t="shared" si="2503"/>
        <v/>
      </c>
      <c r="L2291" s="310" t="str">
        <f t="shared" si="2504"/>
        <v/>
      </c>
      <c r="M2291" s="310" t="str">
        <f t="shared" si="2505"/>
        <v/>
      </c>
      <c r="N2291" s="311" t="str">
        <f t="shared" si="2506"/>
        <v/>
      </c>
    </row>
    <row r="2292" spans="1:14" s="294" customFormat="1">
      <c r="A2292" s="297" t="s">
        <v>1517</v>
      </c>
      <c r="B2292" s="301"/>
      <c r="C2292" s="299" t="s">
        <v>1496</v>
      </c>
      <c r="D2292" s="299">
        <v>1</v>
      </c>
      <c r="E2292" s="300">
        <v>52</v>
      </c>
      <c r="F2292" s="300">
        <f t="shared" si="2507"/>
        <v>52</v>
      </c>
      <c r="G2292" s="302">
        <f>(0.45*2)+17*0.008*2</f>
        <v>1.17</v>
      </c>
      <c r="H2292" s="310" t="str">
        <f t="shared" si="2500"/>
        <v/>
      </c>
      <c r="I2292" s="311">
        <f t="shared" si="2501"/>
        <v>60.84</v>
      </c>
      <c r="J2292" s="311" t="str">
        <f t="shared" si="2502"/>
        <v/>
      </c>
      <c r="K2292" s="311" t="str">
        <f t="shared" si="2503"/>
        <v/>
      </c>
      <c r="L2292" s="310" t="str">
        <f t="shared" si="2504"/>
        <v/>
      </c>
      <c r="M2292" s="310" t="str">
        <f t="shared" si="2505"/>
        <v/>
      </c>
      <c r="N2292" s="311" t="str">
        <f t="shared" si="2506"/>
        <v/>
      </c>
    </row>
    <row r="2293" spans="1:14">
      <c r="A2293" s="297" t="s">
        <v>1518</v>
      </c>
      <c r="B2293" s="254"/>
      <c r="C2293" s="299" t="s">
        <v>1492</v>
      </c>
      <c r="D2293" s="299">
        <v>1</v>
      </c>
      <c r="E2293" s="300">
        <v>3</v>
      </c>
      <c r="F2293" s="300">
        <f>E2293*D2293</f>
        <v>3</v>
      </c>
      <c r="G2293" s="302">
        <v>4</v>
      </c>
      <c r="H2293" s="310" t="str">
        <f t="shared" si="2500"/>
        <v/>
      </c>
      <c r="I2293" s="311" t="str">
        <f t="shared" si="2501"/>
        <v/>
      </c>
      <c r="J2293" s="311" t="str">
        <f t="shared" si="2502"/>
        <v/>
      </c>
      <c r="K2293" s="311" t="str">
        <f t="shared" si="2503"/>
        <v/>
      </c>
      <c r="L2293" s="310">
        <f t="shared" si="2504"/>
        <v>12</v>
      </c>
      <c r="M2293" s="310" t="str">
        <f t="shared" si="2505"/>
        <v/>
      </c>
      <c r="N2293" s="311" t="str">
        <f t="shared" si="2506"/>
        <v/>
      </c>
    </row>
    <row r="2294" spans="1:14">
      <c r="A2294" s="297"/>
      <c r="B2294" s="254"/>
      <c r="C2294" s="299" t="s">
        <v>1492</v>
      </c>
      <c r="D2294" s="299">
        <v>1</v>
      </c>
      <c r="E2294" s="300">
        <v>3</v>
      </c>
      <c r="F2294" s="300">
        <f>E2294*D2294</f>
        <v>3</v>
      </c>
      <c r="G2294" s="302">
        <v>2</v>
      </c>
      <c r="H2294" s="310" t="str">
        <f t="shared" si="2500"/>
        <v/>
      </c>
      <c r="I2294" s="311" t="str">
        <f t="shared" si="2501"/>
        <v/>
      </c>
      <c r="J2294" s="311" t="str">
        <f t="shared" si="2502"/>
        <v/>
      </c>
      <c r="K2294" s="311" t="str">
        <f t="shared" si="2503"/>
        <v/>
      </c>
      <c r="L2294" s="310">
        <f t="shared" si="2504"/>
        <v>6</v>
      </c>
      <c r="M2294" s="310" t="str">
        <f t="shared" si="2505"/>
        <v/>
      </c>
      <c r="N2294" s="311" t="str">
        <f t="shared" si="2506"/>
        <v/>
      </c>
    </row>
    <row r="2295" spans="1:14">
      <c r="A2295" s="297"/>
      <c r="B2295" s="254"/>
      <c r="C2295" s="299" t="s">
        <v>1516</v>
      </c>
      <c r="D2295" s="299">
        <v>1</v>
      </c>
      <c r="E2295" s="300">
        <v>3</v>
      </c>
      <c r="F2295" s="300">
        <f>E2295*D2295</f>
        <v>3</v>
      </c>
      <c r="G2295" s="302">
        <v>4.8</v>
      </c>
      <c r="H2295" s="310" t="str">
        <f t="shared" si="2500"/>
        <v/>
      </c>
      <c r="I2295" s="311" t="str">
        <f t="shared" si="2501"/>
        <v/>
      </c>
      <c r="J2295" s="311" t="str">
        <f t="shared" si="2502"/>
        <v/>
      </c>
      <c r="K2295" s="311">
        <f t="shared" si="2503"/>
        <v>14.4</v>
      </c>
      <c r="L2295" s="310" t="str">
        <f t="shared" si="2504"/>
        <v/>
      </c>
      <c r="M2295" s="310" t="str">
        <f t="shared" si="2505"/>
        <v/>
      </c>
      <c r="N2295" s="311" t="str">
        <f t="shared" si="2506"/>
        <v/>
      </c>
    </row>
    <row r="2296" spans="1:14">
      <c r="A2296" s="253"/>
      <c r="B2296" s="254"/>
      <c r="C2296" s="299"/>
      <c r="D2296" s="299"/>
      <c r="E2296" s="300"/>
      <c r="F2296" s="300"/>
      <c r="G2296" s="302"/>
      <c r="H2296" s="310"/>
      <c r="I2296" s="311"/>
      <c r="J2296" s="311"/>
      <c r="K2296" s="311"/>
      <c r="L2296" s="310"/>
      <c r="M2296" s="310"/>
      <c r="N2296" s="311"/>
    </row>
    <row r="2297" spans="1:14" ht="16.5">
      <c r="A2297" s="303" t="s">
        <v>1473</v>
      </c>
      <c r="B2297" s="254"/>
      <c r="C2297" s="299"/>
      <c r="D2297" s="299"/>
      <c r="E2297" s="300"/>
      <c r="F2297" s="300"/>
      <c r="G2297" s="302"/>
      <c r="H2297" s="310"/>
      <c r="I2297" s="311"/>
      <c r="J2297" s="311"/>
      <c r="K2297" s="311"/>
      <c r="L2297" s="310"/>
      <c r="M2297" s="310"/>
      <c r="N2297" s="311"/>
    </row>
    <row r="2298" spans="1:14" s="294" customFormat="1">
      <c r="A2298" s="297" t="s">
        <v>1515</v>
      </c>
      <c r="B2298" s="298"/>
      <c r="C2298" s="299" t="s">
        <v>1519</v>
      </c>
      <c r="D2298" s="299">
        <v>1</v>
      </c>
      <c r="E2298" s="300">
        <v>3</v>
      </c>
      <c r="F2298" s="300">
        <f>E2298*D2298</f>
        <v>3</v>
      </c>
      <c r="G2298" s="299">
        <f>4.8+17*0.01*2</f>
        <v>5.14</v>
      </c>
      <c r="H2298" s="310" t="str">
        <f t="shared" ref="H2298:H2305" si="2508">IF(C2298="T6",G2298*F2298,"")</f>
        <v/>
      </c>
      <c r="I2298" s="311" t="str">
        <f t="shared" ref="I2298:I2305" si="2509">IF(C2298="T8",F2298*G2298,"")</f>
        <v/>
      </c>
      <c r="J2298" s="311">
        <f t="shared" ref="J2298:J2305" si="2510">IF(C2298="T10",F2298*G2298,"")</f>
        <v>15.42</v>
      </c>
      <c r="K2298" s="311" t="str">
        <f t="shared" ref="K2298:K2305" si="2511">IF(C2298="T12",F2298*G2298,"")</f>
        <v/>
      </c>
      <c r="L2298" s="310" t="str">
        <f t="shared" ref="L2298:L2305" si="2512">IF(C2298="T14",F2298*G2298,"")</f>
        <v/>
      </c>
      <c r="M2298" s="310" t="str">
        <f t="shared" ref="M2298:M2305" si="2513">IF(C2298="T16",G2298*F2298,"")</f>
        <v/>
      </c>
      <c r="N2298" s="311" t="str">
        <f t="shared" ref="N2298:N2305" si="2514">IF(C2298="T20",G2298*F2298,"")</f>
        <v/>
      </c>
    </row>
    <row r="2299" spans="1:14" s="294" customFormat="1">
      <c r="A2299" s="297" t="s">
        <v>1515</v>
      </c>
      <c r="B2299" s="298"/>
      <c r="C2299" s="299" t="s">
        <v>1516</v>
      </c>
      <c r="D2299" s="299">
        <v>1</v>
      </c>
      <c r="E2299" s="300">
        <v>3</v>
      </c>
      <c r="F2299" s="300">
        <f>E2299*D2299</f>
        <v>3</v>
      </c>
      <c r="G2299" s="302">
        <f>(4.8)+17*0.012*2</f>
        <v>5.21</v>
      </c>
      <c r="H2299" s="310" t="str">
        <f t="shared" si="2508"/>
        <v/>
      </c>
      <c r="I2299" s="311" t="str">
        <f t="shared" si="2509"/>
        <v/>
      </c>
      <c r="J2299" s="311" t="str">
        <f t="shared" si="2510"/>
        <v/>
      </c>
      <c r="K2299" s="311">
        <f t="shared" si="2511"/>
        <v>15.63</v>
      </c>
      <c r="L2299" s="310" t="str">
        <f t="shared" si="2512"/>
        <v/>
      </c>
      <c r="M2299" s="310" t="str">
        <f t="shared" si="2513"/>
        <v/>
      </c>
      <c r="N2299" s="311" t="str">
        <f t="shared" si="2514"/>
        <v/>
      </c>
    </row>
    <row r="2300" spans="1:14" s="294" customFormat="1">
      <c r="A2300" s="297"/>
      <c r="B2300" s="298"/>
      <c r="C2300" s="299" t="s">
        <v>1519</v>
      </c>
      <c r="D2300" s="299">
        <v>1</v>
      </c>
      <c r="E2300" s="300">
        <v>2</v>
      </c>
      <c r="F2300" s="300">
        <f>E2300*D2300</f>
        <v>2</v>
      </c>
      <c r="G2300" s="299">
        <v>4.8</v>
      </c>
      <c r="H2300" s="310" t="str">
        <f t="shared" si="2508"/>
        <v/>
      </c>
      <c r="I2300" s="311" t="str">
        <f t="shared" si="2509"/>
        <v/>
      </c>
      <c r="J2300" s="311">
        <f t="shared" si="2510"/>
        <v>9.6</v>
      </c>
      <c r="K2300" s="311" t="str">
        <f t="shared" si="2511"/>
        <v/>
      </c>
      <c r="L2300" s="310" t="str">
        <f t="shared" si="2512"/>
        <v/>
      </c>
      <c r="M2300" s="310" t="str">
        <f t="shared" si="2513"/>
        <v/>
      </c>
      <c r="N2300" s="311" t="str">
        <f t="shared" si="2514"/>
        <v/>
      </c>
    </row>
    <row r="2301" spans="1:14" s="294" customFormat="1">
      <c r="A2301" s="297" t="s">
        <v>1494</v>
      </c>
      <c r="B2301" s="301"/>
      <c r="C2301" s="299" t="s">
        <v>1496</v>
      </c>
      <c r="D2301" s="299">
        <v>1</v>
      </c>
      <c r="E2301" s="300">
        <f>14+14+20</f>
        <v>48</v>
      </c>
      <c r="F2301" s="300">
        <f t="shared" ref="F2301:F2302" si="2515">E2301*D2301</f>
        <v>48</v>
      </c>
      <c r="G2301" s="302">
        <f>(0.2+0.6)*2+17*0.008*2</f>
        <v>1.87</v>
      </c>
      <c r="H2301" s="310" t="str">
        <f t="shared" si="2508"/>
        <v/>
      </c>
      <c r="I2301" s="311">
        <f t="shared" si="2509"/>
        <v>89.76</v>
      </c>
      <c r="J2301" s="311" t="str">
        <f t="shared" si="2510"/>
        <v/>
      </c>
      <c r="K2301" s="311" t="str">
        <f t="shared" si="2511"/>
        <v/>
      </c>
      <c r="L2301" s="310" t="str">
        <f t="shared" si="2512"/>
        <v/>
      </c>
      <c r="M2301" s="310" t="str">
        <f t="shared" si="2513"/>
        <v/>
      </c>
      <c r="N2301" s="311" t="str">
        <f t="shared" si="2514"/>
        <v/>
      </c>
    </row>
    <row r="2302" spans="1:14" s="294" customFormat="1">
      <c r="A2302" s="297" t="s">
        <v>1517</v>
      </c>
      <c r="B2302" s="301"/>
      <c r="C2302" s="299" t="s">
        <v>1496</v>
      </c>
      <c r="D2302" s="299">
        <v>1</v>
      </c>
      <c r="E2302" s="300">
        <v>48</v>
      </c>
      <c r="F2302" s="300">
        <f t="shared" si="2515"/>
        <v>48</v>
      </c>
      <c r="G2302" s="302">
        <f>(0.6*2)+17*0.008*2</f>
        <v>1.47</v>
      </c>
      <c r="H2302" s="310" t="str">
        <f t="shared" si="2508"/>
        <v/>
      </c>
      <c r="I2302" s="311">
        <f t="shared" si="2509"/>
        <v>70.56</v>
      </c>
      <c r="J2302" s="311" t="str">
        <f t="shared" si="2510"/>
        <v/>
      </c>
      <c r="K2302" s="311" t="str">
        <f t="shared" si="2511"/>
        <v/>
      </c>
      <c r="L2302" s="310" t="str">
        <f t="shared" si="2512"/>
        <v/>
      </c>
      <c r="M2302" s="310" t="str">
        <f t="shared" si="2513"/>
        <v/>
      </c>
      <c r="N2302" s="311" t="str">
        <f t="shared" si="2514"/>
        <v/>
      </c>
    </row>
    <row r="2303" spans="1:14">
      <c r="A2303" s="297" t="s">
        <v>1518</v>
      </c>
      <c r="B2303" s="254"/>
      <c r="C2303" s="299" t="s">
        <v>1492</v>
      </c>
      <c r="D2303" s="299">
        <v>1</v>
      </c>
      <c r="E2303" s="300">
        <v>3</v>
      </c>
      <c r="F2303" s="300">
        <f>E2303*D2303</f>
        <v>3</v>
      </c>
      <c r="G2303" s="302">
        <v>3</v>
      </c>
      <c r="H2303" s="310" t="str">
        <f t="shared" si="2508"/>
        <v/>
      </c>
      <c r="I2303" s="311" t="str">
        <f t="shared" si="2509"/>
        <v/>
      </c>
      <c r="J2303" s="311" t="str">
        <f t="shared" si="2510"/>
        <v/>
      </c>
      <c r="K2303" s="311" t="str">
        <f t="shared" si="2511"/>
        <v/>
      </c>
      <c r="L2303" s="310">
        <f t="shared" si="2512"/>
        <v>9</v>
      </c>
      <c r="M2303" s="310" t="str">
        <f t="shared" si="2513"/>
        <v/>
      </c>
      <c r="N2303" s="311" t="str">
        <f t="shared" si="2514"/>
        <v/>
      </c>
    </row>
    <row r="2304" spans="1:14">
      <c r="A2304" s="297"/>
      <c r="B2304" s="254"/>
      <c r="C2304" s="299" t="s">
        <v>1492</v>
      </c>
      <c r="D2304" s="299">
        <v>1</v>
      </c>
      <c r="E2304" s="300">
        <v>3</v>
      </c>
      <c r="F2304" s="300">
        <f>E2304*D2304</f>
        <v>3</v>
      </c>
      <c r="G2304" s="302">
        <v>1.9</v>
      </c>
      <c r="H2304" s="310" t="str">
        <f t="shared" si="2508"/>
        <v/>
      </c>
      <c r="I2304" s="311" t="str">
        <f t="shared" si="2509"/>
        <v/>
      </c>
      <c r="J2304" s="311" t="str">
        <f t="shared" si="2510"/>
        <v/>
      </c>
      <c r="K2304" s="311" t="str">
        <f t="shared" si="2511"/>
        <v/>
      </c>
      <c r="L2304" s="310">
        <f t="shared" si="2512"/>
        <v>5.7</v>
      </c>
      <c r="M2304" s="310" t="str">
        <f t="shared" si="2513"/>
        <v/>
      </c>
      <c r="N2304" s="311" t="str">
        <f t="shared" si="2514"/>
        <v/>
      </c>
    </row>
    <row r="2305" spans="1:14">
      <c r="A2305" s="297"/>
      <c r="B2305" s="254"/>
      <c r="C2305" s="299" t="s">
        <v>1516</v>
      </c>
      <c r="D2305" s="299">
        <v>1</v>
      </c>
      <c r="E2305" s="300">
        <v>3</v>
      </c>
      <c r="F2305" s="300">
        <f>E2305*D2305</f>
        <v>3</v>
      </c>
      <c r="G2305" s="302">
        <v>4.4000000000000004</v>
      </c>
      <c r="H2305" s="310" t="str">
        <f t="shared" si="2508"/>
        <v/>
      </c>
      <c r="I2305" s="311" t="str">
        <f t="shared" si="2509"/>
        <v/>
      </c>
      <c r="J2305" s="311" t="str">
        <f t="shared" si="2510"/>
        <v/>
      </c>
      <c r="K2305" s="311">
        <f t="shared" si="2511"/>
        <v>13.2</v>
      </c>
      <c r="L2305" s="310" t="str">
        <f t="shared" si="2512"/>
        <v/>
      </c>
      <c r="M2305" s="310" t="str">
        <f t="shared" si="2513"/>
        <v/>
      </c>
      <c r="N2305" s="311" t="str">
        <f t="shared" si="2514"/>
        <v/>
      </c>
    </row>
    <row r="2306" spans="1:14" ht="16.5">
      <c r="A2306" s="303"/>
      <c r="B2306" s="254"/>
      <c r="C2306" s="299"/>
      <c r="D2306" s="299"/>
      <c r="E2306" s="300"/>
      <c r="F2306" s="300"/>
      <c r="G2306" s="302"/>
      <c r="H2306" s="310"/>
      <c r="I2306" s="311"/>
      <c r="J2306" s="311"/>
      <c r="K2306" s="311"/>
      <c r="L2306" s="310"/>
      <c r="M2306" s="310"/>
      <c r="N2306" s="311"/>
    </row>
    <row r="2307" spans="1:14" ht="16.5">
      <c r="A2307" s="303" t="s">
        <v>1472</v>
      </c>
      <c r="B2307" s="254"/>
      <c r="C2307" s="299"/>
      <c r="D2307" s="299"/>
      <c r="E2307" s="300"/>
      <c r="F2307" s="300"/>
      <c r="G2307" s="302"/>
      <c r="H2307" s="310"/>
      <c r="I2307" s="311"/>
      <c r="J2307" s="311"/>
      <c r="K2307" s="311"/>
      <c r="L2307" s="310"/>
      <c r="M2307" s="310"/>
      <c r="N2307" s="311"/>
    </row>
    <row r="2308" spans="1:14" s="294" customFormat="1">
      <c r="A2308" s="297" t="s">
        <v>1515</v>
      </c>
      <c r="B2308" s="298"/>
      <c r="C2308" s="299" t="s">
        <v>1516</v>
      </c>
      <c r="D2308" s="299">
        <v>1</v>
      </c>
      <c r="E2308" s="300">
        <v>3</v>
      </c>
      <c r="F2308" s="300">
        <f>E2308*D2308</f>
        <v>3</v>
      </c>
      <c r="G2308" s="302">
        <f>5.25+17*0.012*2</f>
        <v>5.66</v>
      </c>
      <c r="H2308" s="310" t="str">
        <f t="shared" ref="H2308:H2315" si="2516">IF(C2308="T6",G2308*F2308,"")</f>
        <v/>
      </c>
      <c r="I2308" s="311" t="str">
        <f t="shared" ref="I2308:I2315" si="2517">IF(C2308="T8",F2308*G2308,"")</f>
        <v/>
      </c>
      <c r="J2308" s="311" t="str">
        <f t="shared" ref="J2308:J2315" si="2518">IF(C2308="T10",F2308*G2308,"")</f>
        <v/>
      </c>
      <c r="K2308" s="311">
        <f t="shared" ref="K2308:K2315" si="2519">IF(C2308="T12",F2308*G2308,"")</f>
        <v>16.98</v>
      </c>
      <c r="L2308" s="310" t="str">
        <f t="shared" ref="L2308:L2315" si="2520">IF(C2308="T14",F2308*G2308,"")</f>
        <v/>
      </c>
      <c r="M2308" s="310" t="str">
        <f t="shared" ref="M2308:M2315" si="2521">IF(C2308="T16",G2308*F2308,"")</f>
        <v/>
      </c>
      <c r="N2308" s="311" t="str">
        <f t="shared" ref="N2308:N2315" si="2522">IF(C2308="T20",G2308*F2308,"")</f>
        <v/>
      </c>
    </row>
    <row r="2309" spans="1:14" s="294" customFormat="1">
      <c r="A2309" s="297" t="s">
        <v>1515</v>
      </c>
      <c r="B2309" s="298"/>
      <c r="C2309" s="299" t="s">
        <v>1492</v>
      </c>
      <c r="D2309" s="299">
        <v>1</v>
      </c>
      <c r="E2309" s="300">
        <v>3</v>
      </c>
      <c r="F2309" s="300">
        <f>E2309*D2309</f>
        <v>3</v>
      </c>
      <c r="G2309" s="302">
        <f>(5.25)+17*0.014*2</f>
        <v>5.73</v>
      </c>
      <c r="H2309" s="310" t="str">
        <f t="shared" si="2516"/>
        <v/>
      </c>
      <c r="I2309" s="311" t="str">
        <f t="shared" si="2517"/>
        <v/>
      </c>
      <c r="J2309" s="311" t="str">
        <f t="shared" si="2518"/>
        <v/>
      </c>
      <c r="K2309" s="311" t="str">
        <f t="shared" si="2519"/>
        <v/>
      </c>
      <c r="L2309" s="310">
        <f t="shared" si="2520"/>
        <v>17.190000000000001</v>
      </c>
      <c r="M2309" s="310" t="str">
        <f t="shared" si="2521"/>
        <v/>
      </c>
      <c r="N2309" s="311" t="str">
        <f t="shared" si="2522"/>
        <v/>
      </c>
    </row>
    <row r="2310" spans="1:14" s="294" customFormat="1">
      <c r="A2310" s="297"/>
      <c r="B2310" s="298"/>
      <c r="C2310" s="299" t="s">
        <v>1519</v>
      </c>
      <c r="D2310" s="299">
        <v>1</v>
      </c>
      <c r="E2310" s="300">
        <v>2</v>
      </c>
      <c r="F2310" s="300">
        <f>E2310*D2310</f>
        <v>2</v>
      </c>
      <c r="G2310" s="299">
        <v>5.25</v>
      </c>
      <c r="H2310" s="310" t="str">
        <f t="shared" si="2516"/>
        <v/>
      </c>
      <c r="I2310" s="311" t="str">
        <f t="shared" si="2517"/>
        <v/>
      </c>
      <c r="J2310" s="311">
        <f t="shared" si="2518"/>
        <v>10.5</v>
      </c>
      <c r="K2310" s="311" t="str">
        <f t="shared" si="2519"/>
        <v/>
      </c>
      <c r="L2310" s="310" t="str">
        <f t="shared" si="2520"/>
        <v/>
      </c>
      <c r="M2310" s="310" t="str">
        <f t="shared" si="2521"/>
        <v/>
      </c>
      <c r="N2310" s="311" t="str">
        <f t="shared" si="2522"/>
        <v/>
      </c>
    </row>
    <row r="2311" spans="1:14" s="294" customFormat="1">
      <c r="A2311" s="297" t="s">
        <v>1494</v>
      </c>
      <c r="B2311" s="301"/>
      <c r="C2311" s="299" t="s">
        <v>1496</v>
      </c>
      <c r="D2311" s="299">
        <v>1</v>
      </c>
      <c r="E2311" s="300">
        <f>16+16+20</f>
        <v>52</v>
      </c>
      <c r="F2311" s="300">
        <f t="shared" ref="F2311:F2312" si="2523">E2311*D2311</f>
        <v>52</v>
      </c>
      <c r="G2311" s="302">
        <f>(0.2+0.45)*2+17*0.008*2</f>
        <v>1.57</v>
      </c>
      <c r="H2311" s="310" t="str">
        <f t="shared" si="2516"/>
        <v/>
      </c>
      <c r="I2311" s="311">
        <f t="shared" si="2517"/>
        <v>81.64</v>
      </c>
      <c r="J2311" s="311" t="str">
        <f t="shared" si="2518"/>
        <v/>
      </c>
      <c r="K2311" s="311" t="str">
        <f t="shared" si="2519"/>
        <v/>
      </c>
      <c r="L2311" s="310" t="str">
        <f t="shared" si="2520"/>
        <v/>
      </c>
      <c r="M2311" s="310" t="str">
        <f t="shared" si="2521"/>
        <v/>
      </c>
      <c r="N2311" s="311" t="str">
        <f t="shared" si="2522"/>
        <v/>
      </c>
    </row>
    <row r="2312" spans="1:14" s="294" customFormat="1">
      <c r="A2312" s="297" t="s">
        <v>1517</v>
      </c>
      <c r="B2312" s="301"/>
      <c r="C2312" s="299" t="s">
        <v>1496</v>
      </c>
      <c r="D2312" s="299">
        <v>1</v>
      </c>
      <c r="E2312" s="300">
        <v>52</v>
      </c>
      <c r="F2312" s="300">
        <f t="shared" si="2523"/>
        <v>52</v>
      </c>
      <c r="G2312" s="302">
        <f>(0.45*2)+17*0.008*2</f>
        <v>1.17</v>
      </c>
      <c r="H2312" s="310" t="str">
        <f t="shared" si="2516"/>
        <v/>
      </c>
      <c r="I2312" s="311">
        <f t="shared" si="2517"/>
        <v>60.84</v>
      </c>
      <c r="J2312" s="311" t="str">
        <f t="shared" si="2518"/>
        <v/>
      </c>
      <c r="K2312" s="311" t="str">
        <f t="shared" si="2519"/>
        <v/>
      </c>
      <c r="L2312" s="310" t="str">
        <f t="shared" si="2520"/>
        <v/>
      </c>
      <c r="M2312" s="310" t="str">
        <f t="shared" si="2521"/>
        <v/>
      </c>
      <c r="N2312" s="311" t="str">
        <f t="shared" si="2522"/>
        <v/>
      </c>
    </row>
    <row r="2313" spans="1:14">
      <c r="A2313" s="297" t="s">
        <v>1518</v>
      </c>
      <c r="B2313" s="254"/>
      <c r="C2313" s="299" t="s">
        <v>1492</v>
      </c>
      <c r="D2313" s="299">
        <v>1</v>
      </c>
      <c r="E2313" s="300">
        <v>3</v>
      </c>
      <c r="F2313" s="300">
        <f>E2313*D2313</f>
        <v>3</v>
      </c>
      <c r="G2313" s="302">
        <v>4</v>
      </c>
      <c r="H2313" s="310" t="str">
        <f t="shared" si="2516"/>
        <v/>
      </c>
      <c r="I2313" s="311" t="str">
        <f t="shared" si="2517"/>
        <v/>
      </c>
      <c r="J2313" s="311" t="str">
        <f t="shared" si="2518"/>
        <v/>
      </c>
      <c r="K2313" s="311" t="str">
        <f t="shared" si="2519"/>
        <v/>
      </c>
      <c r="L2313" s="310">
        <f t="shared" si="2520"/>
        <v>12</v>
      </c>
      <c r="M2313" s="310" t="str">
        <f t="shared" si="2521"/>
        <v/>
      </c>
      <c r="N2313" s="311" t="str">
        <f t="shared" si="2522"/>
        <v/>
      </c>
    </row>
    <row r="2314" spans="1:14">
      <c r="A2314" s="297"/>
      <c r="B2314" s="254"/>
      <c r="C2314" s="299" t="s">
        <v>1492</v>
      </c>
      <c r="D2314" s="299">
        <v>1</v>
      </c>
      <c r="E2314" s="300">
        <v>3</v>
      </c>
      <c r="F2314" s="300">
        <f>E2314*D2314</f>
        <v>3</v>
      </c>
      <c r="G2314" s="302">
        <v>2</v>
      </c>
      <c r="H2314" s="310" t="str">
        <f t="shared" si="2516"/>
        <v/>
      </c>
      <c r="I2314" s="311" t="str">
        <f t="shared" si="2517"/>
        <v/>
      </c>
      <c r="J2314" s="311" t="str">
        <f t="shared" si="2518"/>
        <v/>
      </c>
      <c r="K2314" s="311" t="str">
        <f t="shared" si="2519"/>
        <v/>
      </c>
      <c r="L2314" s="310">
        <f t="shared" si="2520"/>
        <v>6</v>
      </c>
      <c r="M2314" s="310" t="str">
        <f t="shared" si="2521"/>
        <v/>
      </c>
      <c r="N2314" s="311" t="str">
        <f t="shared" si="2522"/>
        <v/>
      </c>
    </row>
    <row r="2315" spans="1:14">
      <c r="A2315" s="297"/>
      <c r="B2315" s="254"/>
      <c r="C2315" s="299" t="s">
        <v>1516</v>
      </c>
      <c r="D2315" s="299">
        <v>1</v>
      </c>
      <c r="E2315" s="300">
        <v>3</v>
      </c>
      <c r="F2315" s="300">
        <f>E2315*D2315</f>
        <v>3</v>
      </c>
      <c r="G2315" s="302">
        <v>4.8</v>
      </c>
      <c r="H2315" s="310" t="str">
        <f t="shared" si="2516"/>
        <v/>
      </c>
      <c r="I2315" s="311" t="str">
        <f t="shared" si="2517"/>
        <v/>
      </c>
      <c r="J2315" s="311" t="str">
        <f t="shared" si="2518"/>
        <v/>
      </c>
      <c r="K2315" s="311">
        <f t="shared" si="2519"/>
        <v>14.4</v>
      </c>
      <c r="L2315" s="310" t="str">
        <f t="shared" si="2520"/>
        <v/>
      </c>
      <c r="M2315" s="310" t="str">
        <f t="shared" si="2521"/>
        <v/>
      </c>
      <c r="N2315" s="311" t="str">
        <f t="shared" si="2522"/>
        <v/>
      </c>
    </row>
    <row r="2316" spans="1:14" ht="16.5">
      <c r="A2316" s="303"/>
      <c r="B2316" s="254"/>
      <c r="C2316" s="299"/>
      <c r="D2316" s="299"/>
      <c r="E2316" s="300"/>
      <c r="F2316" s="300"/>
      <c r="G2316" s="302"/>
      <c r="H2316" s="310"/>
      <c r="I2316" s="311"/>
      <c r="J2316" s="311"/>
      <c r="K2316" s="311"/>
      <c r="L2316" s="310"/>
      <c r="M2316" s="310"/>
      <c r="N2316" s="311"/>
    </row>
    <row r="2317" spans="1:14" ht="16.5">
      <c r="A2317" s="303" t="s">
        <v>1474</v>
      </c>
      <c r="B2317" s="254"/>
      <c r="C2317" s="299"/>
      <c r="D2317" s="299"/>
      <c r="E2317" s="300"/>
      <c r="F2317" s="300"/>
      <c r="G2317" s="302"/>
      <c r="H2317" s="310"/>
      <c r="I2317" s="311"/>
      <c r="J2317" s="311"/>
      <c r="K2317" s="311"/>
      <c r="L2317" s="310"/>
      <c r="M2317" s="310"/>
      <c r="N2317" s="311"/>
    </row>
    <row r="2318" spans="1:14" s="294" customFormat="1">
      <c r="A2318" s="297" t="s">
        <v>1515</v>
      </c>
      <c r="B2318" s="298"/>
      <c r="C2318" s="299" t="s">
        <v>1492</v>
      </c>
      <c r="D2318" s="299">
        <v>1</v>
      </c>
      <c r="E2318" s="300">
        <v>3</v>
      </c>
      <c r="F2318" s="300">
        <f>E2318*D2318</f>
        <v>3</v>
      </c>
      <c r="G2318" s="302">
        <f>5.25+17*0.012*2</f>
        <v>5.66</v>
      </c>
      <c r="H2318" s="310" t="str">
        <f t="shared" ref="H2318:H2325" si="2524">IF(C2318="T6",G2318*F2318,"")</f>
        <v/>
      </c>
      <c r="I2318" s="311" t="str">
        <f t="shared" ref="I2318:I2325" si="2525">IF(C2318="T8",F2318*G2318,"")</f>
        <v/>
      </c>
      <c r="J2318" s="311" t="str">
        <f t="shared" ref="J2318:J2325" si="2526">IF(C2318="T10",F2318*G2318,"")</f>
        <v/>
      </c>
      <c r="K2318" s="311" t="str">
        <f t="shared" ref="K2318:K2325" si="2527">IF(C2318="T12",F2318*G2318,"")</f>
        <v/>
      </c>
      <c r="L2318" s="310">
        <f t="shared" ref="L2318:L2325" si="2528">IF(C2318="T14",F2318*G2318,"")</f>
        <v>16.98</v>
      </c>
      <c r="M2318" s="310" t="str">
        <f t="shared" ref="M2318:M2325" si="2529">IF(C2318="T16",G2318*F2318,"")</f>
        <v/>
      </c>
      <c r="N2318" s="311" t="str">
        <f t="shared" ref="N2318:N2325" si="2530">IF(C2318="T20",G2318*F2318,"")</f>
        <v/>
      </c>
    </row>
    <row r="2319" spans="1:14" s="294" customFormat="1">
      <c r="A2319" s="297" t="s">
        <v>1515</v>
      </c>
      <c r="B2319" s="298"/>
      <c r="C2319" s="299" t="s">
        <v>1492</v>
      </c>
      <c r="D2319" s="299">
        <v>1</v>
      </c>
      <c r="E2319" s="300">
        <v>3</v>
      </c>
      <c r="F2319" s="300">
        <f>E2319*D2319</f>
        <v>3</v>
      </c>
      <c r="G2319" s="302">
        <f>(5.25)+17*0.014*2</f>
        <v>5.73</v>
      </c>
      <c r="H2319" s="310" t="str">
        <f t="shared" si="2524"/>
        <v/>
      </c>
      <c r="I2319" s="311" t="str">
        <f t="shared" si="2525"/>
        <v/>
      </c>
      <c r="J2319" s="311" t="str">
        <f t="shared" si="2526"/>
        <v/>
      </c>
      <c r="K2319" s="311" t="str">
        <f t="shared" si="2527"/>
        <v/>
      </c>
      <c r="L2319" s="310">
        <f t="shared" si="2528"/>
        <v>17.190000000000001</v>
      </c>
      <c r="M2319" s="310" t="str">
        <f t="shared" si="2529"/>
        <v/>
      </c>
      <c r="N2319" s="311" t="str">
        <f t="shared" si="2530"/>
        <v/>
      </c>
    </row>
    <row r="2320" spans="1:14" s="294" customFormat="1">
      <c r="A2320" s="297"/>
      <c r="B2320" s="298"/>
      <c r="C2320" s="299" t="s">
        <v>1516</v>
      </c>
      <c r="D2320" s="299">
        <v>1</v>
      </c>
      <c r="E2320" s="300">
        <v>2</v>
      </c>
      <c r="F2320" s="300">
        <f>E2320*D2320</f>
        <v>2</v>
      </c>
      <c r="G2320" s="299">
        <v>5.25</v>
      </c>
      <c r="H2320" s="310" t="str">
        <f t="shared" si="2524"/>
        <v/>
      </c>
      <c r="I2320" s="311" t="str">
        <f t="shared" si="2525"/>
        <v/>
      </c>
      <c r="J2320" s="311" t="str">
        <f t="shared" si="2526"/>
        <v/>
      </c>
      <c r="K2320" s="311">
        <f t="shared" si="2527"/>
        <v>10.5</v>
      </c>
      <c r="L2320" s="310" t="str">
        <f t="shared" si="2528"/>
        <v/>
      </c>
      <c r="M2320" s="310" t="str">
        <f t="shared" si="2529"/>
        <v/>
      </c>
      <c r="N2320" s="311" t="str">
        <f t="shared" si="2530"/>
        <v/>
      </c>
    </row>
    <row r="2321" spans="1:14" s="294" customFormat="1">
      <c r="A2321" s="297" t="s">
        <v>1494</v>
      </c>
      <c r="B2321" s="301"/>
      <c r="C2321" s="299" t="s">
        <v>1496</v>
      </c>
      <c r="D2321" s="299">
        <v>1</v>
      </c>
      <c r="E2321" s="300">
        <f>16+16+20</f>
        <v>52</v>
      </c>
      <c r="F2321" s="300">
        <f t="shared" ref="F2321:F2322" si="2531">E2321*D2321</f>
        <v>52</v>
      </c>
      <c r="G2321" s="302">
        <f>(0.2+0.45)*2+17*0.008*2</f>
        <v>1.57</v>
      </c>
      <c r="H2321" s="310" t="str">
        <f t="shared" si="2524"/>
        <v/>
      </c>
      <c r="I2321" s="311">
        <f t="shared" si="2525"/>
        <v>81.64</v>
      </c>
      <c r="J2321" s="311" t="str">
        <f t="shared" si="2526"/>
        <v/>
      </c>
      <c r="K2321" s="311" t="str">
        <f t="shared" si="2527"/>
        <v/>
      </c>
      <c r="L2321" s="310" t="str">
        <f t="shared" si="2528"/>
        <v/>
      </c>
      <c r="M2321" s="310" t="str">
        <f t="shared" si="2529"/>
        <v/>
      </c>
      <c r="N2321" s="311" t="str">
        <f t="shared" si="2530"/>
        <v/>
      </c>
    </row>
    <row r="2322" spans="1:14" s="294" customFormat="1">
      <c r="A2322" s="297" t="s">
        <v>1517</v>
      </c>
      <c r="B2322" s="301"/>
      <c r="C2322" s="299" t="s">
        <v>1496</v>
      </c>
      <c r="D2322" s="299">
        <v>1</v>
      </c>
      <c r="E2322" s="300">
        <v>52</v>
      </c>
      <c r="F2322" s="300">
        <f t="shared" si="2531"/>
        <v>52</v>
      </c>
      <c r="G2322" s="302">
        <f>(0.45*2)+17*0.008*2</f>
        <v>1.17</v>
      </c>
      <c r="H2322" s="310" t="str">
        <f t="shared" si="2524"/>
        <v/>
      </c>
      <c r="I2322" s="311">
        <f t="shared" si="2525"/>
        <v>60.84</v>
      </c>
      <c r="J2322" s="311" t="str">
        <f t="shared" si="2526"/>
        <v/>
      </c>
      <c r="K2322" s="311" t="str">
        <f t="shared" si="2527"/>
        <v/>
      </c>
      <c r="L2322" s="310" t="str">
        <f t="shared" si="2528"/>
        <v/>
      </c>
      <c r="M2322" s="310" t="str">
        <f t="shared" si="2529"/>
        <v/>
      </c>
      <c r="N2322" s="311" t="str">
        <f t="shared" si="2530"/>
        <v/>
      </c>
    </row>
    <row r="2323" spans="1:14">
      <c r="A2323" s="297" t="s">
        <v>1518</v>
      </c>
      <c r="B2323" s="254"/>
      <c r="C2323" s="299" t="s">
        <v>1492</v>
      </c>
      <c r="D2323" s="299">
        <v>1</v>
      </c>
      <c r="E2323" s="300">
        <v>3</v>
      </c>
      <c r="F2323" s="300">
        <f>E2323*D2323</f>
        <v>3</v>
      </c>
      <c r="G2323" s="302">
        <v>4</v>
      </c>
      <c r="H2323" s="310" t="str">
        <f t="shared" si="2524"/>
        <v/>
      </c>
      <c r="I2323" s="311" t="str">
        <f t="shared" si="2525"/>
        <v/>
      </c>
      <c r="J2323" s="311" t="str">
        <f t="shared" si="2526"/>
        <v/>
      </c>
      <c r="K2323" s="311" t="str">
        <f t="shared" si="2527"/>
        <v/>
      </c>
      <c r="L2323" s="310">
        <f t="shared" si="2528"/>
        <v>12</v>
      </c>
      <c r="M2323" s="310" t="str">
        <f t="shared" si="2529"/>
        <v/>
      </c>
      <c r="N2323" s="311" t="str">
        <f t="shared" si="2530"/>
        <v/>
      </c>
    </row>
    <row r="2324" spans="1:14">
      <c r="A2324" s="297"/>
      <c r="B2324" s="254"/>
      <c r="C2324" s="299" t="s">
        <v>1492</v>
      </c>
      <c r="D2324" s="299">
        <v>1</v>
      </c>
      <c r="E2324" s="300">
        <v>3</v>
      </c>
      <c r="F2324" s="300">
        <f>E2324*D2324</f>
        <v>3</v>
      </c>
      <c r="G2324" s="302">
        <v>2</v>
      </c>
      <c r="H2324" s="310" t="str">
        <f t="shared" si="2524"/>
        <v/>
      </c>
      <c r="I2324" s="311" t="str">
        <f t="shared" si="2525"/>
        <v/>
      </c>
      <c r="J2324" s="311" t="str">
        <f t="shared" si="2526"/>
        <v/>
      </c>
      <c r="K2324" s="311" t="str">
        <f t="shared" si="2527"/>
        <v/>
      </c>
      <c r="L2324" s="310">
        <f t="shared" si="2528"/>
        <v>6</v>
      </c>
      <c r="M2324" s="310" t="str">
        <f t="shared" si="2529"/>
        <v/>
      </c>
      <c r="N2324" s="311" t="str">
        <f t="shared" si="2530"/>
        <v/>
      </c>
    </row>
    <row r="2325" spans="1:14">
      <c r="A2325" s="297"/>
      <c r="B2325" s="254"/>
      <c r="C2325" s="299" t="s">
        <v>1516</v>
      </c>
      <c r="D2325" s="299">
        <v>1</v>
      </c>
      <c r="E2325" s="300">
        <v>3</v>
      </c>
      <c r="F2325" s="300">
        <f>E2325*D2325</f>
        <v>3</v>
      </c>
      <c r="G2325" s="302">
        <v>4.8</v>
      </c>
      <c r="H2325" s="310" t="str">
        <f t="shared" si="2524"/>
        <v/>
      </c>
      <c r="I2325" s="311" t="str">
        <f t="shared" si="2525"/>
        <v/>
      </c>
      <c r="J2325" s="311" t="str">
        <f t="shared" si="2526"/>
        <v/>
      </c>
      <c r="K2325" s="311">
        <f t="shared" si="2527"/>
        <v>14.4</v>
      </c>
      <c r="L2325" s="310" t="str">
        <f t="shared" si="2528"/>
        <v/>
      </c>
      <c r="M2325" s="310" t="str">
        <f t="shared" si="2529"/>
        <v/>
      </c>
      <c r="N2325" s="311" t="str">
        <f t="shared" si="2530"/>
        <v/>
      </c>
    </row>
    <row r="2326" spans="1:14" ht="16.5">
      <c r="A2326" s="303"/>
      <c r="B2326" s="254"/>
      <c r="C2326" s="299"/>
      <c r="D2326" s="299"/>
      <c r="E2326" s="300"/>
      <c r="F2326" s="300"/>
      <c r="G2326" s="302"/>
      <c r="H2326" s="310"/>
      <c r="I2326" s="311"/>
      <c r="J2326" s="311"/>
      <c r="K2326" s="311"/>
      <c r="L2326" s="310"/>
      <c r="M2326" s="310"/>
      <c r="N2326" s="311"/>
    </row>
    <row r="2327" spans="1:14" ht="16.5">
      <c r="A2327" s="303" t="s">
        <v>1475</v>
      </c>
      <c r="B2327" s="254"/>
      <c r="C2327" s="299"/>
      <c r="D2327" s="299"/>
      <c r="E2327" s="300"/>
      <c r="F2327" s="300"/>
      <c r="G2327" s="302"/>
      <c r="H2327" s="310"/>
      <c r="I2327" s="311"/>
      <c r="J2327" s="311"/>
      <c r="K2327" s="311"/>
      <c r="L2327" s="310"/>
      <c r="M2327" s="310"/>
      <c r="N2327" s="311"/>
    </row>
    <row r="2328" spans="1:14" s="294" customFormat="1">
      <c r="A2328" s="297" t="s">
        <v>1515</v>
      </c>
      <c r="B2328" s="298"/>
      <c r="C2328" s="299" t="s">
        <v>1519</v>
      </c>
      <c r="D2328" s="299">
        <v>1</v>
      </c>
      <c r="E2328" s="300">
        <v>3</v>
      </c>
      <c r="F2328" s="300">
        <f>E2328*D2328</f>
        <v>3</v>
      </c>
      <c r="G2328" s="302">
        <f>2.75+17*0.01*2</f>
        <v>3.09</v>
      </c>
      <c r="H2328" s="310" t="str">
        <f t="shared" ref="H2328:H2333" si="2532">IF(C2328="T6",G2328*F2328,"")</f>
        <v/>
      </c>
      <c r="I2328" s="311" t="str">
        <f t="shared" ref="I2328:I2333" si="2533">IF(C2328="T8",F2328*G2328,"")</f>
        <v/>
      </c>
      <c r="J2328" s="311">
        <f t="shared" ref="J2328:J2333" si="2534">IF(C2328="T10",F2328*G2328,"")</f>
        <v>9.27</v>
      </c>
      <c r="K2328" s="311" t="str">
        <f t="shared" ref="K2328:K2333" si="2535">IF(C2328="T12",F2328*G2328,"")</f>
        <v/>
      </c>
      <c r="L2328" s="310" t="str">
        <f t="shared" ref="L2328:L2333" si="2536">IF(C2328="T14",F2328*G2328,"")</f>
        <v/>
      </c>
      <c r="M2328" s="310" t="str">
        <f t="shared" ref="M2328:M2333" si="2537">IF(C2328="T16",G2328*F2328,"")</f>
        <v/>
      </c>
      <c r="N2328" s="311" t="str">
        <f t="shared" ref="N2328:N2333" si="2538">IF(C2328="T20",G2328*F2328,"")</f>
        <v/>
      </c>
    </row>
    <row r="2329" spans="1:14" s="294" customFormat="1">
      <c r="A2329" s="297" t="s">
        <v>1515</v>
      </c>
      <c r="B2329" s="298"/>
      <c r="C2329" s="299" t="s">
        <v>1492</v>
      </c>
      <c r="D2329" s="299">
        <v>1</v>
      </c>
      <c r="E2329" s="300">
        <v>3</v>
      </c>
      <c r="F2329" s="300">
        <f>E2329*D2329</f>
        <v>3</v>
      </c>
      <c r="G2329" s="302">
        <f>(2.75)+17*0.014*2</f>
        <v>3.23</v>
      </c>
      <c r="H2329" s="310" t="str">
        <f t="shared" si="2532"/>
        <v/>
      </c>
      <c r="I2329" s="311" t="str">
        <f t="shared" si="2533"/>
        <v/>
      </c>
      <c r="J2329" s="311" t="str">
        <f t="shared" si="2534"/>
        <v/>
      </c>
      <c r="K2329" s="311" t="str">
        <f t="shared" si="2535"/>
        <v/>
      </c>
      <c r="L2329" s="310">
        <f t="shared" si="2536"/>
        <v>9.69</v>
      </c>
      <c r="M2329" s="310" t="str">
        <f t="shared" si="2537"/>
        <v/>
      </c>
      <c r="N2329" s="311" t="str">
        <f t="shared" si="2538"/>
        <v/>
      </c>
    </row>
    <row r="2330" spans="1:14" s="294" customFormat="1">
      <c r="A2330" s="297" t="s">
        <v>1494</v>
      </c>
      <c r="B2330" s="301"/>
      <c r="C2330" s="299" t="s">
        <v>1496</v>
      </c>
      <c r="D2330" s="299">
        <v>1</v>
      </c>
      <c r="E2330" s="300">
        <f>9+9+10</f>
        <v>28</v>
      </c>
      <c r="F2330" s="300">
        <f t="shared" ref="F2330:F2331" si="2539">E2330*D2330</f>
        <v>28</v>
      </c>
      <c r="G2330" s="302">
        <f>(0.2+0.55)*2+17*0.008*2</f>
        <v>1.77</v>
      </c>
      <c r="H2330" s="310" t="str">
        <f t="shared" si="2532"/>
        <v/>
      </c>
      <c r="I2330" s="311">
        <f t="shared" si="2533"/>
        <v>49.56</v>
      </c>
      <c r="J2330" s="311" t="str">
        <f t="shared" si="2534"/>
        <v/>
      </c>
      <c r="K2330" s="311" t="str">
        <f t="shared" si="2535"/>
        <v/>
      </c>
      <c r="L2330" s="310" t="str">
        <f t="shared" si="2536"/>
        <v/>
      </c>
      <c r="M2330" s="310" t="str">
        <f t="shared" si="2537"/>
        <v/>
      </c>
      <c r="N2330" s="311" t="str">
        <f t="shared" si="2538"/>
        <v/>
      </c>
    </row>
    <row r="2331" spans="1:14" s="294" customFormat="1">
      <c r="A2331" s="297" t="s">
        <v>1517</v>
      </c>
      <c r="B2331" s="301"/>
      <c r="C2331" s="299" t="s">
        <v>1496</v>
      </c>
      <c r="D2331" s="299">
        <v>1</v>
      </c>
      <c r="E2331" s="300">
        <v>28</v>
      </c>
      <c r="F2331" s="300">
        <f t="shared" si="2539"/>
        <v>28</v>
      </c>
      <c r="G2331" s="302">
        <f>(0.55*2)+17*0.008*2</f>
        <v>1.37</v>
      </c>
      <c r="H2331" s="310" t="str">
        <f t="shared" si="2532"/>
        <v/>
      </c>
      <c r="I2331" s="311">
        <f t="shared" si="2533"/>
        <v>38.36</v>
      </c>
      <c r="J2331" s="311" t="str">
        <f t="shared" si="2534"/>
        <v/>
      </c>
      <c r="K2331" s="311" t="str">
        <f t="shared" si="2535"/>
        <v/>
      </c>
      <c r="L2331" s="310" t="str">
        <f t="shared" si="2536"/>
        <v/>
      </c>
      <c r="M2331" s="310" t="str">
        <f t="shared" si="2537"/>
        <v/>
      </c>
      <c r="N2331" s="311" t="str">
        <f t="shared" si="2538"/>
        <v/>
      </c>
    </row>
    <row r="2332" spans="1:14">
      <c r="A2332" s="297" t="s">
        <v>1518</v>
      </c>
      <c r="B2332" s="254"/>
      <c r="C2332" s="299" t="s">
        <v>1492</v>
      </c>
      <c r="D2332" s="299">
        <v>1</v>
      </c>
      <c r="E2332" s="300">
        <v>3</v>
      </c>
      <c r="F2332" s="300">
        <f>E2332*D2332</f>
        <v>3</v>
      </c>
      <c r="G2332" s="302">
        <v>3.5</v>
      </c>
      <c r="H2332" s="310" t="str">
        <f t="shared" si="2532"/>
        <v/>
      </c>
      <c r="I2332" s="311" t="str">
        <f t="shared" si="2533"/>
        <v/>
      </c>
      <c r="J2332" s="311" t="str">
        <f t="shared" si="2534"/>
        <v/>
      </c>
      <c r="K2332" s="311" t="str">
        <f t="shared" si="2535"/>
        <v/>
      </c>
      <c r="L2332" s="310">
        <f t="shared" si="2536"/>
        <v>10.5</v>
      </c>
      <c r="M2332" s="310" t="str">
        <f t="shared" si="2537"/>
        <v/>
      </c>
      <c r="N2332" s="311" t="str">
        <f t="shared" si="2538"/>
        <v/>
      </c>
    </row>
    <row r="2333" spans="1:14">
      <c r="A2333" s="297"/>
      <c r="B2333" s="254"/>
      <c r="C2333" s="299" t="s">
        <v>1516</v>
      </c>
      <c r="D2333" s="299">
        <v>1</v>
      </c>
      <c r="E2333" s="300">
        <v>3</v>
      </c>
      <c r="F2333" s="300">
        <f>E2333*D2333</f>
        <v>3</v>
      </c>
      <c r="G2333" s="302">
        <v>1</v>
      </c>
      <c r="H2333" s="310" t="str">
        <f t="shared" si="2532"/>
        <v/>
      </c>
      <c r="I2333" s="311" t="str">
        <f t="shared" si="2533"/>
        <v/>
      </c>
      <c r="J2333" s="311" t="str">
        <f t="shared" si="2534"/>
        <v/>
      </c>
      <c r="K2333" s="311">
        <f t="shared" si="2535"/>
        <v>3</v>
      </c>
      <c r="L2333" s="310" t="str">
        <f t="shared" si="2536"/>
        <v/>
      </c>
      <c r="M2333" s="310" t="str">
        <f t="shared" si="2537"/>
        <v/>
      </c>
      <c r="N2333" s="311" t="str">
        <f t="shared" si="2538"/>
        <v/>
      </c>
    </row>
    <row r="2334" spans="1:14" ht="16.5">
      <c r="A2334" s="303"/>
      <c r="B2334" s="254"/>
      <c r="C2334" s="299"/>
      <c r="D2334" s="299"/>
      <c r="E2334" s="300"/>
      <c r="F2334" s="300"/>
      <c r="G2334" s="302"/>
      <c r="H2334" s="310"/>
      <c r="I2334" s="311"/>
      <c r="J2334" s="311"/>
      <c r="K2334" s="311"/>
      <c r="L2334" s="310"/>
      <c r="M2334" s="310"/>
      <c r="N2334" s="311"/>
    </row>
    <row r="2335" spans="1:14" ht="16.5">
      <c r="A2335" s="303" t="s">
        <v>1476</v>
      </c>
      <c r="B2335" s="254"/>
      <c r="C2335" s="299"/>
      <c r="D2335" s="299"/>
      <c r="E2335" s="300"/>
      <c r="F2335" s="300"/>
      <c r="G2335" s="302"/>
      <c r="H2335" s="310"/>
      <c r="I2335" s="311"/>
      <c r="J2335" s="311"/>
      <c r="K2335" s="311"/>
      <c r="L2335" s="310"/>
      <c r="M2335" s="310"/>
      <c r="N2335" s="311"/>
    </row>
    <row r="2336" spans="1:14" s="294" customFormat="1">
      <c r="A2336" s="297" t="s">
        <v>1515</v>
      </c>
      <c r="B2336" s="298"/>
      <c r="C2336" s="299" t="s">
        <v>1516</v>
      </c>
      <c r="D2336" s="299">
        <v>1</v>
      </c>
      <c r="E2336" s="300">
        <v>3</v>
      </c>
      <c r="F2336" s="300">
        <f>E2336*D2336</f>
        <v>3</v>
      </c>
      <c r="G2336" s="302">
        <f>5.25+17*0.012*2</f>
        <v>5.66</v>
      </c>
      <c r="H2336" s="310" t="str">
        <f t="shared" ref="H2336:H2341" si="2540">IF(C2336="T6",G2336*F2336,"")</f>
        <v/>
      </c>
      <c r="I2336" s="311" t="str">
        <f t="shared" ref="I2336:I2341" si="2541">IF(C2336="T8",F2336*G2336,"")</f>
        <v/>
      </c>
      <c r="J2336" s="311" t="str">
        <f t="shared" ref="J2336:J2341" si="2542">IF(C2336="T10",F2336*G2336,"")</f>
        <v/>
      </c>
      <c r="K2336" s="311">
        <f t="shared" ref="K2336:K2341" si="2543">IF(C2336="T12",F2336*G2336,"")</f>
        <v>16.98</v>
      </c>
      <c r="L2336" s="310" t="str">
        <f t="shared" ref="L2336:L2341" si="2544">IF(C2336="T14",F2336*G2336,"")</f>
        <v/>
      </c>
      <c r="M2336" s="310" t="str">
        <f t="shared" ref="M2336:M2341" si="2545">IF(C2336="T16",G2336*F2336,"")</f>
        <v/>
      </c>
      <c r="N2336" s="311" t="str">
        <f t="shared" ref="N2336:N2341" si="2546">IF(C2336="T20",G2336*F2336,"")</f>
        <v/>
      </c>
    </row>
    <row r="2337" spans="1:14" s="294" customFormat="1">
      <c r="A2337" s="297" t="s">
        <v>1515</v>
      </c>
      <c r="B2337" s="298"/>
      <c r="C2337" s="299" t="s">
        <v>1492</v>
      </c>
      <c r="D2337" s="299">
        <v>1</v>
      </c>
      <c r="E2337" s="300">
        <v>3</v>
      </c>
      <c r="F2337" s="300">
        <f>E2337*D2337</f>
        <v>3</v>
      </c>
      <c r="G2337" s="302">
        <f>(5.25)+17*0.014*2</f>
        <v>5.73</v>
      </c>
      <c r="H2337" s="310" t="str">
        <f t="shared" si="2540"/>
        <v/>
      </c>
      <c r="I2337" s="311" t="str">
        <f t="shared" si="2541"/>
        <v/>
      </c>
      <c r="J2337" s="311" t="str">
        <f t="shared" si="2542"/>
        <v/>
      </c>
      <c r="K2337" s="311" t="str">
        <f t="shared" si="2543"/>
        <v/>
      </c>
      <c r="L2337" s="310">
        <f t="shared" si="2544"/>
        <v>17.190000000000001</v>
      </c>
      <c r="M2337" s="310" t="str">
        <f t="shared" si="2545"/>
        <v/>
      </c>
      <c r="N2337" s="311" t="str">
        <f t="shared" si="2546"/>
        <v/>
      </c>
    </row>
    <row r="2338" spans="1:14" s="294" customFormat="1">
      <c r="A2338" s="297" t="s">
        <v>1494</v>
      </c>
      <c r="B2338" s="301"/>
      <c r="C2338" s="299" t="s">
        <v>1496</v>
      </c>
      <c r="D2338" s="299">
        <v>1</v>
      </c>
      <c r="E2338" s="300">
        <f>16+16+20</f>
        <v>52</v>
      </c>
      <c r="F2338" s="300">
        <f t="shared" ref="F2338:F2339" si="2547">E2338*D2338</f>
        <v>52</v>
      </c>
      <c r="G2338" s="302">
        <f>(0.2+0.55)*2+17*0.008*2</f>
        <v>1.77</v>
      </c>
      <c r="H2338" s="310" t="str">
        <f t="shared" si="2540"/>
        <v/>
      </c>
      <c r="I2338" s="311">
        <f t="shared" si="2541"/>
        <v>92.04</v>
      </c>
      <c r="J2338" s="311" t="str">
        <f t="shared" si="2542"/>
        <v/>
      </c>
      <c r="K2338" s="311" t="str">
        <f t="shared" si="2543"/>
        <v/>
      </c>
      <c r="L2338" s="310" t="str">
        <f t="shared" si="2544"/>
        <v/>
      </c>
      <c r="M2338" s="310" t="str">
        <f t="shared" si="2545"/>
        <v/>
      </c>
      <c r="N2338" s="311" t="str">
        <f t="shared" si="2546"/>
        <v/>
      </c>
    </row>
    <row r="2339" spans="1:14" s="294" customFormat="1">
      <c r="A2339" s="297" t="s">
        <v>1517</v>
      </c>
      <c r="B2339" s="301"/>
      <c r="C2339" s="299" t="s">
        <v>1496</v>
      </c>
      <c r="D2339" s="299">
        <v>1</v>
      </c>
      <c r="E2339" s="300">
        <v>52</v>
      </c>
      <c r="F2339" s="300">
        <f t="shared" si="2547"/>
        <v>52</v>
      </c>
      <c r="G2339" s="302">
        <f>(0.55*2)+17*0.008*2</f>
        <v>1.37</v>
      </c>
      <c r="H2339" s="310" t="str">
        <f t="shared" si="2540"/>
        <v/>
      </c>
      <c r="I2339" s="311">
        <f t="shared" si="2541"/>
        <v>71.239999999999995</v>
      </c>
      <c r="J2339" s="311" t="str">
        <f t="shared" si="2542"/>
        <v/>
      </c>
      <c r="K2339" s="311" t="str">
        <f t="shared" si="2543"/>
        <v/>
      </c>
      <c r="L2339" s="310" t="str">
        <f t="shared" si="2544"/>
        <v/>
      </c>
      <c r="M2339" s="310" t="str">
        <f t="shared" si="2545"/>
        <v/>
      </c>
      <c r="N2339" s="311" t="str">
        <f t="shared" si="2546"/>
        <v/>
      </c>
    </row>
    <row r="2340" spans="1:14">
      <c r="A2340" s="297" t="s">
        <v>1518</v>
      </c>
      <c r="B2340" s="254"/>
      <c r="C2340" s="299" t="s">
        <v>1492</v>
      </c>
      <c r="D2340" s="299">
        <v>1</v>
      </c>
      <c r="E2340" s="300">
        <v>3</v>
      </c>
      <c r="F2340" s="300">
        <f>E2340*D2340</f>
        <v>3</v>
      </c>
      <c r="G2340" s="302">
        <v>4</v>
      </c>
      <c r="H2340" s="310" t="str">
        <f t="shared" si="2540"/>
        <v/>
      </c>
      <c r="I2340" s="311" t="str">
        <f t="shared" si="2541"/>
        <v/>
      </c>
      <c r="J2340" s="311" t="str">
        <f t="shared" si="2542"/>
        <v/>
      </c>
      <c r="K2340" s="311" t="str">
        <f t="shared" si="2543"/>
        <v/>
      </c>
      <c r="L2340" s="310">
        <f t="shared" si="2544"/>
        <v>12</v>
      </c>
      <c r="M2340" s="310" t="str">
        <f t="shared" si="2545"/>
        <v/>
      </c>
      <c r="N2340" s="311" t="str">
        <f t="shared" si="2546"/>
        <v/>
      </c>
    </row>
    <row r="2341" spans="1:14">
      <c r="A2341" s="297"/>
      <c r="B2341" s="254"/>
      <c r="C2341" s="299" t="s">
        <v>1492</v>
      </c>
      <c r="D2341" s="299">
        <v>1</v>
      </c>
      <c r="E2341" s="300">
        <v>3</v>
      </c>
      <c r="F2341" s="300">
        <f>E2341*D2341</f>
        <v>3</v>
      </c>
      <c r="G2341" s="302">
        <v>2</v>
      </c>
      <c r="H2341" s="310" t="str">
        <f t="shared" si="2540"/>
        <v/>
      </c>
      <c r="I2341" s="311" t="str">
        <f t="shared" si="2541"/>
        <v/>
      </c>
      <c r="J2341" s="311" t="str">
        <f t="shared" si="2542"/>
        <v/>
      </c>
      <c r="K2341" s="311" t="str">
        <f t="shared" si="2543"/>
        <v/>
      </c>
      <c r="L2341" s="310">
        <f t="shared" si="2544"/>
        <v>6</v>
      </c>
      <c r="M2341" s="310" t="str">
        <f t="shared" si="2545"/>
        <v/>
      </c>
      <c r="N2341" s="311" t="str">
        <f t="shared" si="2546"/>
        <v/>
      </c>
    </row>
    <row r="2342" spans="1:14">
      <c r="A2342" s="297"/>
      <c r="B2342" s="254"/>
      <c r="C2342" s="299" t="s">
        <v>1516</v>
      </c>
      <c r="D2342" s="299">
        <v>1</v>
      </c>
      <c r="E2342" s="300">
        <v>3</v>
      </c>
      <c r="F2342" s="300">
        <f>E2342*D2342</f>
        <v>3</v>
      </c>
      <c r="G2342" s="302">
        <v>4.8</v>
      </c>
      <c r="H2342" s="310" t="str">
        <f t="shared" ref="H2342" si="2548">IF(C2342="T6",G2342*F2342,"")</f>
        <v/>
      </c>
      <c r="I2342" s="311" t="str">
        <f t="shared" ref="I2342" si="2549">IF(C2342="T8",F2342*G2342,"")</f>
        <v/>
      </c>
      <c r="J2342" s="311" t="str">
        <f t="shared" ref="J2342" si="2550">IF(C2342="T10",F2342*G2342,"")</f>
        <v/>
      </c>
      <c r="K2342" s="311">
        <f t="shared" ref="K2342" si="2551">IF(C2342="T12",F2342*G2342,"")</f>
        <v>14.4</v>
      </c>
      <c r="L2342" s="310" t="str">
        <f t="shared" ref="L2342" si="2552">IF(C2342="T14",F2342*G2342,"")</f>
        <v/>
      </c>
      <c r="M2342" s="310" t="str">
        <f t="shared" ref="M2342" si="2553">IF(C2342="T16",G2342*F2342,"")</f>
        <v/>
      </c>
      <c r="N2342" s="311" t="str">
        <f t="shared" ref="N2342" si="2554">IF(C2342="T20",G2342*F2342,"")</f>
        <v/>
      </c>
    </row>
    <row r="2343" spans="1:14" ht="16.5">
      <c r="A2343" s="303"/>
      <c r="B2343" s="254"/>
      <c r="C2343" s="299"/>
      <c r="D2343" s="299"/>
      <c r="E2343" s="300"/>
      <c r="F2343" s="300"/>
      <c r="G2343" s="302"/>
      <c r="H2343" s="310"/>
      <c r="I2343" s="311"/>
      <c r="J2343" s="311"/>
      <c r="K2343" s="311"/>
      <c r="L2343" s="310"/>
      <c r="M2343" s="310"/>
      <c r="N2343" s="311"/>
    </row>
    <row r="2344" spans="1:14" ht="16.5">
      <c r="A2344" s="303" t="s">
        <v>1388</v>
      </c>
      <c r="B2344" s="254"/>
      <c r="C2344" s="299"/>
      <c r="D2344" s="299"/>
      <c r="E2344" s="300"/>
      <c r="F2344" s="300"/>
      <c r="G2344" s="302"/>
      <c r="H2344" s="310"/>
      <c r="I2344" s="311"/>
      <c r="J2344" s="311"/>
      <c r="K2344" s="311"/>
      <c r="L2344" s="310"/>
      <c r="M2344" s="310"/>
      <c r="N2344" s="311"/>
    </row>
    <row r="2345" spans="1:14" s="294" customFormat="1">
      <c r="A2345" s="297" t="s">
        <v>1515</v>
      </c>
      <c r="B2345" s="298"/>
      <c r="C2345" s="299" t="s">
        <v>1519</v>
      </c>
      <c r="D2345" s="299">
        <v>4</v>
      </c>
      <c r="E2345" s="300">
        <v>3</v>
      </c>
      <c r="F2345" s="300">
        <f>E2345*D2345</f>
        <v>12</v>
      </c>
      <c r="G2345" s="299">
        <f>1+17*0.01*2</f>
        <v>1.34</v>
      </c>
      <c r="H2345" s="310" t="str">
        <f t="shared" ref="H2345:H2348" si="2555">IF(C2345="T6",G2345*F2345,"")</f>
        <v/>
      </c>
      <c r="I2345" s="311" t="str">
        <f t="shared" ref="I2345:I2348" si="2556">IF(C2345="T8",F2345*G2345,"")</f>
        <v/>
      </c>
      <c r="J2345" s="311">
        <f t="shared" ref="J2345:J2348" si="2557">IF(C2345="T10",F2345*G2345,"")</f>
        <v>16.079999999999998</v>
      </c>
      <c r="K2345" s="311" t="str">
        <f t="shared" ref="K2345:K2348" si="2558">IF(C2345="T12",F2345*G2345,"")</f>
        <v/>
      </c>
      <c r="L2345" s="310" t="str">
        <f t="shared" ref="L2345:L2348" si="2559">IF(C2345="T14",F2345*G2345,"")</f>
        <v/>
      </c>
      <c r="M2345" s="310" t="str">
        <f t="shared" ref="M2345:M2348" si="2560">IF(C2345="T16",G2345*F2345,"")</f>
        <v/>
      </c>
      <c r="N2345" s="311" t="str">
        <f t="shared" ref="N2345:N2348" si="2561">IF(C2345="T20",G2345*F2345,"")</f>
        <v/>
      </c>
    </row>
    <row r="2346" spans="1:14" s="294" customFormat="1">
      <c r="A2346" s="297" t="s">
        <v>1515</v>
      </c>
      <c r="B2346" s="298"/>
      <c r="C2346" s="299" t="s">
        <v>1492</v>
      </c>
      <c r="D2346" s="299">
        <v>4</v>
      </c>
      <c r="E2346" s="300">
        <v>3</v>
      </c>
      <c r="F2346" s="300">
        <f>E2346*D2346</f>
        <v>12</v>
      </c>
      <c r="G2346" s="302">
        <f>(1)+17*0.012*2</f>
        <v>1.41</v>
      </c>
      <c r="H2346" s="310" t="str">
        <f t="shared" si="2555"/>
        <v/>
      </c>
      <c r="I2346" s="311" t="str">
        <f t="shared" si="2556"/>
        <v/>
      </c>
      <c r="J2346" s="311" t="str">
        <f t="shared" si="2557"/>
        <v/>
      </c>
      <c r="K2346" s="311" t="str">
        <f t="shared" si="2558"/>
        <v/>
      </c>
      <c r="L2346" s="310">
        <f t="shared" si="2559"/>
        <v>16.920000000000002</v>
      </c>
      <c r="M2346" s="310" t="str">
        <f t="shared" si="2560"/>
        <v/>
      </c>
      <c r="N2346" s="311" t="str">
        <f t="shared" si="2561"/>
        <v/>
      </c>
    </row>
    <row r="2347" spans="1:14" s="294" customFormat="1">
      <c r="A2347" s="297" t="s">
        <v>1494</v>
      </c>
      <c r="B2347" s="301"/>
      <c r="C2347" s="299" t="s">
        <v>1496</v>
      </c>
      <c r="D2347" s="299">
        <v>4</v>
      </c>
      <c r="E2347" s="300">
        <f>1/0.15</f>
        <v>7</v>
      </c>
      <c r="F2347" s="300">
        <f t="shared" ref="F2347:F2348" si="2562">E2347*D2347</f>
        <v>28</v>
      </c>
      <c r="G2347" s="302">
        <f>(0.2+0.15)*2+17*0.008*2</f>
        <v>0.97</v>
      </c>
      <c r="H2347" s="310" t="str">
        <f t="shared" si="2555"/>
        <v/>
      </c>
      <c r="I2347" s="311">
        <f t="shared" si="2556"/>
        <v>27.16</v>
      </c>
      <c r="J2347" s="311" t="str">
        <f t="shared" si="2557"/>
        <v/>
      </c>
      <c r="K2347" s="311" t="str">
        <f t="shared" si="2558"/>
        <v/>
      </c>
      <c r="L2347" s="310" t="str">
        <f t="shared" si="2559"/>
        <v/>
      </c>
      <c r="M2347" s="310" t="str">
        <f t="shared" si="2560"/>
        <v/>
      </c>
      <c r="N2347" s="311" t="str">
        <f t="shared" si="2561"/>
        <v/>
      </c>
    </row>
    <row r="2348" spans="1:14" s="294" customFormat="1">
      <c r="A2348" s="297" t="s">
        <v>1517</v>
      </c>
      <c r="B2348" s="301"/>
      <c r="C2348" s="299" t="s">
        <v>1496</v>
      </c>
      <c r="D2348" s="299">
        <v>4</v>
      </c>
      <c r="E2348" s="300">
        <v>7</v>
      </c>
      <c r="F2348" s="300">
        <f t="shared" si="2562"/>
        <v>28</v>
      </c>
      <c r="G2348" s="302">
        <f>(0.2*2)+17*0.008*2</f>
        <v>0.67</v>
      </c>
      <c r="H2348" s="310" t="str">
        <f t="shared" si="2555"/>
        <v/>
      </c>
      <c r="I2348" s="311">
        <f t="shared" si="2556"/>
        <v>18.760000000000002</v>
      </c>
      <c r="J2348" s="311" t="str">
        <f t="shared" si="2557"/>
        <v/>
      </c>
      <c r="K2348" s="311" t="str">
        <f t="shared" si="2558"/>
        <v/>
      </c>
      <c r="L2348" s="310" t="str">
        <f t="shared" si="2559"/>
        <v/>
      </c>
      <c r="M2348" s="310" t="str">
        <f t="shared" si="2560"/>
        <v/>
      </c>
      <c r="N2348" s="311" t="str">
        <f t="shared" si="2561"/>
        <v/>
      </c>
    </row>
    <row r="2349" spans="1:14" ht="16.5">
      <c r="A2349" s="305"/>
      <c r="B2349" s="254"/>
      <c r="C2349" s="299"/>
      <c r="D2349" s="299"/>
      <c r="E2349" s="300"/>
      <c r="F2349" s="300"/>
      <c r="G2349" s="302"/>
      <c r="H2349" s="310"/>
      <c r="I2349" s="311"/>
      <c r="J2349" s="311"/>
      <c r="K2349" s="311"/>
      <c r="L2349" s="310"/>
      <c r="M2349" s="310"/>
      <c r="N2349" s="311"/>
    </row>
    <row r="2350" spans="1:14" ht="16.5">
      <c r="A2350" s="303" t="s">
        <v>1477</v>
      </c>
      <c r="B2350" s="254"/>
      <c r="C2350" s="299"/>
      <c r="D2350" s="299"/>
      <c r="E2350" s="300"/>
      <c r="F2350" s="300"/>
      <c r="G2350" s="302"/>
      <c r="H2350" s="310"/>
      <c r="I2350" s="311"/>
      <c r="J2350" s="311"/>
      <c r="K2350" s="311"/>
      <c r="L2350" s="310"/>
      <c r="M2350" s="310"/>
      <c r="N2350" s="311"/>
    </row>
    <row r="2351" spans="1:14" s="294" customFormat="1">
      <c r="A2351" s="297" t="s">
        <v>1515</v>
      </c>
      <c r="B2351" s="298"/>
      <c r="C2351" s="299" t="s">
        <v>1519</v>
      </c>
      <c r="D2351" s="299">
        <v>1</v>
      </c>
      <c r="E2351" s="300">
        <v>3</v>
      </c>
      <c r="F2351" s="300">
        <f>E2351*D2351</f>
        <v>3</v>
      </c>
      <c r="G2351" s="299">
        <f>4.25+17*0.01*2</f>
        <v>4.59</v>
      </c>
      <c r="H2351" s="310" t="str">
        <f t="shared" ref="H2351:H2358" si="2563">IF(C2351="T6",G2351*F2351,"")</f>
        <v/>
      </c>
      <c r="I2351" s="311" t="str">
        <f t="shared" ref="I2351:I2358" si="2564">IF(C2351="T8",F2351*G2351,"")</f>
        <v/>
      </c>
      <c r="J2351" s="311">
        <f t="shared" ref="J2351:J2358" si="2565">IF(C2351="T10",F2351*G2351,"")</f>
        <v>13.77</v>
      </c>
      <c r="K2351" s="311" t="str">
        <f t="shared" ref="K2351:K2358" si="2566">IF(C2351="T12",F2351*G2351,"")</f>
        <v/>
      </c>
      <c r="L2351" s="310" t="str">
        <f t="shared" ref="L2351:L2358" si="2567">IF(C2351="T14",F2351*G2351,"")</f>
        <v/>
      </c>
      <c r="M2351" s="310" t="str">
        <f t="shared" ref="M2351:M2358" si="2568">IF(C2351="T16",G2351*F2351,"")</f>
        <v/>
      </c>
      <c r="N2351" s="311" t="str">
        <f t="shared" ref="N2351:N2358" si="2569">IF(C2351="T20",G2351*F2351,"")</f>
        <v/>
      </c>
    </row>
    <row r="2352" spans="1:14" s="294" customFormat="1">
      <c r="A2352" s="297" t="s">
        <v>1515</v>
      </c>
      <c r="B2352" s="298"/>
      <c r="C2352" s="299" t="s">
        <v>1516</v>
      </c>
      <c r="D2352" s="299">
        <v>1</v>
      </c>
      <c r="E2352" s="300">
        <v>3</v>
      </c>
      <c r="F2352" s="300">
        <f>E2352*D2352</f>
        <v>3</v>
      </c>
      <c r="G2352" s="302">
        <f>(4.25)+17*0.012*2</f>
        <v>4.66</v>
      </c>
      <c r="H2352" s="310" t="str">
        <f t="shared" si="2563"/>
        <v/>
      </c>
      <c r="I2352" s="311" t="str">
        <f t="shared" si="2564"/>
        <v/>
      </c>
      <c r="J2352" s="311" t="str">
        <f t="shared" si="2565"/>
        <v/>
      </c>
      <c r="K2352" s="311">
        <f t="shared" si="2566"/>
        <v>13.98</v>
      </c>
      <c r="L2352" s="310" t="str">
        <f t="shared" si="2567"/>
        <v/>
      </c>
      <c r="M2352" s="310" t="str">
        <f t="shared" si="2568"/>
        <v/>
      </c>
      <c r="N2352" s="311" t="str">
        <f t="shared" si="2569"/>
        <v/>
      </c>
    </row>
    <row r="2353" spans="1:14" s="294" customFormat="1">
      <c r="A2353" s="297"/>
      <c r="B2353" s="298"/>
      <c r="C2353" s="299" t="s">
        <v>1519</v>
      </c>
      <c r="D2353" s="299">
        <v>1</v>
      </c>
      <c r="E2353" s="300">
        <v>2</v>
      </c>
      <c r="F2353" s="300">
        <f>E2353*D2353</f>
        <v>2</v>
      </c>
      <c r="G2353" s="299">
        <v>4.25</v>
      </c>
      <c r="H2353" s="310" t="str">
        <f t="shared" si="2563"/>
        <v/>
      </c>
      <c r="I2353" s="311" t="str">
        <f t="shared" si="2564"/>
        <v/>
      </c>
      <c r="J2353" s="311">
        <f t="shared" si="2565"/>
        <v>8.5</v>
      </c>
      <c r="K2353" s="311" t="str">
        <f t="shared" si="2566"/>
        <v/>
      </c>
      <c r="L2353" s="310" t="str">
        <f t="shared" si="2567"/>
        <v/>
      </c>
      <c r="M2353" s="310" t="str">
        <f t="shared" si="2568"/>
        <v/>
      </c>
      <c r="N2353" s="311" t="str">
        <f t="shared" si="2569"/>
        <v/>
      </c>
    </row>
    <row r="2354" spans="1:14" s="294" customFormat="1">
      <c r="A2354" s="297" t="s">
        <v>1494</v>
      </c>
      <c r="B2354" s="301"/>
      <c r="C2354" s="299" t="s">
        <v>1496</v>
      </c>
      <c r="D2354" s="299">
        <v>1</v>
      </c>
      <c r="E2354" s="300">
        <f>13+20+13</f>
        <v>46</v>
      </c>
      <c r="F2354" s="300">
        <f t="shared" ref="F2354:F2355" si="2570">E2354*D2354</f>
        <v>46</v>
      </c>
      <c r="G2354" s="302">
        <f>(0.2+0.5)*2+17*0.008*2</f>
        <v>1.67</v>
      </c>
      <c r="H2354" s="310" t="str">
        <f t="shared" si="2563"/>
        <v/>
      </c>
      <c r="I2354" s="311">
        <f t="shared" si="2564"/>
        <v>76.819999999999993</v>
      </c>
      <c r="J2354" s="311" t="str">
        <f t="shared" si="2565"/>
        <v/>
      </c>
      <c r="K2354" s="311" t="str">
        <f t="shared" si="2566"/>
        <v/>
      </c>
      <c r="L2354" s="310" t="str">
        <f t="shared" si="2567"/>
        <v/>
      </c>
      <c r="M2354" s="310" t="str">
        <f t="shared" si="2568"/>
        <v/>
      </c>
      <c r="N2354" s="311" t="str">
        <f t="shared" si="2569"/>
        <v/>
      </c>
    </row>
    <row r="2355" spans="1:14" s="294" customFormat="1">
      <c r="A2355" s="297" t="s">
        <v>1517</v>
      </c>
      <c r="B2355" s="301"/>
      <c r="C2355" s="299" t="s">
        <v>1496</v>
      </c>
      <c r="D2355" s="299">
        <v>1</v>
      </c>
      <c r="E2355" s="300">
        <v>46</v>
      </c>
      <c r="F2355" s="300">
        <f t="shared" si="2570"/>
        <v>46</v>
      </c>
      <c r="G2355" s="302">
        <f>(0.5*2)+17*0.008*2</f>
        <v>1.27</v>
      </c>
      <c r="H2355" s="310" t="str">
        <f t="shared" si="2563"/>
        <v/>
      </c>
      <c r="I2355" s="311">
        <f t="shared" si="2564"/>
        <v>58.42</v>
      </c>
      <c r="J2355" s="311" t="str">
        <f t="shared" si="2565"/>
        <v/>
      </c>
      <c r="K2355" s="311" t="str">
        <f t="shared" si="2566"/>
        <v/>
      </c>
      <c r="L2355" s="310" t="str">
        <f t="shared" si="2567"/>
        <v/>
      </c>
      <c r="M2355" s="310" t="str">
        <f t="shared" si="2568"/>
        <v/>
      </c>
      <c r="N2355" s="311" t="str">
        <f t="shared" si="2569"/>
        <v/>
      </c>
    </row>
    <row r="2356" spans="1:14">
      <c r="A2356" s="297" t="s">
        <v>1518</v>
      </c>
      <c r="B2356" s="254"/>
      <c r="C2356" s="299" t="s">
        <v>1492</v>
      </c>
      <c r="D2356" s="299">
        <v>1</v>
      </c>
      <c r="E2356" s="300">
        <v>3</v>
      </c>
      <c r="F2356" s="300">
        <f>E2356*D2356</f>
        <v>3</v>
      </c>
      <c r="G2356" s="302">
        <v>3</v>
      </c>
      <c r="H2356" s="310" t="str">
        <f t="shared" si="2563"/>
        <v/>
      </c>
      <c r="I2356" s="311" t="str">
        <f t="shared" si="2564"/>
        <v/>
      </c>
      <c r="J2356" s="311" t="str">
        <f t="shared" si="2565"/>
        <v/>
      </c>
      <c r="K2356" s="311" t="str">
        <f t="shared" si="2566"/>
        <v/>
      </c>
      <c r="L2356" s="310">
        <f t="shared" si="2567"/>
        <v>9</v>
      </c>
      <c r="M2356" s="310" t="str">
        <f t="shared" si="2568"/>
        <v/>
      </c>
      <c r="N2356" s="311" t="str">
        <f t="shared" si="2569"/>
        <v/>
      </c>
    </row>
    <row r="2357" spans="1:14">
      <c r="A2357" s="297" t="s">
        <v>1518</v>
      </c>
      <c r="B2357" s="254"/>
      <c r="C2357" s="299" t="s">
        <v>1519</v>
      </c>
      <c r="D2357" s="299">
        <v>1</v>
      </c>
      <c r="E2357" s="300">
        <v>3</v>
      </c>
      <c r="F2357" s="300">
        <f>E2357*D2357</f>
        <v>3</v>
      </c>
      <c r="G2357" s="302">
        <v>3.5</v>
      </c>
      <c r="H2357" s="310" t="str">
        <f t="shared" si="2563"/>
        <v/>
      </c>
      <c r="I2357" s="311" t="str">
        <f t="shared" si="2564"/>
        <v/>
      </c>
      <c r="J2357" s="311">
        <f t="shared" si="2565"/>
        <v>10.5</v>
      </c>
      <c r="K2357" s="311" t="str">
        <f t="shared" si="2566"/>
        <v/>
      </c>
      <c r="L2357" s="310" t="str">
        <f t="shared" si="2567"/>
        <v/>
      </c>
      <c r="M2357" s="310" t="str">
        <f t="shared" si="2568"/>
        <v/>
      </c>
      <c r="N2357" s="311" t="str">
        <f t="shared" si="2569"/>
        <v/>
      </c>
    </row>
    <row r="2358" spans="1:14">
      <c r="A2358" s="297" t="s">
        <v>1518</v>
      </c>
      <c r="B2358" s="254"/>
      <c r="C2358" s="299" t="s">
        <v>1516</v>
      </c>
      <c r="D2358" s="299">
        <v>1</v>
      </c>
      <c r="E2358" s="300">
        <v>3</v>
      </c>
      <c r="F2358" s="300">
        <f>E2358*D2358</f>
        <v>3</v>
      </c>
      <c r="G2358" s="302">
        <v>4.25</v>
      </c>
      <c r="H2358" s="310" t="str">
        <f t="shared" si="2563"/>
        <v/>
      </c>
      <c r="I2358" s="311" t="str">
        <f t="shared" si="2564"/>
        <v/>
      </c>
      <c r="J2358" s="311" t="str">
        <f t="shared" si="2565"/>
        <v/>
      </c>
      <c r="K2358" s="311">
        <f t="shared" si="2566"/>
        <v>12.75</v>
      </c>
      <c r="L2358" s="310" t="str">
        <f t="shared" si="2567"/>
        <v/>
      </c>
      <c r="M2358" s="310" t="str">
        <f t="shared" si="2568"/>
        <v/>
      </c>
      <c r="N2358" s="311" t="str">
        <f t="shared" si="2569"/>
        <v/>
      </c>
    </row>
    <row r="2359" spans="1:14" ht="16.5">
      <c r="A2359" s="303"/>
      <c r="B2359" s="254"/>
      <c r="C2359" s="299"/>
      <c r="D2359" s="299"/>
      <c r="E2359" s="300"/>
      <c r="F2359" s="300"/>
      <c r="G2359" s="302"/>
      <c r="H2359" s="310"/>
      <c r="I2359" s="311"/>
      <c r="J2359" s="311"/>
      <c r="K2359" s="311"/>
      <c r="L2359" s="310"/>
      <c r="M2359" s="310"/>
      <c r="N2359" s="311"/>
    </row>
    <row r="2360" spans="1:14" ht="16.5">
      <c r="A2360" s="303" t="s">
        <v>1478</v>
      </c>
      <c r="B2360" s="254"/>
      <c r="C2360" s="299"/>
      <c r="D2360" s="299"/>
      <c r="E2360" s="300"/>
      <c r="F2360" s="300"/>
      <c r="G2360" s="302"/>
      <c r="H2360" s="310"/>
      <c r="I2360" s="311"/>
      <c r="J2360" s="311"/>
      <c r="K2360" s="311"/>
      <c r="L2360" s="310"/>
      <c r="M2360" s="310"/>
      <c r="N2360" s="311"/>
    </row>
    <row r="2361" spans="1:14" s="294" customFormat="1">
      <c r="A2361" s="297" t="s">
        <v>1515</v>
      </c>
      <c r="B2361" s="298"/>
      <c r="C2361" s="299" t="s">
        <v>1519</v>
      </c>
      <c r="D2361" s="299">
        <v>1</v>
      </c>
      <c r="E2361" s="300">
        <v>3</v>
      </c>
      <c r="F2361" s="300">
        <f>E2361*D2361</f>
        <v>3</v>
      </c>
      <c r="G2361" s="299">
        <f>4.25+17*0.01*2</f>
        <v>4.59</v>
      </c>
      <c r="H2361" s="310" t="str">
        <f t="shared" ref="H2361:H2368" si="2571">IF(C2361="T6",G2361*F2361,"")</f>
        <v/>
      </c>
      <c r="I2361" s="311" t="str">
        <f t="shared" ref="I2361:I2368" si="2572">IF(C2361="T8",F2361*G2361,"")</f>
        <v/>
      </c>
      <c r="J2361" s="311">
        <f t="shared" ref="J2361:J2368" si="2573">IF(C2361="T10",F2361*G2361,"")</f>
        <v>13.77</v>
      </c>
      <c r="K2361" s="311" t="str">
        <f t="shared" ref="K2361:K2368" si="2574">IF(C2361="T12",F2361*G2361,"")</f>
        <v/>
      </c>
      <c r="L2361" s="310" t="str">
        <f t="shared" ref="L2361:L2368" si="2575">IF(C2361="T14",F2361*G2361,"")</f>
        <v/>
      </c>
      <c r="M2361" s="310" t="str">
        <f t="shared" ref="M2361:M2368" si="2576">IF(C2361="T16",G2361*F2361,"")</f>
        <v/>
      </c>
      <c r="N2361" s="311" t="str">
        <f t="shared" ref="N2361:N2368" si="2577">IF(C2361="T20",G2361*F2361,"")</f>
        <v/>
      </c>
    </row>
    <row r="2362" spans="1:14" s="294" customFormat="1">
      <c r="A2362" s="297" t="s">
        <v>1515</v>
      </c>
      <c r="B2362" s="298"/>
      <c r="C2362" s="299" t="s">
        <v>1516</v>
      </c>
      <c r="D2362" s="299">
        <v>1</v>
      </c>
      <c r="E2362" s="300">
        <v>3</v>
      </c>
      <c r="F2362" s="300">
        <f>E2362*D2362</f>
        <v>3</v>
      </c>
      <c r="G2362" s="302">
        <f>(4.25)+17*0.012*2</f>
        <v>4.66</v>
      </c>
      <c r="H2362" s="310" t="str">
        <f t="shared" si="2571"/>
        <v/>
      </c>
      <c r="I2362" s="311" t="str">
        <f t="shared" si="2572"/>
        <v/>
      </c>
      <c r="J2362" s="311" t="str">
        <f t="shared" si="2573"/>
        <v/>
      </c>
      <c r="K2362" s="311">
        <f t="shared" si="2574"/>
        <v>13.98</v>
      </c>
      <c r="L2362" s="310" t="str">
        <f t="shared" si="2575"/>
        <v/>
      </c>
      <c r="M2362" s="310" t="str">
        <f t="shared" si="2576"/>
        <v/>
      </c>
      <c r="N2362" s="311" t="str">
        <f t="shared" si="2577"/>
        <v/>
      </c>
    </row>
    <row r="2363" spans="1:14" s="294" customFormat="1">
      <c r="A2363" s="297"/>
      <c r="B2363" s="298"/>
      <c r="C2363" s="299" t="s">
        <v>1519</v>
      </c>
      <c r="D2363" s="299">
        <v>1</v>
      </c>
      <c r="E2363" s="300">
        <v>2</v>
      </c>
      <c r="F2363" s="300">
        <f>E2363*D2363</f>
        <v>2</v>
      </c>
      <c r="G2363" s="299">
        <v>4.25</v>
      </c>
      <c r="H2363" s="310" t="str">
        <f t="shared" si="2571"/>
        <v/>
      </c>
      <c r="I2363" s="311" t="str">
        <f t="shared" si="2572"/>
        <v/>
      </c>
      <c r="J2363" s="311">
        <f t="shared" si="2573"/>
        <v>8.5</v>
      </c>
      <c r="K2363" s="311" t="str">
        <f t="shared" si="2574"/>
        <v/>
      </c>
      <c r="L2363" s="310" t="str">
        <f t="shared" si="2575"/>
        <v/>
      </c>
      <c r="M2363" s="310" t="str">
        <f t="shared" si="2576"/>
        <v/>
      </c>
      <c r="N2363" s="311" t="str">
        <f t="shared" si="2577"/>
        <v/>
      </c>
    </row>
    <row r="2364" spans="1:14" s="294" customFormat="1">
      <c r="A2364" s="297" t="s">
        <v>1494</v>
      </c>
      <c r="B2364" s="301"/>
      <c r="C2364" s="299" t="s">
        <v>1496</v>
      </c>
      <c r="D2364" s="299">
        <v>1</v>
      </c>
      <c r="E2364" s="300">
        <f>13+20+13</f>
        <v>46</v>
      </c>
      <c r="F2364" s="300">
        <f t="shared" ref="F2364:F2365" si="2578">E2364*D2364</f>
        <v>46</v>
      </c>
      <c r="G2364" s="302">
        <f>(0.2+0.5)*2+17*0.008*2</f>
        <v>1.67</v>
      </c>
      <c r="H2364" s="310" t="str">
        <f t="shared" si="2571"/>
        <v/>
      </c>
      <c r="I2364" s="311">
        <f t="shared" si="2572"/>
        <v>76.819999999999993</v>
      </c>
      <c r="J2364" s="311" t="str">
        <f t="shared" si="2573"/>
        <v/>
      </c>
      <c r="K2364" s="311" t="str">
        <f t="shared" si="2574"/>
        <v/>
      </c>
      <c r="L2364" s="310" t="str">
        <f t="shared" si="2575"/>
        <v/>
      </c>
      <c r="M2364" s="310" t="str">
        <f t="shared" si="2576"/>
        <v/>
      </c>
      <c r="N2364" s="311" t="str">
        <f t="shared" si="2577"/>
        <v/>
      </c>
    </row>
    <row r="2365" spans="1:14" s="294" customFormat="1">
      <c r="A2365" s="297" t="s">
        <v>1517</v>
      </c>
      <c r="B2365" s="301"/>
      <c r="C2365" s="299" t="s">
        <v>1496</v>
      </c>
      <c r="D2365" s="299">
        <v>1</v>
      </c>
      <c r="E2365" s="300">
        <v>46</v>
      </c>
      <c r="F2365" s="300">
        <f t="shared" si="2578"/>
        <v>46</v>
      </c>
      <c r="G2365" s="302">
        <f>(0.5*2)+17*0.008*2</f>
        <v>1.27</v>
      </c>
      <c r="H2365" s="310" t="str">
        <f t="shared" si="2571"/>
        <v/>
      </c>
      <c r="I2365" s="311">
        <f t="shared" si="2572"/>
        <v>58.42</v>
      </c>
      <c r="J2365" s="311" t="str">
        <f t="shared" si="2573"/>
        <v/>
      </c>
      <c r="K2365" s="311" t="str">
        <f t="shared" si="2574"/>
        <v/>
      </c>
      <c r="L2365" s="310" t="str">
        <f t="shared" si="2575"/>
        <v/>
      </c>
      <c r="M2365" s="310" t="str">
        <f t="shared" si="2576"/>
        <v/>
      </c>
      <c r="N2365" s="311" t="str">
        <f t="shared" si="2577"/>
        <v/>
      </c>
    </row>
    <row r="2366" spans="1:14">
      <c r="A2366" s="297" t="s">
        <v>1518</v>
      </c>
      <c r="B2366" s="254"/>
      <c r="C2366" s="299" t="s">
        <v>1492</v>
      </c>
      <c r="D2366" s="299">
        <v>1</v>
      </c>
      <c r="E2366" s="300">
        <v>3</v>
      </c>
      <c r="F2366" s="300">
        <f>E2366*D2366</f>
        <v>3</v>
      </c>
      <c r="G2366" s="302">
        <v>3</v>
      </c>
      <c r="H2366" s="310" t="str">
        <f t="shared" si="2571"/>
        <v/>
      </c>
      <c r="I2366" s="311" t="str">
        <f t="shared" si="2572"/>
        <v/>
      </c>
      <c r="J2366" s="311" t="str">
        <f t="shared" si="2573"/>
        <v/>
      </c>
      <c r="K2366" s="311" t="str">
        <f t="shared" si="2574"/>
        <v/>
      </c>
      <c r="L2366" s="310">
        <f t="shared" si="2575"/>
        <v>9</v>
      </c>
      <c r="M2366" s="310" t="str">
        <f t="shared" si="2576"/>
        <v/>
      </c>
      <c r="N2366" s="311" t="str">
        <f t="shared" si="2577"/>
        <v/>
      </c>
    </row>
    <row r="2367" spans="1:14">
      <c r="A2367" s="297" t="s">
        <v>1518</v>
      </c>
      <c r="B2367" s="254"/>
      <c r="C2367" s="299" t="s">
        <v>1519</v>
      </c>
      <c r="D2367" s="299">
        <v>1</v>
      </c>
      <c r="E2367" s="300">
        <v>3</v>
      </c>
      <c r="F2367" s="300">
        <f>E2367*D2367</f>
        <v>3</v>
      </c>
      <c r="G2367" s="302">
        <v>3.5</v>
      </c>
      <c r="H2367" s="310" t="str">
        <f t="shared" si="2571"/>
        <v/>
      </c>
      <c r="I2367" s="311" t="str">
        <f t="shared" si="2572"/>
        <v/>
      </c>
      <c r="J2367" s="311">
        <f t="shared" si="2573"/>
        <v>10.5</v>
      </c>
      <c r="K2367" s="311" t="str">
        <f t="shared" si="2574"/>
        <v/>
      </c>
      <c r="L2367" s="310" t="str">
        <f t="shared" si="2575"/>
        <v/>
      </c>
      <c r="M2367" s="310" t="str">
        <f t="shared" si="2576"/>
        <v/>
      </c>
      <c r="N2367" s="311" t="str">
        <f t="shared" si="2577"/>
        <v/>
      </c>
    </row>
    <row r="2368" spans="1:14">
      <c r="A2368" s="297" t="s">
        <v>1518</v>
      </c>
      <c r="B2368" s="254"/>
      <c r="C2368" s="299" t="s">
        <v>1516</v>
      </c>
      <c r="D2368" s="299">
        <v>1</v>
      </c>
      <c r="E2368" s="300">
        <v>3</v>
      </c>
      <c r="F2368" s="300">
        <f>E2368*D2368</f>
        <v>3</v>
      </c>
      <c r="G2368" s="302">
        <v>4.25</v>
      </c>
      <c r="H2368" s="310" t="str">
        <f t="shared" si="2571"/>
        <v/>
      </c>
      <c r="I2368" s="311" t="str">
        <f t="shared" si="2572"/>
        <v/>
      </c>
      <c r="J2368" s="311" t="str">
        <f t="shared" si="2573"/>
        <v/>
      </c>
      <c r="K2368" s="311">
        <f t="shared" si="2574"/>
        <v>12.75</v>
      </c>
      <c r="L2368" s="310" t="str">
        <f t="shared" si="2575"/>
        <v/>
      </c>
      <c r="M2368" s="310" t="str">
        <f t="shared" si="2576"/>
        <v/>
      </c>
      <c r="N2368" s="311" t="str">
        <f t="shared" si="2577"/>
        <v/>
      </c>
    </row>
    <row r="2369" spans="1:14" ht="16.5">
      <c r="A2369" s="303"/>
      <c r="B2369" s="254"/>
      <c r="C2369" s="299"/>
      <c r="D2369" s="299"/>
      <c r="E2369" s="300"/>
      <c r="F2369" s="300"/>
      <c r="G2369" s="302"/>
      <c r="H2369" s="310"/>
      <c r="I2369" s="311"/>
      <c r="J2369" s="311"/>
      <c r="K2369" s="311"/>
      <c r="L2369" s="310"/>
      <c r="M2369" s="310"/>
      <c r="N2369" s="311"/>
    </row>
    <row r="2370" spans="1:14" ht="16.5">
      <c r="A2370" s="303" t="s">
        <v>1546</v>
      </c>
      <c r="B2370" s="254"/>
      <c r="C2370" s="299"/>
      <c r="D2370" s="299"/>
      <c r="E2370" s="300"/>
      <c r="F2370" s="300"/>
      <c r="G2370" s="302"/>
      <c r="H2370" s="310"/>
      <c r="I2370" s="311"/>
      <c r="J2370" s="311"/>
      <c r="K2370" s="311"/>
      <c r="L2370" s="310"/>
      <c r="M2370" s="310"/>
      <c r="N2370" s="311"/>
    </row>
    <row r="2371" spans="1:14" s="294" customFormat="1">
      <c r="A2371" s="297" t="s">
        <v>1515</v>
      </c>
      <c r="B2371" s="298"/>
      <c r="C2371" s="299" t="s">
        <v>1519</v>
      </c>
      <c r="D2371" s="299">
        <v>1</v>
      </c>
      <c r="E2371" s="300">
        <v>3</v>
      </c>
      <c r="F2371" s="300">
        <f>E2371*D2371</f>
        <v>3</v>
      </c>
      <c r="G2371" s="302">
        <f>5.35+17*0.01*2</f>
        <v>5.69</v>
      </c>
      <c r="H2371" s="310" t="str">
        <f t="shared" ref="H2371:H2378" si="2579">IF(C2371="T6",G2371*F2371,"")</f>
        <v/>
      </c>
      <c r="I2371" s="311" t="str">
        <f t="shared" ref="I2371:I2378" si="2580">IF(C2371="T8",F2371*G2371,"")</f>
        <v/>
      </c>
      <c r="J2371" s="311">
        <f t="shared" ref="J2371:J2378" si="2581">IF(C2371="T10",F2371*G2371,"")</f>
        <v>17.07</v>
      </c>
      <c r="K2371" s="311" t="str">
        <f t="shared" ref="K2371:K2378" si="2582">IF(C2371="T12",F2371*G2371,"")</f>
        <v/>
      </c>
      <c r="L2371" s="310" t="str">
        <f t="shared" ref="L2371:L2378" si="2583">IF(C2371="T14",F2371*G2371,"")</f>
        <v/>
      </c>
      <c r="M2371" s="310" t="str">
        <f t="shared" ref="M2371:M2378" si="2584">IF(C2371="T16",G2371*F2371,"")</f>
        <v/>
      </c>
      <c r="N2371" s="311" t="str">
        <f t="shared" ref="N2371:N2378" si="2585">IF(C2371="T20",G2371*F2371,"")</f>
        <v/>
      </c>
    </row>
    <row r="2372" spans="1:14" s="294" customFormat="1">
      <c r="A2372" s="297" t="s">
        <v>1515</v>
      </c>
      <c r="B2372" s="298"/>
      <c r="C2372" s="299" t="s">
        <v>1492</v>
      </c>
      <c r="D2372" s="299">
        <v>1</v>
      </c>
      <c r="E2372" s="300">
        <v>3</v>
      </c>
      <c r="F2372" s="300">
        <f>E2372*D2372</f>
        <v>3</v>
      </c>
      <c r="G2372" s="302">
        <f>(5.35)+17*0.014*2</f>
        <v>5.83</v>
      </c>
      <c r="H2372" s="310" t="str">
        <f t="shared" si="2579"/>
        <v/>
      </c>
      <c r="I2372" s="311" t="str">
        <f t="shared" si="2580"/>
        <v/>
      </c>
      <c r="J2372" s="311" t="str">
        <f t="shared" si="2581"/>
        <v/>
      </c>
      <c r="K2372" s="311" t="str">
        <f t="shared" si="2582"/>
        <v/>
      </c>
      <c r="L2372" s="310">
        <f t="shared" si="2583"/>
        <v>17.489999999999998</v>
      </c>
      <c r="M2372" s="310" t="str">
        <f t="shared" si="2584"/>
        <v/>
      </c>
      <c r="N2372" s="311" t="str">
        <f t="shared" si="2585"/>
        <v/>
      </c>
    </row>
    <row r="2373" spans="1:14" s="294" customFormat="1">
      <c r="A2373" s="297"/>
      <c r="B2373" s="298"/>
      <c r="C2373" s="299" t="s">
        <v>1519</v>
      </c>
      <c r="D2373" s="299">
        <v>1</v>
      </c>
      <c r="E2373" s="300">
        <v>2</v>
      </c>
      <c r="F2373" s="300">
        <f>E2373*D2373</f>
        <v>2</v>
      </c>
      <c r="G2373" s="302">
        <v>5.35</v>
      </c>
      <c r="H2373" s="310" t="str">
        <f t="shared" si="2579"/>
        <v/>
      </c>
      <c r="I2373" s="311" t="str">
        <f t="shared" si="2580"/>
        <v/>
      </c>
      <c r="J2373" s="311">
        <f t="shared" si="2581"/>
        <v>10.7</v>
      </c>
      <c r="K2373" s="311" t="str">
        <f t="shared" si="2582"/>
        <v/>
      </c>
      <c r="L2373" s="310" t="str">
        <f t="shared" si="2583"/>
        <v/>
      </c>
      <c r="M2373" s="310" t="str">
        <f t="shared" si="2584"/>
        <v/>
      </c>
      <c r="N2373" s="311" t="str">
        <f t="shared" si="2585"/>
        <v/>
      </c>
    </row>
    <row r="2374" spans="1:14" s="294" customFormat="1">
      <c r="A2374" s="297" t="s">
        <v>1494</v>
      </c>
      <c r="B2374" s="301"/>
      <c r="C2374" s="299" t="s">
        <v>1496</v>
      </c>
      <c r="D2374" s="299">
        <v>1</v>
      </c>
      <c r="E2374" s="300">
        <f>17+20+17</f>
        <v>54</v>
      </c>
      <c r="F2374" s="300">
        <f t="shared" ref="F2374:F2375" si="2586">E2374*D2374</f>
        <v>54</v>
      </c>
      <c r="G2374" s="302">
        <f>(0.25+0.45)*2+17*0.008*2</f>
        <v>1.67</v>
      </c>
      <c r="H2374" s="310" t="str">
        <f t="shared" si="2579"/>
        <v/>
      </c>
      <c r="I2374" s="311">
        <f t="shared" si="2580"/>
        <v>90.18</v>
      </c>
      <c r="J2374" s="311" t="str">
        <f t="shared" si="2581"/>
        <v/>
      </c>
      <c r="K2374" s="311" t="str">
        <f t="shared" si="2582"/>
        <v/>
      </c>
      <c r="L2374" s="310" t="str">
        <f t="shared" si="2583"/>
        <v/>
      </c>
      <c r="M2374" s="310" t="str">
        <f t="shared" si="2584"/>
        <v/>
      </c>
      <c r="N2374" s="311" t="str">
        <f t="shared" si="2585"/>
        <v/>
      </c>
    </row>
    <row r="2375" spans="1:14" s="294" customFormat="1">
      <c r="A2375" s="297" t="s">
        <v>1517</v>
      </c>
      <c r="B2375" s="301"/>
      <c r="C2375" s="299" t="s">
        <v>1496</v>
      </c>
      <c r="D2375" s="299">
        <v>1</v>
      </c>
      <c r="E2375" s="300">
        <v>54</v>
      </c>
      <c r="F2375" s="300">
        <f t="shared" si="2586"/>
        <v>54</v>
      </c>
      <c r="G2375" s="302">
        <f>(0.45*2)+17*0.008*2</f>
        <v>1.17</v>
      </c>
      <c r="H2375" s="310" t="str">
        <f t="shared" si="2579"/>
        <v/>
      </c>
      <c r="I2375" s="311">
        <f t="shared" si="2580"/>
        <v>63.18</v>
      </c>
      <c r="J2375" s="311" t="str">
        <f t="shared" si="2581"/>
        <v/>
      </c>
      <c r="K2375" s="311" t="str">
        <f t="shared" si="2582"/>
        <v/>
      </c>
      <c r="L2375" s="310" t="str">
        <f t="shared" si="2583"/>
        <v/>
      </c>
      <c r="M2375" s="310" t="str">
        <f t="shared" si="2584"/>
        <v/>
      </c>
      <c r="N2375" s="311" t="str">
        <f t="shared" si="2585"/>
        <v/>
      </c>
    </row>
    <row r="2376" spans="1:14">
      <c r="A2376" s="297" t="s">
        <v>1518</v>
      </c>
      <c r="B2376" s="254"/>
      <c r="C2376" s="299" t="s">
        <v>1492</v>
      </c>
      <c r="D2376" s="299">
        <v>1</v>
      </c>
      <c r="E2376" s="300">
        <v>3</v>
      </c>
      <c r="F2376" s="300">
        <f>E2376*D2376</f>
        <v>3</v>
      </c>
      <c r="G2376" s="302">
        <v>2.2000000000000002</v>
      </c>
      <c r="H2376" s="310" t="str">
        <f t="shared" si="2579"/>
        <v/>
      </c>
      <c r="I2376" s="311" t="str">
        <f t="shared" si="2580"/>
        <v/>
      </c>
      <c r="J2376" s="311" t="str">
        <f t="shared" si="2581"/>
        <v/>
      </c>
      <c r="K2376" s="311" t="str">
        <f t="shared" si="2582"/>
        <v/>
      </c>
      <c r="L2376" s="310">
        <f t="shared" si="2583"/>
        <v>6.6</v>
      </c>
      <c r="M2376" s="310" t="str">
        <f t="shared" si="2584"/>
        <v/>
      </c>
      <c r="N2376" s="311" t="str">
        <f t="shared" si="2585"/>
        <v/>
      </c>
    </row>
    <row r="2377" spans="1:14">
      <c r="A2377" s="297"/>
      <c r="B2377" s="254"/>
      <c r="C2377" s="299" t="s">
        <v>1492</v>
      </c>
      <c r="D2377" s="299">
        <v>1</v>
      </c>
      <c r="E2377" s="300">
        <v>3</v>
      </c>
      <c r="F2377" s="300">
        <f>E2377*D2377</f>
        <v>3</v>
      </c>
      <c r="G2377" s="302">
        <v>2.2000000000000002</v>
      </c>
      <c r="H2377" s="310" t="str">
        <f t="shared" si="2579"/>
        <v/>
      </c>
      <c r="I2377" s="311" t="str">
        <f t="shared" si="2580"/>
        <v/>
      </c>
      <c r="J2377" s="311" t="str">
        <f t="shared" si="2581"/>
        <v/>
      </c>
      <c r="K2377" s="311" t="str">
        <f t="shared" si="2582"/>
        <v/>
      </c>
      <c r="L2377" s="310">
        <f t="shared" si="2583"/>
        <v>6.6</v>
      </c>
      <c r="M2377" s="310" t="str">
        <f t="shared" si="2584"/>
        <v/>
      </c>
      <c r="N2377" s="311" t="str">
        <f t="shared" si="2585"/>
        <v/>
      </c>
    </row>
    <row r="2378" spans="1:14">
      <c r="A2378" s="297"/>
      <c r="B2378" s="254"/>
      <c r="C2378" s="299" t="s">
        <v>1492</v>
      </c>
      <c r="D2378" s="299">
        <v>1</v>
      </c>
      <c r="E2378" s="300">
        <v>3</v>
      </c>
      <c r="F2378" s="300">
        <f>E2378*D2378</f>
        <v>3</v>
      </c>
      <c r="G2378" s="302">
        <v>5</v>
      </c>
      <c r="H2378" s="310" t="str">
        <f t="shared" si="2579"/>
        <v/>
      </c>
      <c r="I2378" s="311" t="str">
        <f t="shared" si="2580"/>
        <v/>
      </c>
      <c r="J2378" s="311" t="str">
        <f t="shared" si="2581"/>
        <v/>
      </c>
      <c r="K2378" s="311" t="str">
        <f t="shared" si="2582"/>
        <v/>
      </c>
      <c r="L2378" s="310">
        <f t="shared" si="2583"/>
        <v>15</v>
      </c>
      <c r="M2378" s="310" t="str">
        <f t="shared" si="2584"/>
        <v/>
      </c>
      <c r="N2378" s="311" t="str">
        <f t="shared" si="2585"/>
        <v/>
      </c>
    </row>
    <row r="2379" spans="1:14" ht="16.5">
      <c r="A2379" s="303"/>
      <c r="B2379" s="254"/>
      <c r="C2379" s="299"/>
      <c r="D2379" s="299"/>
      <c r="E2379" s="300"/>
      <c r="F2379" s="300"/>
      <c r="G2379" s="302"/>
      <c r="H2379" s="310"/>
      <c r="I2379" s="311"/>
      <c r="J2379" s="311"/>
      <c r="K2379" s="311"/>
      <c r="L2379" s="310"/>
      <c r="M2379" s="310"/>
      <c r="N2379" s="311"/>
    </row>
    <row r="2380" spans="1:14" ht="16.5">
      <c r="A2380" s="303" t="s">
        <v>1479</v>
      </c>
      <c r="B2380" s="254"/>
      <c r="C2380" s="299"/>
      <c r="D2380" s="299"/>
      <c r="E2380" s="300"/>
      <c r="F2380" s="300"/>
      <c r="G2380" s="302"/>
      <c r="H2380" s="310"/>
      <c r="I2380" s="311"/>
      <c r="J2380" s="311"/>
      <c r="K2380" s="311"/>
      <c r="L2380" s="310"/>
      <c r="M2380" s="310"/>
      <c r="N2380" s="311"/>
    </row>
    <row r="2381" spans="1:14" s="294" customFormat="1">
      <c r="A2381" s="297" t="s">
        <v>1515</v>
      </c>
      <c r="B2381" s="298"/>
      <c r="C2381" s="299" t="s">
        <v>1498</v>
      </c>
      <c r="D2381" s="299">
        <v>1</v>
      </c>
      <c r="E2381" s="300">
        <v>4</v>
      </c>
      <c r="F2381" s="300">
        <f>E2381*D2381</f>
        <v>4</v>
      </c>
      <c r="G2381" s="302">
        <f>3.05+17*0.016*2</f>
        <v>3.59</v>
      </c>
      <c r="H2381" s="310" t="str">
        <f t="shared" ref="H2381:H2388" si="2587">IF(C2381="T6",G2381*F2381,"")</f>
        <v/>
      </c>
      <c r="I2381" s="311" t="str">
        <f t="shared" ref="I2381:I2388" si="2588">IF(C2381="T8",F2381*G2381,"")</f>
        <v/>
      </c>
      <c r="J2381" s="311" t="str">
        <f t="shared" ref="J2381:J2388" si="2589">IF(C2381="T10",F2381*G2381,"")</f>
        <v/>
      </c>
      <c r="K2381" s="311" t="str">
        <f t="shared" ref="K2381:K2388" si="2590">IF(C2381="T12",F2381*G2381,"")</f>
        <v/>
      </c>
      <c r="L2381" s="310" t="str">
        <f t="shared" ref="L2381:L2388" si="2591">IF(C2381="T14",F2381*G2381,"")</f>
        <v/>
      </c>
      <c r="M2381" s="310">
        <f t="shared" ref="M2381:M2388" si="2592">IF(C2381="T16",G2381*F2381,"")</f>
        <v>14.36</v>
      </c>
      <c r="N2381" s="311" t="str">
        <f t="shared" ref="N2381:N2388" si="2593">IF(C2381="T20",G2381*F2381,"")</f>
        <v/>
      </c>
    </row>
    <row r="2382" spans="1:14" s="294" customFormat="1">
      <c r="A2382" s="297" t="s">
        <v>1515</v>
      </c>
      <c r="B2382" s="298"/>
      <c r="C2382" s="299" t="s">
        <v>1492</v>
      </c>
      <c r="D2382" s="299">
        <v>1</v>
      </c>
      <c r="E2382" s="300">
        <v>4</v>
      </c>
      <c r="F2382" s="300">
        <f>E2382*D2382</f>
        <v>4</v>
      </c>
      <c r="G2382" s="302">
        <f>(3.05)+17*0.014*2</f>
        <v>3.53</v>
      </c>
      <c r="H2382" s="310" t="str">
        <f t="shared" si="2587"/>
        <v/>
      </c>
      <c r="I2382" s="311" t="str">
        <f t="shared" si="2588"/>
        <v/>
      </c>
      <c r="J2382" s="311" t="str">
        <f t="shared" si="2589"/>
        <v/>
      </c>
      <c r="K2382" s="311" t="str">
        <f t="shared" si="2590"/>
        <v/>
      </c>
      <c r="L2382" s="310">
        <f t="shared" si="2591"/>
        <v>14.12</v>
      </c>
      <c r="M2382" s="310" t="str">
        <f t="shared" si="2592"/>
        <v/>
      </c>
      <c r="N2382" s="311" t="str">
        <f t="shared" si="2593"/>
        <v/>
      </c>
    </row>
    <row r="2383" spans="1:14" s="294" customFormat="1">
      <c r="A2383" s="297"/>
      <c r="B2383" s="298"/>
      <c r="C2383" s="299" t="s">
        <v>1516</v>
      </c>
      <c r="D2383" s="299">
        <v>1</v>
      </c>
      <c r="E2383" s="300">
        <v>4</v>
      </c>
      <c r="F2383" s="300">
        <f>E2383*D2383</f>
        <v>4</v>
      </c>
      <c r="G2383" s="302">
        <v>3.05</v>
      </c>
      <c r="H2383" s="310" t="str">
        <f t="shared" si="2587"/>
        <v/>
      </c>
      <c r="I2383" s="311" t="str">
        <f t="shared" si="2588"/>
        <v/>
      </c>
      <c r="J2383" s="311" t="str">
        <f t="shared" si="2589"/>
        <v/>
      </c>
      <c r="K2383" s="311">
        <f t="shared" si="2590"/>
        <v>12.2</v>
      </c>
      <c r="L2383" s="310" t="str">
        <f t="shared" si="2591"/>
        <v/>
      </c>
      <c r="M2383" s="310" t="str">
        <f t="shared" si="2592"/>
        <v/>
      </c>
      <c r="N2383" s="311" t="str">
        <f t="shared" si="2593"/>
        <v/>
      </c>
    </row>
    <row r="2384" spans="1:14" s="294" customFormat="1">
      <c r="A2384" s="297" t="s">
        <v>1494</v>
      </c>
      <c r="B2384" s="301"/>
      <c r="C2384" s="299" t="s">
        <v>1496</v>
      </c>
      <c r="D2384" s="299">
        <v>1</v>
      </c>
      <c r="E2384" s="300">
        <f>11+20+11</f>
        <v>42</v>
      </c>
      <c r="F2384" s="300">
        <f t="shared" ref="F2384:F2385" si="2594">E2384*D2384</f>
        <v>42</v>
      </c>
      <c r="G2384" s="302">
        <f>(0.25+0.45)*2+17*0.008*2</f>
        <v>1.67</v>
      </c>
      <c r="H2384" s="310" t="str">
        <f t="shared" si="2587"/>
        <v/>
      </c>
      <c r="I2384" s="311">
        <f t="shared" si="2588"/>
        <v>70.14</v>
      </c>
      <c r="J2384" s="311" t="str">
        <f t="shared" si="2589"/>
        <v/>
      </c>
      <c r="K2384" s="311" t="str">
        <f t="shared" si="2590"/>
        <v/>
      </c>
      <c r="L2384" s="310" t="str">
        <f t="shared" si="2591"/>
        <v/>
      </c>
      <c r="M2384" s="310" t="str">
        <f t="shared" si="2592"/>
        <v/>
      </c>
      <c r="N2384" s="311" t="str">
        <f t="shared" si="2593"/>
        <v/>
      </c>
    </row>
    <row r="2385" spans="1:14" s="294" customFormat="1">
      <c r="A2385" s="297" t="s">
        <v>1517</v>
      </c>
      <c r="B2385" s="301"/>
      <c r="C2385" s="299" t="s">
        <v>1496</v>
      </c>
      <c r="D2385" s="299">
        <v>1</v>
      </c>
      <c r="E2385" s="300">
        <f>42*2</f>
        <v>84</v>
      </c>
      <c r="F2385" s="300">
        <f t="shared" si="2594"/>
        <v>84</v>
      </c>
      <c r="G2385" s="302">
        <f>(0.45*2)+17*0.008*2</f>
        <v>1.17</v>
      </c>
      <c r="H2385" s="310" t="str">
        <f t="shared" si="2587"/>
        <v/>
      </c>
      <c r="I2385" s="311">
        <f t="shared" si="2588"/>
        <v>98.28</v>
      </c>
      <c r="J2385" s="311" t="str">
        <f t="shared" si="2589"/>
        <v/>
      </c>
      <c r="K2385" s="311" t="str">
        <f t="shared" si="2590"/>
        <v/>
      </c>
      <c r="L2385" s="310" t="str">
        <f t="shared" si="2591"/>
        <v/>
      </c>
      <c r="M2385" s="310" t="str">
        <f t="shared" si="2592"/>
        <v/>
      </c>
      <c r="N2385" s="311" t="str">
        <f t="shared" si="2593"/>
        <v/>
      </c>
    </row>
    <row r="2386" spans="1:14">
      <c r="A2386" s="297" t="s">
        <v>1518</v>
      </c>
      <c r="B2386" s="254"/>
      <c r="C2386" s="299" t="s">
        <v>1498</v>
      </c>
      <c r="D2386" s="299">
        <v>1</v>
      </c>
      <c r="E2386" s="300">
        <v>8</v>
      </c>
      <c r="F2386" s="300">
        <f>E2386*D2386</f>
        <v>8</v>
      </c>
      <c r="G2386" s="302">
        <v>4</v>
      </c>
      <c r="H2386" s="310" t="str">
        <f t="shared" si="2587"/>
        <v/>
      </c>
      <c r="I2386" s="311" t="str">
        <f t="shared" si="2588"/>
        <v/>
      </c>
      <c r="J2386" s="311" t="str">
        <f t="shared" si="2589"/>
        <v/>
      </c>
      <c r="K2386" s="311" t="str">
        <f t="shared" si="2590"/>
        <v/>
      </c>
      <c r="L2386" s="310" t="str">
        <f t="shared" si="2591"/>
        <v/>
      </c>
      <c r="M2386" s="310">
        <f t="shared" si="2592"/>
        <v>32</v>
      </c>
      <c r="N2386" s="311" t="str">
        <f t="shared" si="2593"/>
        <v/>
      </c>
    </row>
    <row r="2387" spans="1:14">
      <c r="A2387" s="297"/>
      <c r="B2387" s="254"/>
      <c r="C2387" s="299" t="s">
        <v>1498</v>
      </c>
      <c r="D2387" s="299">
        <v>1</v>
      </c>
      <c r="E2387" s="300">
        <v>8</v>
      </c>
      <c r="F2387" s="300">
        <f>E2387*D2387</f>
        <v>8</v>
      </c>
      <c r="G2387" s="302">
        <v>2.5</v>
      </c>
      <c r="H2387" s="310" t="str">
        <f t="shared" si="2587"/>
        <v/>
      </c>
      <c r="I2387" s="311" t="str">
        <f t="shared" si="2588"/>
        <v/>
      </c>
      <c r="J2387" s="311" t="str">
        <f t="shared" si="2589"/>
        <v/>
      </c>
      <c r="K2387" s="311" t="str">
        <f t="shared" si="2590"/>
        <v/>
      </c>
      <c r="L2387" s="310" t="str">
        <f t="shared" si="2591"/>
        <v/>
      </c>
      <c r="M2387" s="310">
        <f t="shared" si="2592"/>
        <v>20</v>
      </c>
      <c r="N2387" s="311" t="str">
        <f t="shared" si="2593"/>
        <v/>
      </c>
    </row>
    <row r="2388" spans="1:14">
      <c r="A2388" s="297"/>
      <c r="B2388" s="254"/>
      <c r="C2388" s="299" t="s">
        <v>1498</v>
      </c>
      <c r="D2388" s="299">
        <v>1</v>
      </c>
      <c r="E2388" s="300">
        <v>4</v>
      </c>
      <c r="F2388" s="300">
        <f>E2388*D2388</f>
        <v>4</v>
      </c>
      <c r="G2388" s="302">
        <v>2.4</v>
      </c>
      <c r="H2388" s="310" t="str">
        <f t="shared" si="2587"/>
        <v/>
      </c>
      <c r="I2388" s="311" t="str">
        <f t="shared" si="2588"/>
        <v/>
      </c>
      <c r="J2388" s="311" t="str">
        <f t="shared" si="2589"/>
        <v/>
      </c>
      <c r="K2388" s="311" t="str">
        <f t="shared" si="2590"/>
        <v/>
      </c>
      <c r="L2388" s="310" t="str">
        <f t="shared" si="2591"/>
        <v/>
      </c>
      <c r="M2388" s="310">
        <f t="shared" si="2592"/>
        <v>9.6</v>
      </c>
      <c r="N2388" s="311" t="str">
        <f t="shared" si="2593"/>
        <v/>
      </c>
    </row>
    <row r="2389" spans="1:14" ht="16.5">
      <c r="A2389" s="303"/>
      <c r="B2389" s="254"/>
      <c r="C2389" s="299"/>
      <c r="D2389" s="299"/>
      <c r="E2389" s="300"/>
      <c r="F2389" s="300"/>
      <c r="G2389" s="302"/>
      <c r="H2389" s="310"/>
      <c r="I2389" s="311"/>
      <c r="J2389" s="311"/>
      <c r="K2389" s="311"/>
      <c r="L2389" s="310"/>
      <c r="M2389" s="310"/>
      <c r="N2389" s="311"/>
    </row>
    <row r="2390" spans="1:14" ht="16.5">
      <c r="A2390" s="303" t="s">
        <v>1480</v>
      </c>
      <c r="B2390" s="254"/>
      <c r="C2390" s="299"/>
      <c r="D2390" s="299"/>
      <c r="E2390" s="300"/>
      <c r="F2390" s="300"/>
      <c r="G2390" s="302"/>
      <c r="H2390" s="310"/>
      <c r="I2390" s="311"/>
      <c r="J2390" s="311"/>
      <c r="K2390" s="311"/>
      <c r="L2390" s="310"/>
      <c r="M2390" s="310"/>
      <c r="N2390" s="311"/>
    </row>
    <row r="2391" spans="1:14" s="294" customFormat="1">
      <c r="A2391" s="297" t="s">
        <v>1515</v>
      </c>
      <c r="B2391" s="298"/>
      <c r="C2391" s="299" t="s">
        <v>1498</v>
      </c>
      <c r="D2391" s="299">
        <v>1</v>
      </c>
      <c r="E2391" s="300">
        <v>4</v>
      </c>
      <c r="F2391" s="300">
        <f>E2391*D2391</f>
        <v>4</v>
      </c>
      <c r="G2391" s="302">
        <f>1.3+17*0.016*2</f>
        <v>1.84</v>
      </c>
      <c r="H2391" s="310" t="str">
        <f t="shared" ref="H2391:H2398" si="2595">IF(C2391="T6",G2391*F2391,"")</f>
        <v/>
      </c>
      <c r="I2391" s="311" t="str">
        <f t="shared" ref="I2391:I2398" si="2596">IF(C2391="T8",F2391*G2391,"")</f>
        <v/>
      </c>
      <c r="J2391" s="311" t="str">
        <f t="shared" ref="J2391:J2398" si="2597">IF(C2391="T10",F2391*G2391,"")</f>
        <v/>
      </c>
      <c r="K2391" s="311" t="str">
        <f t="shared" ref="K2391:K2398" si="2598">IF(C2391="T12",F2391*G2391,"")</f>
        <v/>
      </c>
      <c r="L2391" s="310" t="str">
        <f t="shared" ref="L2391:L2398" si="2599">IF(C2391="T14",F2391*G2391,"")</f>
        <v/>
      </c>
      <c r="M2391" s="310">
        <f t="shared" ref="M2391:M2398" si="2600">IF(C2391="T16",G2391*F2391,"")</f>
        <v>7.36</v>
      </c>
      <c r="N2391" s="311" t="str">
        <f t="shared" ref="N2391:N2398" si="2601">IF(C2391="T20",G2391*F2391,"")</f>
        <v/>
      </c>
    </row>
    <row r="2392" spans="1:14" s="294" customFormat="1">
      <c r="A2392" s="297" t="s">
        <v>1515</v>
      </c>
      <c r="B2392" s="298"/>
      <c r="C2392" s="299" t="s">
        <v>1492</v>
      </c>
      <c r="D2392" s="299">
        <v>1</v>
      </c>
      <c r="E2392" s="300">
        <v>4</v>
      </c>
      <c r="F2392" s="300">
        <f>E2392*D2392</f>
        <v>4</v>
      </c>
      <c r="G2392" s="302">
        <f>(1.3)+17*0.014*2</f>
        <v>1.78</v>
      </c>
      <c r="H2392" s="310" t="str">
        <f t="shared" si="2595"/>
        <v/>
      </c>
      <c r="I2392" s="311" t="str">
        <f t="shared" si="2596"/>
        <v/>
      </c>
      <c r="J2392" s="311" t="str">
        <f t="shared" si="2597"/>
        <v/>
      </c>
      <c r="K2392" s="311" t="str">
        <f t="shared" si="2598"/>
        <v/>
      </c>
      <c r="L2392" s="310">
        <f t="shared" si="2599"/>
        <v>7.12</v>
      </c>
      <c r="M2392" s="310" t="str">
        <f t="shared" si="2600"/>
        <v/>
      </c>
      <c r="N2392" s="311" t="str">
        <f t="shared" si="2601"/>
        <v/>
      </c>
    </row>
    <row r="2393" spans="1:14" s="294" customFormat="1">
      <c r="A2393" s="297"/>
      <c r="B2393" s="298"/>
      <c r="C2393" s="299" t="s">
        <v>1516</v>
      </c>
      <c r="D2393" s="299">
        <v>1</v>
      </c>
      <c r="E2393" s="300">
        <v>4</v>
      </c>
      <c r="F2393" s="300">
        <f>E2393*D2393</f>
        <v>4</v>
      </c>
      <c r="G2393" s="302">
        <v>1.3</v>
      </c>
      <c r="H2393" s="310" t="str">
        <f t="shared" si="2595"/>
        <v/>
      </c>
      <c r="I2393" s="311" t="str">
        <f t="shared" si="2596"/>
        <v/>
      </c>
      <c r="J2393" s="311" t="str">
        <f t="shared" si="2597"/>
        <v/>
      </c>
      <c r="K2393" s="311">
        <f t="shared" si="2598"/>
        <v>5.2</v>
      </c>
      <c r="L2393" s="310" t="str">
        <f t="shared" si="2599"/>
        <v/>
      </c>
      <c r="M2393" s="310" t="str">
        <f t="shared" si="2600"/>
        <v/>
      </c>
      <c r="N2393" s="311" t="str">
        <f t="shared" si="2601"/>
        <v/>
      </c>
    </row>
    <row r="2394" spans="1:14" s="294" customFormat="1">
      <c r="A2394" s="297" t="s">
        <v>1494</v>
      </c>
      <c r="B2394" s="301"/>
      <c r="C2394" s="299" t="s">
        <v>1496</v>
      </c>
      <c r="D2394" s="299">
        <v>1</v>
      </c>
      <c r="E2394" s="300">
        <f>6+6+20</f>
        <v>32</v>
      </c>
      <c r="F2394" s="300">
        <f t="shared" ref="F2394:F2395" si="2602">E2394*D2394</f>
        <v>32</v>
      </c>
      <c r="G2394" s="302">
        <f>(0.25+0.45)*2+17*0.008*2</f>
        <v>1.67</v>
      </c>
      <c r="H2394" s="310" t="str">
        <f t="shared" si="2595"/>
        <v/>
      </c>
      <c r="I2394" s="311">
        <f t="shared" si="2596"/>
        <v>53.44</v>
      </c>
      <c r="J2394" s="311" t="str">
        <f t="shared" si="2597"/>
        <v/>
      </c>
      <c r="K2394" s="311" t="str">
        <f t="shared" si="2598"/>
        <v/>
      </c>
      <c r="L2394" s="310" t="str">
        <f t="shared" si="2599"/>
        <v/>
      </c>
      <c r="M2394" s="310" t="str">
        <f t="shared" si="2600"/>
        <v/>
      </c>
      <c r="N2394" s="311" t="str">
        <f t="shared" si="2601"/>
        <v/>
      </c>
    </row>
    <row r="2395" spans="1:14" s="294" customFormat="1">
      <c r="A2395" s="297" t="s">
        <v>1517</v>
      </c>
      <c r="B2395" s="301"/>
      <c r="C2395" s="299" t="s">
        <v>1496</v>
      </c>
      <c r="D2395" s="299">
        <v>1</v>
      </c>
      <c r="E2395" s="300">
        <f>32*2</f>
        <v>64</v>
      </c>
      <c r="F2395" s="300">
        <f t="shared" si="2602"/>
        <v>64</v>
      </c>
      <c r="G2395" s="302">
        <f>(0.45*2)+17*0.008*2</f>
        <v>1.17</v>
      </c>
      <c r="H2395" s="310" t="str">
        <f t="shared" si="2595"/>
        <v/>
      </c>
      <c r="I2395" s="311">
        <f t="shared" si="2596"/>
        <v>74.88</v>
      </c>
      <c r="J2395" s="311" t="str">
        <f t="shared" si="2597"/>
        <v/>
      </c>
      <c r="K2395" s="311" t="str">
        <f t="shared" si="2598"/>
        <v/>
      </c>
      <c r="L2395" s="310" t="str">
        <f t="shared" si="2599"/>
        <v/>
      </c>
      <c r="M2395" s="310" t="str">
        <f t="shared" si="2600"/>
        <v/>
      </c>
      <c r="N2395" s="311" t="str">
        <f t="shared" si="2601"/>
        <v/>
      </c>
    </row>
    <row r="2396" spans="1:14">
      <c r="A2396" s="297" t="s">
        <v>1518</v>
      </c>
      <c r="B2396" s="254"/>
      <c r="C2396" s="299" t="s">
        <v>1498</v>
      </c>
      <c r="D2396" s="299">
        <v>1</v>
      </c>
      <c r="E2396" s="300">
        <v>4</v>
      </c>
      <c r="F2396" s="300">
        <f>E2396*D2396</f>
        <v>4</v>
      </c>
      <c r="G2396" s="302">
        <v>2.5</v>
      </c>
      <c r="H2396" s="310" t="str">
        <f t="shared" si="2595"/>
        <v/>
      </c>
      <c r="I2396" s="311" t="str">
        <f t="shared" si="2596"/>
        <v/>
      </c>
      <c r="J2396" s="311" t="str">
        <f t="shared" si="2597"/>
        <v/>
      </c>
      <c r="K2396" s="311" t="str">
        <f t="shared" si="2598"/>
        <v/>
      </c>
      <c r="L2396" s="310" t="str">
        <f t="shared" si="2599"/>
        <v/>
      </c>
      <c r="M2396" s="310">
        <f t="shared" si="2600"/>
        <v>10</v>
      </c>
      <c r="N2396" s="311" t="str">
        <f t="shared" si="2601"/>
        <v/>
      </c>
    </row>
    <row r="2397" spans="1:14">
      <c r="A2397" s="297"/>
      <c r="B2397" s="254"/>
      <c r="C2397" s="299" t="s">
        <v>1498</v>
      </c>
      <c r="D2397" s="299">
        <v>1</v>
      </c>
      <c r="E2397" s="300">
        <v>8</v>
      </c>
      <c r="F2397" s="300">
        <f>E2397*D2397</f>
        <v>8</v>
      </c>
      <c r="G2397" s="302">
        <v>3.5</v>
      </c>
      <c r="H2397" s="310" t="str">
        <f t="shared" si="2595"/>
        <v/>
      </c>
      <c r="I2397" s="311" t="str">
        <f t="shared" si="2596"/>
        <v/>
      </c>
      <c r="J2397" s="311" t="str">
        <f t="shared" si="2597"/>
        <v/>
      </c>
      <c r="K2397" s="311" t="str">
        <f t="shared" si="2598"/>
        <v/>
      </c>
      <c r="L2397" s="310" t="str">
        <f t="shared" si="2599"/>
        <v/>
      </c>
      <c r="M2397" s="310">
        <f t="shared" si="2600"/>
        <v>28</v>
      </c>
      <c r="N2397" s="311" t="str">
        <f t="shared" si="2601"/>
        <v/>
      </c>
    </row>
    <row r="2398" spans="1:14">
      <c r="A2398" s="297"/>
      <c r="B2398" s="254"/>
      <c r="C2398" s="299" t="s">
        <v>1498</v>
      </c>
      <c r="D2398" s="299">
        <v>1</v>
      </c>
      <c r="E2398" s="300">
        <v>4</v>
      </c>
      <c r="F2398" s="300">
        <f>E2398*D2398</f>
        <v>4</v>
      </c>
      <c r="G2398" s="302">
        <v>1</v>
      </c>
      <c r="H2398" s="310" t="str">
        <f t="shared" si="2595"/>
        <v/>
      </c>
      <c r="I2398" s="311" t="str">
        <f t="shared" si="2596"/>
        <v/>
      </c>
      <c r="J2398" s="311" t="str">
        <f t="shared" si="2597"/>
        <v/>
      </c>
      <c r="K2398" s="311" t="str">
        <f t="shared" si="2598"/>
        <v/>
      </c>
      <c r="L2398" s="310" t="str">
        <f t="shared" si="2599"/>
        <v/>
      </c>
      <c r="M2398" s="310">
        <f t="shared" si="2600"/>
        <v>4</v>
      </c>
      <c r="N2398" s="311" t="str">
        <f t="shared" si="2601"/>
        <v/>
      </c>
    </row>
    <row r="2399" spans="1:14" ht="16.5">
      <c r="A2399" s="303"/>
      <c r="B2399" s="254"/>
      <c r="C2399" s="299"/>
      <c r="D2399" s="299"/>
      <c r="E2399" s="300"/>
      <c r="F2399" s="300"/>
      <c r="G2399" s="302"/>
      <c r="H2399" s="310"/>
      <c r="I2399" s="311"/>
      <c r="J2399" s="311"/>
      <c r="K2399" s="311"/>
      <c r="L2399" s="310"/>
      <c r="M2399" s="310"/>
      <c r="N2399" s="311"/>
    </row>
    <row r="2400" spans="1:14" ht="16.5">
      <c r="A2400" s="303" t="s">
        <v>1481</v>
      </c>
      <c r="B2400" s="254"/>
      <c r="C2400" s="299"/>
      <c r="D2400" s="299"/>
      <c r="E2400" s="300"/>
      <c r="F2400" s="300"/>
      <c r="G2400" s="302"/>
      <c r="H2400" s="310"/>
      <c r="I2400" s="311"/>
      <c r="J2400" s="311"/>
      <c r="K2400" s="311"/>
      <c r="L2400" s="310"/>
      <c r="M2400" s="310"/>
      <c r="N2400" s="311"/>
    </row>
    <row r="2401" spans="1:14" s="294" customFormat="1">
      <c r="A2401" s="297" t="s">
        <v>1515</v>
      </c>
      <c r="B2401" s="298"/>
      <c r="C2401" s="299" t="s">
        <v>1492</v>
      </c>
      <c r="D2401" s="299">
        <v>1</v>
      </c>
      <c r="E2401" s="300">
        <v>4</v>
      </c>
      <c r="F2401" s="300">
        <f>E2401*D2401</f>
        <v>4</v>
      </c>
      <c r="G2401" s="302">
        <f>4+17*0.014*2</f>
        <v>4.4800000000000004</v>
      </c>
      <c r="H2401" s="310" t="str">
        <f t="shared" ref="H2401:H2408" si="2603">IF(C2401="T6",G2401*F2401,"")</f>
        <v/>
      </c>
      <c r="I2401" s="311" t="str">
        <f t="shared" ref="I2401:I2408" si="2604">IF(C2401="T8",F2401*G2401,"")</f>
        <v/>
      </c>
      <c r="J2401" s="311" t="str">
        <f t="shared" ref="J2401:J2408" si="2605">IF(C2401="T10",F2401*G2401,"")</f>
        <v/>
      </c>
      <c r="K2401" s="311" t="str">
        <f t="shared" ref="K2401:K2408" si="2606">IF(C2401="T12",F2401*G2401,"")</f>
        <v/>
      </c>
      <c r="L2401" s="310">
        <f t="shared" ref="L2401:L2408" si="2607">IF(C2401="T14",F2401*G2401,"")</f>
        <v>17.920000000000002</v>
      </c>
      <c r="M2401" s="310" t="str">
        <f t="shared" ref="M2401:M2408" si="2608">IF(C2401="T16",G2401*F2401,"")</f>
        <v/>
      </c>
      <c r="N2401" s="311" t="str">
        <f t="shared" ref="N2401:N2408" si="2609">IF(C2401="T20",G2401*F2401,"")</f>
        <v/>
      </c>
    </row>
    <row r="2402" spans="1:14" s="294" customFormat="1">
      <c r="A2402" s="297" t="s">
        <v>1515</v>
      </c>
      <c r="B2402" s="298"/>
      <c r="C2402" s="299" t="s">
        <v>1521</v>
      </c>
      <c r="D2402" s="299">
        <v>1</v>
      </c>
      <c r="E2402" s="300">
        <v>4</v>
      </c>
      <c r="F2402" s="300">
        <f>E2402*D2402</f>
        <v>4</v>
      </c>
      <c r="G2402" s="302">
        <f>(4)+17*0.02*2</f>
        <v>4.68</v>
      </c>
      <c r="H2402" s="310" t="str">
        <f t="shared" si="2603"/>
        <v/>
      </c>
      <c r="I2402" s="311" t="str">
        <f t="shared" si="2604"/>
        <v/>
      </c>
      <c r="J2402" s="311" t="str">
        <f t="shared" si="2605"/>
        <v/>
      </c>
      <c r="K2402" s="311" t="str">
        <f t="shared" si="2606"/>
        <v/>
      </c>
      <c r="L2402" s="310" t="str">
        <f t="shared" si="2607"/>
        <v/>
      </c>
      <c r="M2402" s="310" t="str">
        <f t="shared" si="2608"/>
        <v/>
      </c>
      <c r="N2402" s="311">
        <f t="shared" si="2609"/>
        <v>18.72</v>
      </c>
    </row>
    <row r="2403" spans="1:14" s="294" customFormat="1">
      <c r="A2403" s="297"/>
      <c r="B2403" s="298"/>
      <c r="C2403" s="299" t="s">
        <v>1516</v>
      </c>
      <c r="D2403" s="299">
        <v>1</v>
      </c>
      <c r="E2403" s="300">
        <v>2</v>
      </c>
      <c r="F2403" s="300">
        <f>E2403*D2403</f>
        <v>2</v>
      </c>
      <c r="G2403" s="302">
        <v>4</v>
      </c>
      <c r="H2403" s="310" t="str">
        <f t="shared" si="2603"/>
        <v/>
      </c>
      <c r="I2403" s="311" t="str">
        <f t="shared" si="2604"/>
        <v/>
      </c>
      <c r="J2403" s="311" t="str">
        <f t="shared" si="2605"/>
        <v/>
      </c>
      <c r="K2403" s="311">
        <f t="shared" si="2606"/>
        <v>8</v>
      </c>
      <c r="L2403" s="310" t="str">
        <f t="shared" si="2607"/>
        <v/>
      </c>
      <c r="M2403" s="310" t="str">
        <f t="shared" si="2608"/>
        <v/>
      </c>
      <c r="N2403" s="311" t="str">
        <f t="shared" si="2609"/>
        <v/>
      </c>
    </row>
    <row r="2404" spans="1:14" s="294" customFormat="1">
      <c r="A2404" s="297" t="s">
        <v>1494</v>
      </c>
      <c r="B2404" s="301"/>
      <c r="C2404" s="299" t="s">
        <v>1496</v>
      </c>
      <c r="D2404" s="299">
        <v>1</v>
      </c>
      <c r="E2404" s="300">
        <f>18+20+18</f>
        <v>56</v>
      </c>
      <c r="F2404" s="300">
        <f t="shared" ref="F2404:F2405" si="2610">E2404*D2404</f>
        <v>56</v>
      </c>
      <c r="G2404" s="302">
        <f>(0.25+0.55)*2+17*0.008*2</f>
        <v>1.87</v>
      </c>
      <c r="H2404" s="310" t="str">
        <f t="shared" si="2603"/>
        <v/>
      </c>
      <c r="I2404" s="311">
        <f t="shared" si="2604"/>
        <v>104.72</v>
      </c>
      <c r="J2404" s="311" t="str">
        <f t="shared" si="2605"/>
        <v/>
      </c>
      <c r="K2404" s="311" t="str">
        <f t="shared" si="2606"/>
        <v/>
      </c>
      <c r="L2404" s="310" t="str">
        <f t="shared" si="2607"/>
        <v/>
      </c>
      <c r="M2404" s="310" t="str">
        <f t="shared" si="2608"/>
        <v/>
      </c>
      <c r="N2404" s="311" t="str">
        <f t="shared" si="2609"/>
        <v/>
      </c>
    </row>
    <row r="2405" spans="1:14" s="294" customFormat="1">
      <c r="A2405" s="297" t="s">
        <v>1517</v>
      </c>
      <c r="B2405" s="301"/>
      <c r="C2405" s="299" t="s">
        <v>1496</v>
      </c>
      <c r="D2405" s="299">
        <v>1</v>
      </c>
      <c r="E2405" s="300">
        <f>56*2</f>
        <v>112</v>
      </c>
      <c r="F2405" s="300">
        <f t="shared" si="2610"/>
        <v>112</v>
      </c>
      <c r="G2405" s="302">
        <f>(0.55*2)+17*0.008*2</f>
        <v>1.37</v>
      </c>
      <c r="H2405" s="310" t="str">
        <f t="shared" si="2603"/>
        <v/>
      </c>
      <c r="I2405" s="311">
        <f t="shared" si="2604"/>
        <v>153.44</v>
      </c>
      <c r="J2405" s="311" t="str">
        <f t="shared" si="2605"/>
        <v/>
      </c>
      <c r="K2405" s="311" t="str">
        <f t="shared" si="2606"/>
        <v/>
      </c>
      <c r="L2405" s="310" t="str">
        <f t="shared" si="2607"/>
        <v/>
      </c>
      <c r="M2405" s="310" t="str">
        <f t="shared" si="2608"/>
        <v/>
      </c>
      <c r="N2405" s="311" t="str">
        <f t="shared" si="2609"/>
        <v/>
      </c>
    </row>
    <row r="2406" spans="1:14">
      <c r="A2406" s="297" t="s">
        <v>1518</v>
      </c>
      <c r="B2406" s="254"/>
      <c r="C2406" s="299" t="s">
        <v>1498</v>
      </c>
      <c r="D2406" s="299">
        <v>1</v>
      </c>
      <c r="E2406" s="300">
        <v>8</v>
      </c>
      <c r="F2406" s="300">
        <f>E2406*D2406</f>
        <v>8</v>
      </c>
      <c r="G2406" s="302">
        <v>3</v>
      </c>
      <c r="H2406" s="310" t="str">
        <f t="shared" si="2603"/>
        <v/>
      </c>
      <c r="I2406" s="311" t="str">
        <f t="shared" si="2604"/>
        <v/>
      </c>
      <c r="J2406" s="311" t="str">
        <f t="shared" si="2605"/>
        <v/>
      </c>
      <c r="K2406" s="311" t="str">
        <f t="shared" si="2606"/>
        <v/>
      </c>
      <c r="L2406" s="310" t="str">
        <f t="shared" si="2607"/>
        <v/>
      </c>
      <c r="M2406" s="310">
        <f t="shared" si="2608"/>
        <v>24</v>
      </c>
      <c r="N2406" s="311" t="str">
        <f t="shared" si="2609"/>
        <v/>
      </c>
    </row>
    <row r="2407" spans="1:14">
      <c r="A2407" s="297"/>
      <c r="B2407" s="254"/>
      <c r="C2407" s="299" t="s">
        <v>1498</v>
      </c>
      <c r="D2407" s="299">
        <v>1</v>
      </c>
      <c r="E2407" s="300">
        <v>8</v>
      </c>
      <c r="F2407" s="300">
        <f>E2407*D2407</f>
        <v>8</v>
      </c>
      <c r="G2407" s="302">
        <v>3.5</v>
      </c>
      <c r="H2407" s="310" t="str">
        <f t="shared" si="2603"/>
        <v/>
      </c>
      <c r="I2407" s="311" t="str">
        <f t="shared" si="2604"/>
        <v/>
      </c>
      <c r="J2407" s="311" t="str">
        <f t="shared" si="2605"/>
        <v/>
      </c>
      <c r="K2407" s="311" t="str">
        <f t="shared" si="2606"/>
        <v/>
      </c>
      <c r="L2407" s="310" t="str">
        <f t="shared" si="2607"/>
        <v/>
      </c>
      <c r="M2407" s="310">
        <f t="shared" si="2608"/>
        <v>28</v>
      </c>
      <c r="N2407" s="311" t="str">
        <f t="shared" si="2609"/>
        <v/>
      </c>
    </row>
    <row r="2408" spans="1:14">
      <c r="A2408" s="297"/>
      <c r="B2408" s="254"/>
      <c r="C2408" s="299" t="s">
        <v>1521</v>
      </c>
      <c r="D2408" s="299">
        <v>1</v>
      </c>
      <c r="E2408" s="300">
        <v>4</v>
      </c>
      <c r="F2408" s="300">
        <f>E2408*D2408</f>
        <v>4</v>
      </c>
      <c r="G2408" s="302">
        <v>3.6</v>
      </c>
      <c r="H2408" s="310" t="str">
        <f t="shared" si="2603"/>
        <v/>
      </c>
      <c r="I2408" s="311" t="str">
        <f t="shared" si="2604"/>
        <v/>
      </c>
      <c r="J2408" s="311" t="str">
        <f t="shared" si="2605"/>
        <v/>
      </c>
      <c r="K2408" s="311" t="str">
        <f t="shared" si="2606"/>
        <v/>
      </c>
      <c r="L2408" s="310" t="str">
        <f t="shared" si="2607"/>
        <v/>
      </c>
      <c r="M2408" s="310" t="str">
        <f t="shared" si="2608"/>
        <v/>
      </c>
      <c r="N2408" s="311">
        <f t="shared" si="2609"/>
        <v>14.4</v>
      </c>
    </row>
    <row r="2409" spans="1:14">
      <c r="A2409" s="297"/>
      <c r="B2409" s="254"/>
      <c r="C2409" s="299" t="s">
        <v>1498</v>
      </c>
      <c r="D2409" s="299">
        <v>1</v>
      </c>
      <c r="E2409" s="300">
        <v>2</v>
      </c>
      <c r="F2409" s="300">
        <f>E2409*D2409</f>
        <v>2</v>
      </c>
      <c r="G2409" s="302">
        <v>3.5</v>
      </c>
      <c r="H2409" s="310" t="str">
        <f t="shared" ref="H2409" si="2611">IF(C2409="T6",G2409*F2409,"")</f>
        <v/>
      </c>
      <c r="I2409" s="311" t="str">
        <f t="shared" ref="I2409" si="2612">IF(C2409="T8",F2409*G2409,"")</f>
        <v/>
      </c>
      <c r="J2409" s="311" t="str">
        <f t="shared" ref="J2409" si="2613">IF(C2409="T10",F2409*G2409,"")</f>
        <v/>
      </c>
      <c r="K2409" s="311" t="str">
        <f t="shared" ref="K2409" si="2614">IF(C2409="T12",F2409*G2409,"")</f>
        <v/>
      </c>
      <c r="L2409" s="310" t="str">
        <f t="shared" ref="L2409" si="2615">IF(C2409="T14",F2409*G2409,"")</f>
        <v/>
      </c>
      <c r="M2409" s="310">
        <f t="shared" ref="M2409" si="2616">IF(C2409="T16",G2409*F2409,"")</f>
        <v>7</v>
      </c>
      <c r="N2409" s="311" t="str">
        <f t="shared" ref="N2409" si="2617">IF(C2409="T20",G2409*F2409,"")</f>
        <v/>
      </c>
    </row>
    <row r="2410" spans="1:14" ht="16.5">
      <c r="A2410" s="303"/>
      <c r="B2410" s="254"/>
      <c r="C2410" s="299"/>
      <c r="D2410" s="299"/>
      <c r="E2410" s="300"/>
      <c r="F2410" s="300"/>
      <c r="G2410" s="302"/>
      <c r="H2410" s="310"/>
      <c r="I2410" s="311"/>
      <c r="J2410" s="311"/>
      <c r="K2410" s="311"/>
      <c r="L2410" s="310"/>
      <c r="M2410" s="310"/>
      <c r="N2410" s="311"/>
    </row>
    <row r="2411" spans="1:14" ht="16.5">
      <c r="A2411" s="303" t="s">
        <v>1482</v>
      </c>
      <c r="B2411" s="254"/>
      <c r="C2411" s="299"/>
      <c r="D2411" s="299"/>
      <c r="E2411" s="300"/>
      <c r="F2411" s="300"/>
      <c r="G2411" s="302"/>
      <c r="H2411" s="310"/>
      <c r="I2411" s="311"/>
      <c r="J2411" s="311"/>
      <c r="K2411" s="311"/>
      <c r="L2411" s="310"/>
      <c r="M2411" s="310"/>
      <c r="N2411" s="311"/>
    </row>
    <row r="2412" spans="1:14" s="294" customFormat="1">
      <c r="A2412" s="297" t="s">
        <v>1515</v>
      </c>
      <c r="B2412" s="298"/>
      <c r="C2412" s="299" t="s">
        <v>1492</v>
      </c>
      <c r="D2412" s="299">
        <v>1</v>
      </c>
      <c r="E2412" s="300">
        <v>4</v>
      </c>
      <c r="F2412" s="300">
        <f>E2412*D2412</f>
        <v>4</v>
      </c>
      <c r="G2412" s="302">
        <f>5.65+17*0.014*2</f>
        <v>6.13</v>
      </c>
      <c r="H2412" s="310" t="str">
        <f t="shared" ref="H2412:H2419" si="2618">IF(C2412="T6",G2412*F2412,"")</f>
        <v/>
      </c>
      <c r="I2412" s="311" t="str">
        <f t="shared" ref="I2412:I2419" si="2619">IF(C2412="T8",F2412*G2412,"")</f>
        <v/>
      </c>
      <c r="J2412" s="311" t="str">
        <f t="shared" ref="J2412:J2419" si="2620">IF(C2412="T10",F2412*G2412,"")</f>
        <v/>
      </c>
      <c r="K2412" s="311" t="str">
        <f t="shared" ref="K2412:K2419" si="2621">IF(C2412="T12",F2412*G2412,"")</f>
        <v/>
      </c>
      <c r="L2412" s="310">
        <f t="shared" ref="L2412:L2419" si="2622">IF(C2412="T14",F2412*G2412,"")</f>
        <v>24.52</v>
      </c>
      <c r="M2412" s="310" t="str">
        <f t="shared" ref="M2412:M2419" si="2623">IF(C2412="T16",G2412*F2412,"")</f>
        <v/>
      </c>
      <c r="N2412" s="311" t="str">
        <f t="shared" ref="N2412:N2419" si="2624">IF(C2412="T20",G2412*F2412,"")</f>
        <v/>
      </c>
    </row>
    <row r="2413" spans="1:14" s="294" customFormat="1">
      <c r="A2413" s="297" t="s">
        <v>1515</v>
      </c>
      <c r="B2413" s="298"/>
      <c r="C2413" s="299" t="s">
        <v>1521</v>
      </c>
      <c r="D2413" s="299">
        <v>1</v>
      </c>
      <c r="E2413" s="300">
        <v>4</v>
      </c>
      <c r="F2413" s="300">
        <f>E2413*D2413</f>
        <v>4</v>
      </c>
      <c r="G2413" s="302">
        <f>(5.65)+17*0.02*2</f>
        <v>6.33</v>
      </c>
      <c r="H2413" s="310" t="str">
        <f t="shared" si="2618"/>
        <v/>
      </c>
      <c r="I2413" s="311" t="str">
        <f t="shared" si="2619"/>
        <v/>
      </c>
      <c r="J2413" s="311" t="str">
        <f t="shared" si="2620"/>
        <v/>
      </c>
      <c r="K2413" s="311" t="str">
        <f t="shared" si="2621"/>
        <v/>
      </c>
      <c r="L2413" s="310" t="str">
        <f t="shared" si="2622"/>
        <v/>
      </c>
      <c r="M2413" s="310" t="str">
        <f t="shared" si="2623"/>
        <v/>
      </c>
      <c r="N2413" s="311">
        <f t="shared" si="2624"/>
        <v>25.32</v>
      </c>
    </row>
    <row r="2414" spans="1:14" s="294" customFormat="1">
      <c r="A2414" s="297"/>
      <c r="B2414" s="298"/>
      <c r="C2414" s="299" t="s">
        <v>1516</v>
      </c>
      <c r="D2414" s="299">
        <v>1</v>
      </c>
      <c r="E2414" s="300">
        <v>2</v>
      </c>
      <c r="F2414" s="300">
        <f>E2414*D2414</f>
        <v>2</v>
      </c>
      <c r="G2414" s="302">
        <v>5.65</v>
      </c>
      <c r="H2414" s="310" t="str">
        <f t="shared" si="2618"/>
        <v/>
      </c>
      <c r="I2414" s="311" t="str">
        <f t="shared" si="2619"/>
        <v/>
      </c>
      <c r="J2414" s="311" t="str">
        <f t="shared" si="2620"/>
        <v/>
      </c>
      <c r="K2414" s="311">
        <f t="shared" si="2621"/>
        <v>11.3</v>
      </c>
      <c r="L2414" s="310" t="str">
        <f t="shared" si="2622"/>
        <v/>
      </c>
      <c r="M2414" s="310" t="str">
        <f t="shared" si="2623"/>
        <v/>
      </c>
      <c r="N2414" s="311" t="str">
        <f t="shared" si="2624"/>
        <v/>
      </c>
    </row>
    <row r="2415" spans="1:14" s="294" customFormat="1">
      <c r="A2415" s="297" t="s">
        <v>1494</v>
      </c>
      <c r="B2415" s="301"/>
      <c r="C2415" s="299" t="s">
        <v>1496</v>
      </c>
      <c r="D2415" s="299">
        <v>1</v>
      </c>
      <c r="E2415" s="300">
        <f>20*3</f>
        <v>60</v>
      </c>
      <c r="F2415" s="300">
        <f t="shared" ref="F2415:F2416" si="2625">E2415*D2415</f>
        <v>60</v>
      </c>
      <c r="G2415" s="302">
        <f>(0.2+0.55)*2+17*0.008*2</f>
        <v>1.77</v>
      </c>
      <c r="H2415" s="310" t="str">
        <f t="shared" si="2618"/>
        <v/>
      </c>
      <c r="I2415" s="311">
        <f t="shared" si="2619"/>
        <v>106.2</v>
      </c>
      <c r="J2415" s="311" t="str">
        <f t="shared" si="2620"/>
        <v/>
      </c>
      <c r="K2415" s="311" t="str">
        <f t="shared" si="2621"/>
        <v/>
      </c>
      <c r="L2415" s="310" t="str">
        <f t="shared" si="2622"/>
        <v/>
      </c>
      <c r="M2415" s="310" t="str">
        <f t="shared" si="2623"/>
        <v/>
      </c>
      <c r="N2415" s="311" t="str">
        <f t="shared" si="2624"/>
        <v/>
      </c>
    </row>
    <row r="2416" spans="1:14" s="294" customFormat="1">
      <c r="A2416" s="297" t="s">
        <v>1517</v>
      </c>
      <c r="B2416" s="301"/>
      <c r="C2416" s="299" t="s">
        <v>1496</v>
      </c>
      <c r="D2416" s="299">
        <v>1</v>
      </c>
      <c r="E2416" s="300">
        <v>60</v>
      </c>
      <c r="F2416" s="300">
        <f t="shared" si="2625"/>
        <v>60</v>
      </c>
      <c r="G2416" s="302">
        <f>(0.55*2)+17*0.008*2</f>
        <v>1.37</v>
      </c>
      <c r="H2416" s="310" t="str">
        <f t="shared" si="2618"/>
        <v/>
      </c>
      <c r="I2416" s="311">
        <f t="shared" si="2619"/>
        <v>82.2</v>
      </c>
      <c r="J2416" s="311" t="str">
        <f t="shared" si="2620"/>
        <v/>
      </c>
      <c r="K2416" s="311" t="str">
        <f t="shared" si="2621"/>
        <v/>
      </c>
      <c r="L2416" s="310" t="str">
        <f t="shared" si="2622"/>
        <v/>
      </c>
      <c r="M2416" s="310" t="str">
        <f t="shared" si="2623"/>
        <v/>
      </c>
      <c r="N2416" s="311" t="str">
        <f t="shared" si="2624"/>
        <v/>
      </c>
    </row>
    <row r="2417" spans="1:14">
      <c r="A2417" s="297" t="s">
        <v>1518</v>
      </c>
      <c r="B2417" s="254"/>
      <c r="C2417" s="299" t="s">
        <v>1498</v>
      </c>
      <c r="D2417" s="299">
        <v>1</v>
      </c>
      <c r="E2417" s="300">
        <v>4</v>
      </c>
      <c r="F2417" s="300">
        <f>E2417*D2417</f>
        <v>4</v>
      </c>
      <c r="G2417" s="302">
        <v>3.5</v>
      </c>
      <c r="H2417" s="310" t="str">
        <f t="shared" si="2618"/>
        <v/>
      </c>
      <c r="I2417" s="311" t="str">
        <f t="shared" si="2619"/>
        <v/>
      </c>
      <c r="J2417" s="311" t="str">
        <f t="shared" si="2620"/>
        <v/>
      </c>
      <c r="K2417" s="311" t="str">
        <f t="shared" si="2621"/>
        <v/>
      </c>
      <c r="L2417" s="310" t="str">
        <f t="shared" si="2622"/>
        <v/>
      </c>
      <c r="M2417" s="310">
        <f t="shared" si="2623"/>
        <v>14</v>
      </c>
      <c r="N2417" s="311" t="str">
        <f t="shared" si="2624"/>
        <v/>
      </c>
    </row>
    <row r="2418" spans="1:14">
      <c r="A2418" s="297"/>
      <c r="B2418" s="254"/>
      <c r="C2418" s="299" t="s">
        <v>1498</v>
      </c>
      <c r="D2418" s="299">
        <v>1</v>
      </c>
      <c r="E2418" s="300">
        <v>4</v>
      </c>
      <c r="F2418" s="300">
        <f>E2418*D2418</f>
        <v>4</v>
      </c>
      <c r="G2418" s="302">
        <v>2.5</v>
      </c>
      <c r="H2418" s="310" t="str">
        <f t="shared" si="2618"/>
        <v/>
      </c>
      <c r="I2418" s="311" t="str">
        <f t="shared" si="2619"/>
        <v/>
      </c>
      <c r="J2418" s="311" t="str">
        <f t="shared" si="2620"/>
        <v/>
      </c>
      <c r="K2418" s="311" t="str">
        <f t="shared" si="2621"/>
        <v/>
      </c>
      <c r="L2418" s="310" t="str">
        <f t="shared" si="2622"/>
        <v/>
      </c>
      <c r="M2418" s="310">
        <f t="shared" si="2623"/>
        <v>10</v>
      </c>
      <c r="N2418" s="311" t="str">
        <f t="shared" si="2624"/>
        <v/>
      </c>
    </row>
    <row r="2419" spans="1:14">
      <c r="A2419" s="297"/>
      <c r="B2419" s="254"/>
      <c r="C2419" s="299" t="s">
        <v>1521</v>
      </c>
      <c r="D2419" s="299">
        <v>1</v>
      </c>
      <c r="E2419" s="300">
        <v>4</v>
      </c>
      <c r="F2419" s="300">
        <f>E2419*D2419</f>
        <v>4</v>
      </c>
      <c r="G2419" s="302">
        <v>5.25</v>
      </c>
      <c r="H2419" s="310" t="str">
        <f t="shared" si="2618"/>
        <v/>
      </c>
      <c r="I2419" s="311" t="str">
        <f t="shared" si="2619"/>
        <v/>
      </c>
      <c r="J2419" s="311" t="str">
        <f t="shared" si="2620"/>
        <v/>
      </c>
      <c r="K2419" s="311" t="str">
        <f t="shared" si="2621"/>
        <v/>
      </c>
      <c r="L2419" s="310" t="str">
        <f t="shared" si="2622"/>
        <v/>
      </c>
      <c r="M2419" s="310" t="str">
        <f t="shared" si="2623"/>
        <v/>
      </c>
      <c r="N2419" s="311">
        <f t="shared" si="2624"/>
        <v>21</v>
      </c>
    </row>
    <row r="2420" spans="1:14" ht="16.5">
      <c r="A2420" s="303"/>
      <c r="B2420" s="254"/>
      <c r="C2420" s="299"/>
      <c r="D2420" s="299"/>
      <c r="E2420" s="300"/>
      <c r="F2420" s="300"/>
      <c r="G2420" s="302"/>
      <c r="H2420" s="310"/>
      <c r="I2420" s="311"/>
      <c r="J2420" s="311"/>
      <c r="K2420" s="311"/>
      <c r="L2420" s="310"/>
      <c r="M2420" s="310"/>
      <c r="N2420" s="311"/>
    </row>
    <row r="2421" spans="1:14" ht="16.5">
      <c r="A2421" s="303" t="s">
        <v>1483</v>
      </c>
      <c r="B2421" s="254"/>
      <c r="C2421" s="299"/>
      <c r="D2421" s="299"/>
      <c r="E2421" s="300"/>
      <c r="F2421" s="300"/>
      <c r="G2421" s="302"/>
      <c r="H2421" s="310"/>
      <c r="I2421" s="311"/>
      <c r="J2421" s="311"/>
      <c r="K2421" s="311"/>
      <c r="L2421" s="310"/>
      <c r="M2421" s="310"/>
      <c r="N2421" s="311"/>
    </row>
    <row r="2422" spans="1:14" s="294" customFormat="1">
      <c r="A2422" s="297" t="s">
        <v>1515</v>
      </c>
      <c r="B2422" s="298"/>
      <c r="C2422" s="299" t="s">
        <v>1516</v>
      </c>
      <c r="D2422" s="299">
        <v>1</v>
      </c>
      <c r="E2422" s="300">
        <v>3</v>
      </c>
      <c r="F2422" s="300">
        <f>E2422*D2422</f>
        <v>3</v>
      </c>
      <c r="G2422" s="302">
        <f>5.85+17*0.01*2</f>
        <v>6.19</v>
      </c>
      <c r="H2422" s="310" t="str">
        <f t="shared" ref="H2422:H2429" si="2626">IF(C2422="T6",G2422*F2422,"")</f>
        <v/>
      </c>
      <c r="I2422" s="311" t="str">
        <f t="shared" ref="I2422:I2429" si="2627">IF(C2422="T8",F2422*G2422,"")</f>
        <v/>
      </c>
      <c r="J2422" s="311" t="str">
        <f t="shared" ref="J2422:J2429" si="2628">IF(C2422="T10",F2422*G2422,"")</f>
        <v/>
      </c>
      <c r="K2422" s="311">
        <f t="shared" ref="K2422:K2429" si="2629">IF(C2422="T12",F2422*G2422,"")</f>
        <v>18.57</v>
      </c>
      <c r="L2422" s="310" t="str">
        <f t="shared" ref="L2422:L2429" si="2630">IF(C2422="T14",F2422*G2422,"")</f>
        <v/>
      </c>
      <c r="M2422" s="310" t="str">
        <f t="shared" ref="M2422:M2429" si="2631">IF(C2422="T16",G2422*F2422,"")</f>
        <v/>
      </c>
      <c r="N2422" s="311" t="str">
        <f t="shared" ref="N2422:N2429" si="2632">IF(C2422="T20",G2422*F2422,"")</f>
        <v/>
      </c>
    </row>
    <row r="2423" spans="1:14" s="294" customFormat="1">
      <c r="A2423" s="297" t="s">
        <v>1515</v>
      </c>
      <c r="B2423" s="298"/>
      <c r="C2423" s="299" t="s">
        <v>1492</v>
      </c>
      <c r="D2423" s="299">
        <v>1</v>
      </c>
      <c r="E2423" s="300">
        <v>3</v>
      </c>
      <c r="F2423" s="300">
        <f>E2423*D2423</f>
        <v>3</v>
      </c>
      <c r="G2423" s="302">
        <f>(5.85)+17*0.014*2</f>
        <v>6.33</v>
      </c>
      <c r="H2423" s="310" t="str">
        <f t="shared" si="2626"/>
        <v/>
      </c>
      <c r="I2423" s="311" t="str">
        <f t="shared" si="2627"/>
        <v/>
      </c>
      <c r="J2423" s="311" t="str">
        <f t="shared" si="2628"/>
        <v/>
      </c>
      <c r="K2423" s="311" t="str">
        <f t="shared" si="2629"/>
        <v/>
      </c>
      <c r="L2423" s="310">
        <f t="shared" si="2630"/>
        <v>18.989999999999998</v>
      </c>
      <c r="M2423" s="310" t="str">
        <f t="shared" si="2631"/>
        <v/>
      </c>
      <c r="N2423" s="311" t="str">
        <f t="shared" si="2632"/>
        <v/>
      </c>
    </row>
    <row r="2424" spans="1:14" s="294" customFormat="1">
      <c r="A2424" s="297"/>
      <c r="B2424" s="298"/>
      <c r="C2424" s="299" t="s">
        <v>1519</v>
      </c>
      <c r="D2424" s="299">
        <v>1</v>
      </c>
      <c r="E2424" s="300">
        <v>3</v>
      </c>
      <c r="F2424" s="300">
        <f>E2424*D2424</f>
        <v>3</v>
      </c>
      <c r="G2424" s="302">
        <v>5.85</v>
      </c>
      <c r="H2424" s="310" t="str">
        <f t="shared" ref="H2424" si="2633">IF(C2424="T6",G2424*F2424,"")</f>
        <v/>
      </c>
      <c r="I2424" s="311" t="str">
        <f t="shared" ref="I2424" si="2634">IF(C2424="T8",F2424*G2424,"")</f>
        <v/>
      </c>
      <c r="J2424" s="311">
        <f t="shared" ref="J2424" si="2635">IF(C2424="T10",F2424*G2424,"")</f>
        <v>17.55</v>
      </c>
      <c r="K2424" s="311" t="str">
        <f t="shared" ref="K2424" si="2636">IF(C2424="T12",F2424*G2424,"")</f>
        <v/>
      </c>
      <c r="L2424" s="310" t="str">
        <f t="shared" ref="L2424" si="2637">IF(C2424="T14",F2424*G2424,"")</f>
        <v/>
      </c>
      <c r="M2424" s="310" t="str">
        <f t="shared" ref="M2424" si="2638">IF(C2424="T16",G2424*F2424,"")</f>
        <v/>
      </c>
      <c r="N2424" s="311" t="str">
        <f t="shared" ref="N2424" si="2639">IF(C2424="T20",G2424*F2424,"")</f>
        <v/>
      </c>
    </row>
    <row r="2425" spans="1:14" s="294" customFormat="1">
      <c r="A2425" s="297" t="s">
        <v>1494</v>
      </c>
      <c r="B2425" s="301"/>
      <c r="C2425" s="299" t="s">
        <v>1496</v>
      </c>
      <c r="D2425" s="299">
        <v>1</v>
      </c>
      <c r="E2425" s="300">
        <f>15+16+15</f>
        <v>46</v>
      </c>
      <c r="F2425" s="300">
        <f t="shared" ref="F2425:F2426" si="2640">E2425*D2425</f>
        <v>46</v>
      </c>
      <c r="G2425" s="302">
        <f>(0.2+0.55)*2+17*0.008*2</f>
        <v>1.77</v>
      </c>
      <c r="H2425" s="310" t="str">
        <f t="shared" si="2626"/>
        <v/>
      </c>
      <c r="I2425" s="311">
        <f t="shared" si="2627"/>
        <v>81.42</v>
      </c>
      <c r="J2425" s="311" t="str">
        <f t="shared" si="2628"/>
        <v/>
      </c>
      <c r="K2425" s="311" t="str">
        <f t="shared" si="2629"/>
        <v/>
      </c>
      <c r="L2425" s="310" t="str">
        <f t="shared" si="2630"/>
        <v/>
      </c>
      <c r="M2425" s="310" t="str">
        <f t="shared" si="2631"/>
        <v/>
      </c>
      <c r="N2425" s="311" t="str">
        <f t="shared" si="2632"/>
        <v/>
      </c>
    </row>
    <row r="2426" spans="1:14" s="294" customFormat="1">
      <c r="A2426" s="297" t="s">
        <v>1517</v>
      </c>
      <c r="B2426" s="301"/>
      <c r="C2426" s="299" t="s">
        <v>1496</v>
      </c>
      <c r="D2426" s="299">
        <v>1</v>
      </c>
      <c r="E2426" s="300">
        <v>46</v>
      </c>
      <c r="F2426" s="300">
        <f t="shared" si="2640"/>
        <v>46</v>
      </c>
      <c r="G2426" s="302">
        <f>(0.55*2)+17*0.008*2</f>
        <v>1.37</v>
      </c>
      <c r="H2426" s="310" t="str">
        <f t="shared" si="2626"/>
        <v/>
      </c>
      <c r="I2426" s="311">
        <f t="shared" si="2627"/>
        <v>63.02</v>
      </c>
      <c r="J2426" s="311" t="str">
        <f t="shared" si="2628"/>
        <v/>
      </c>
      <c r="K2426" s="311" t="str">
        <f t="shared" si="2629"/>
        <v/>
      </c>
      <c r="L2426" s="310" t="str">
        <f t="shared" si="2630"/>
        <v/>
      </c>
      <c r="M2426" s="310" t="str">
        <f t="shared" si="2631"/>
        <v/>
      </c>
      <c r="N2426" s="311" t="str">
        <f t="shared" si="2632"/>
        <v/>
      </c>
    </row>
    <row r="2427" spans="1:14">
      <c r="A2427" s="297" t="s">
        <v>1518</v>
      </c>
      <c r="B2427" s="254"/>
      <c r="C2427" s="299" t="s">
        <v>1492</v>
      </c>
      <c r="D2427" s="299">
        <v>1</v>
      </c>
      <c r="E2427" s="300">
        <v>3</v>
      </c>
      <c r="F2427" s="300">
        <f>E2427*D2427</f>
        <v>3</v>
      </c>
      <c r="G2427" s="302">
        <v>2.1</v>
      </c>
      <c r="H2427" s="310" t="str">
        <f t="shared" si="2626"/>
        <v/>
      </c>
      <c r="I2427" s="311" t="str">
        <f t="shared" si="2627"/>
        <v/>
      </c>
      <c r="J2427" s="311" t="str">
        <f t="shared" si="2628"/>
        <v/>
      </c>
      <c r="K2427" s="311" t="str">
        <f t="shared" si="2629"/>
        <v/>
      </c>
      <c r="L2427" s="310">
        <f t="shared" si="2630"/>
        <v>6.3</v>
      </c>
      <c r="M2427" s="310" t="str">
        <f t="shared" si="2631"/>
        <v/>
      </c>
      <c r="N2427" s="311" t="str">
        <f t="shared" si="2632"/>
        <v/>
      </c>
    </row>
    <row r="2428" spans="1:14">
      <c r="A2428" s="297"/>
      <c r="B2428" s="254"/>
      <c r="C2428" s="299" t="s">
        <v>1492</v>
      </c>
      <c r="D2428" s="299">
        <v>1</v>
      </c>
      <c r="E2428" s="300">
        <v>3</v>
      </c>
      <c r="F2428" s="300">
        <f>E2428*D2428</f>
        <v>3</v>
      </c>
      <c r="G2428" s="302">
        <v>3.2</v>
      </c>
      <c r="H2428" s="310" t="str">
        <f t="shared" si="2626"/>
        <v/>
      </c>
      <c r="I2428" s="311" t="str">
        <f t="shared" si="2627"/>
        <v/>
      </c>
      <c r="J2428" s="311" t="str">
        <f t="shared" si="2628"/>
        <v/>
      </c>
      <c r="K2428" s="311" t="str">
        <f t="shared" si="2629"/>
        <v/>
      </c>
      <c r="L2428" s="310">
        <f t="shared" si="2630"/>
        <v>9.6</v>
      </c>
      <c r="M2428" s="310" t="str">
        <f t="shared" si="2631"/>
        <v/>
      </c>
      <c r="N2428" s="311" t="str">
        <f t="shared" si="2632"/>
        <v/>
      </c>
    </row>
    <row r="2429" spans="1:14">
      <c r="A2429" s="297"/>
      <c r="B2429" s="254"/>
      <c r="C2429" s="299" t="s">
        <v>1492</v>
      </c>
      <c r="D2429" s="299">
        <v>1</v>
      </c>
      <c r="E2429" s="300">
        <v>3</v>
      </c>
      <c r="F2429" s="300">
        <f>E2429*D2429</f>
        <v>3</v>
      </c>
      <c r="G2429" s="302">
        <v>5.45</v>
      </c>
      <c r="H2429" s="310" t="str">
        <f t="shared" si="2626"/>
        <v/>
      </c>
      <c r="I2429" s="311" t="str">
        <f t="shared" si="2627"/>
        <v/>
      </c>
      <c r="J2429" s="311" t="str">
        <f t="shared" si="2628"/>
        <v/>
      </c>
      <c r="K2429" s="311" t="str">
        <f t="shared" si="2629"/>
        <v/>
      </c>
      <c r="L2429" s="310">
        <f t="shared" si="2630"/>
        <v>16.350000000000001</v>
      </c>
      <c r="M2429" s="310" t="str">
        <f t="shared" si="2631"/>
        <v/>
      </c>
      <c r="N2429" s="311" t="str">
        <f t="shared" si="2632"/>
        <v/>
      </c>
    </row>
    <row r="2430" spans="1:14" ht="16.5">
      <c r="A2430" s="303"/>
      <c r="B2430" s="254"/>
      <c r="C2430" s="299"/>
      <c r="D2430" s="299"/>
      <c r="E2430" s="300"/>
      <c r="F2430" s="300"/>
      <c r="G2430" s="302"/>
      <c r="H2430" s="310"/>
      <c r="I2430" s="311"/>
      <c r="J2430" s="311"/>
      <c r="K2430" s="311"/>
      <c r="L2430" s="310"/>
      <c r="M2430" s="310"/>
      <c r="N2430" s="311"/>
    </row>
    <row r="2431" spans="1:14" ht="16.5">
      <c r="A2431" s="303" t="s">
        <v>1484</v>
      </c>
      <c r="B2431" s="254"/>
      <c r="C2431" s="299"/>
      <c r="D2431" s="299"/>
      <c r="E2431" s="300"/>
      <c r="F2431" s="300"/>
      <c r="G2431" s="302"/>
      <c r="H2431" s="310"/>
      <c r="I2431" s="311"/>
      <c r="J2431" s="311"/>
      <c r="K2431" s="311"/>
      <c r="L2431" s="310"/>
      <c r="M2431" s="310"/>
      <c r="N2431" s="311"/>
    </row>
    <row r="2432" spans="1:14" s="294" customFormat="1">
      <c r="A2432" s="297" t="s">
        <v>1515</v>
      </c>
      <c r="B2432" s="298"/>
      <c r="C2432" s="299" t="s">
        <v>1519</v>
      </c>
      <c r="D2432" s="299">
        <v>1</v>
      </c>
      <c r="E2432" s="300">
        <v>3</v>
      </c>
      <c r="F2432" s="300">
        <f>E2432*D2432</f>
        <v>3</v>
      </c>
      <c r="G2432" s="302">
        <f>3.05+17*0.01*2</f>
        <v>3.39</v>
      </c>
      <c r="H2432" s="310" t="str">
        <f t="shared" ref="H2432:H2438" si="2641">IF(C2432="T6",G2432*F2432,"")</f>
        <v/>
      </c>
      <c r="I2432" s="311" t="str">
        <f t="shared" ref="I2432:I2438" si="2642">IF(C2432="T8",F2432*G2432,"")</f>
        <v/>
      </c>
      <c r="J2432" s="311">
        <f t="shared" ref="J2432:J2438" si="2643">IF(C2432="T10",F2432*G2432,"")</f>
        <v>10.17</v>
      </c>
      <c r="K2432" s="311" t="str">
        <f t="shared" ref="K2432:K2438" si="2644">IF(C2432="T12",F2432*G2432,"")</f>
        <v/>
      </c>
      <c r="L2432" s="310" t="str">
        <f t="shared" ref="L2432:L2438" si="2645">IF(C2432="T14",F2432*G2432,"")</f>
        <v/>
      </c>
      <c r="M2432" s="310" t="str">
        <f t="shared" ref="M2432:M2438" si="2646">IF(C2432="T16",G2432*F2432,"")</f>
        <v/>
      </c>
      <c r="N2432" s="311" t="str">
        <f t="shared" ref="N2432:N2438" si="2647">IF(C2432="T20",G2432*F2432,"")</f>
        <v/>
      </c>
    </row>
    <row r="2433" spans="1:14" s="294" customFormat="1">
      <c r="A2433" s="297" t="s">
        <v>1515</v>
      </c>
      <c r="B2433" s="298"/>
      <c r="C2433" s="299" t="s">
        <v>1492</v>
      </c>
      <c r="D2433" s="299">
        <v>1</v>
      </c>
      <c r="E2433" s="300">
        <v>3</v>
      </c>
      <c r="F2433" s="300">
        <f>E2433*D2433</f>
        <v>3</v>
      </c>
      <c r="G2433" s="302">
        <f>(3.05)+17*0.014*2</f>
        <v>3.53</v>
      </c>
      <c r="H2433" s="310" t="str">
        <f t="shared" si="2641"/>
        <v/>
      </c>
      <c r="I2433" s="311" t="str">
        <f t="shared" si="2642"/>
        <v/>
      </c>
      <c r="J2433" s="311" t="str">
        <f t="shared" si="2643"/>
        <v/>
      </c>
      <c r="K2433" s="311" t="str">
        <f t="shared" si="2644"/>
        <v/>
      </c>
      <c r="L2433" s="310">
        <f t="shared" si="2645"/>
        <v>10.59</v>
      </c>
      <c r="M2433" s="310" t="str">
        <f t="shared" si="2646"/>
        <v/>
      </c>
      <c r="N2433" s="311" t="str">
        <f t="shared" si="2647"/>
        <v/>
      </c>
    </row>
    <row r="2434" spans="1:14" s="294" customFormat="1">
      <c r="A2434" s="297" t="s">
        <v>1494</v>
      </c>
      <c r="B2434" s="301"/>
      <c r="C2434" s="299" t="s">
        <v>1496</v>
      </c>
      <c r="D2434" s="299">
        <v>1</v>
      </c>
      <c r="E2434" s="300">
        <f>10+12+10</f>
        <v>32</v>
      </c>
      <c r="F2434" s="300">
        <f t="shared" ref="F2434:F2435" si="2648">E2434*D2434</f>
        <v>32</v>
      </c>
      <c r="G2434" s="302">
        <f>(0.2+0.3)*2+17*0.008*2</f>
        <v>1.27</v>
      </c>
      <c r="H2434" s="310" t="str">
        <f t="shared" si="2641"/>
        <v/>
      </c>
      <c r="I2434" s="311">
        <f t="shared" si="2642"/>
        <v>40.64</v>
      </c>
      <c r="J2434" s="311" t="str">
        <f t="shared" si="2643"/>
        <v/>
      </c>
      <c r="K2434" s="311" t="str">
        <f t="shared" si="2644"/>
        <v/>
      </c>
      <c r="L2434" s="310" t="str">
        <f t="shared" si="2645"/>
        <v/>
      </c>
      <c r="M2434" s="310" t="str">
        <f t="shared" si="2646"/>
        <v/>
      </c>
      <c r="N2434" s="311" t="str">
        <f t="shared" si="2647"/>
        <v/>
      </c>
    </row>
    <row r="2435" spans="1:14" s="294" customFormat="1">
      <c r="A2435" s="297" t="s">
        <v>1517</v>
      </c>
      <c r="B2435" s="301"/>
      <c r="C2435" s="299" t="s">
        <v>1496</v>
      </c>
      <c r="D2435" s="299">
        <v>1</v>
      </c>
      <c r="E2435" s="300">
        <v>32</v>
      </c>
      <c r="F2435" s="300">
        <f t="shared" si="2648"/>
        <v>32</v>
      </c>
      <c r="G2435" s="302">
        <f>(0.3*2)+17*0.008*2</f>
        <v>0.87</v>
      </c>
      <c r="H2435" s="310" t="str">
        <f t="shared" si="2641"/>
        <v/>
      </c>
      <c r="I2435" s="311">
        <f t="shared" si="2642"/>
        <v>27.84</v>
      </c>
      <c r="J2435" s="311" t="str">
        <f t="shared" si="2643"/>
        <v/>
      </c>
      <c r="K2435" s="311" t="str">
        <f t="shared" si="2644"/>
        <v/>
      </c>
      <c r="L2435" s="310" t="str">
        <f t="shared" si="2645"/>
        <v/>
      </c>
      <c r="M2435" s="310" t="str">
        <f t="shared" si="2646"/>
        <v/>
      </c>
      <c r="N2435" s="311" t="str">
        <f t="shared" si="2647"/>
        <v/>
      </c>
    </row>
    <row r="2436" spans="1:14">
      <c r="A2436" s="297" t="s">
        <v>1518</v>
      </c>
      <c r="B2436" s="254"/>
      <c r="C2436" s="299" t="s">
        <v>1492</v>
      </c>
      <c r="D2436" s="299">
        <v>1</v>
      </c>
      <c r="E2436" s="300">
        <v>3</v>
      </c>
      <c r="F2436" s="300">
        <f>E2436*D2436</f>
        <v>3</v>
      </c>
      <c r="G2436" s="302">
        <v>3.2</v>
      </c>
      <c r="H2436" s="310" t="str">
        <f t="shared" si="2641"/>
        <v/>
      </c>
      <c r="I2436" s="311" t="str">
        <f t="shared" si="2642"/>
        <v/>
      </c>
      <c r="J2436" s="311" t="str">
        <f t="shared" si="2643"/>
        <v/>
      </c>
      <c r="K2436" s="311" t="str">
        <f t="shared" si="2644"/>
        <v/>
      </c>
      <c r="L2436" s="310">
        <f t="shared" si="2645"/>
        <v>9.6</v>
      </c>
      <c r="M2436" s="310" t="str">
        <f t="shared" si="2646"/>
        <v/>
      </c>
      <c r="N2436" s="311" t="str">
        <f t="shared" si="2647"/>
        <v/>
      </c>
    </row>
    <row r="2437" spans="1:14">
      <c r="A2437" s="297"/>
      <c r="B2437" s="254"/>
      <c r="C2437" s="299" t="s">
        <v>1516</v>
      </c>
      <c r="D2437" s="299">
        <v>1</v>
      </c>
      <c r="E2437" s="300">
        <v>3</v>
      </c>
      <c r="F2437" s="300">
        <f>E2437*D2437</f>
        <v>3</v>
      </c>
      <c r="G2437" s="302">
        <v>1.2</v>
      </c>
      <c r="H2437" s="310" t="str">
        <f t="shared" si="2641"/>
        <v/>
      </c>
      <c r="I2437" s="311" t="str">
        <f t="shared" si="2642"/>
        <v/>
      </c>
      <c r="J2437" s="311" t="str">
        <f t="shared" si="2643"/>
        <v/>
      </c>
      <c r="K2437" s="311">
        <f t="shared" si="2644"/>
        <v>3.6</v>
      </c>
      <c r="L2437" s="310" t="str">
        <f t="shared" si="2645"/>
        <v/>
      </c>
      <c r="M2437" s="310" t="str">
        <f t="shared" si="2646"/>
        <v/>
      </c>
      <c r="N2437" s="311" t="str">
        <f t="shared" si="2647"/>
        <v/>
      </c>
    </row>
    <row r="2438" spans="1:14">
      <c r="A2438" s="297"/>
      <c r="B2438" s="254"/>
      <c r="C2438" s="299" t="s">
        <v>1519</v>
      </c>
      <c r="D2438" s="299">
        <v>1</v>
      </c>
      <c r="E2438" s="300">
        <v>3</v>
      </c>
      <c r="F2438" s="300">
        <f>E2438*D2438</f>
        <v>3</v>
      </c>
      <c r="G2438" s="302">
        <v>2.6</v>
      </c>
      <c r="H2438" s="310" t="str">
        <f t="shared" si="2641"/>
        <v/>
      </c>
      <c r="I2438" s="311" t="str">
        <f t="shared" si="2642"/>
        <v/>
      </c>
      <c r="J2438" s="311">
        <f t="shared" si="2643"/>
        <v>7.8</v>
      </c>
      <c r="K2438" s="311" t="str">
        <f t="shared" si="2644"/>
        <v/>
      </c>
      <c r="L2438" s="310" t="str">
        <f t="shared" si="2645"/>
        <v/>
      </c>
      <c r="M2438" s="310" t="str">
        <f t="shared" si="2646"/>
        <v/>
      </c>
      <c r="N2438" s="311" t="str">
        <f t="shared" si="2647"/>
        <v/>
      </c>
    </row>
    <row r="2439" spans="1:14">
      <c r="A2439" s="297"/>
      <c r="B2439" s="254"/>
      <c r="C2439" s="299"/>
      <c r="D2439" s="299"/>
      <c r="E2439" s="300"/>
      <c r="F2439" s="300"/>
      <c r="G2439" s="302"/>
      <c r="H2439" s="310"/>
      <c r="I2439" s="311"/>
      <c r="J2439" s="311"/>
      <c r="K2439" s="311"/>
      <c r="L2439" s="310"/>
      <c r="M2439" s="310"/>
      <c r="N2439" s="311"/>
    </row>
    <row r="2440" spans="1:14" ht="16.5">
      <c r="A2440" s="303" t="s">
        <v>1485</v>
      </c>
      <c r="B2440" s="254"/>
      <c r="C2440" s="299"/>
      <c r="D2440" s="299"/>
      <c r="E2440" s="300"/>
      <c r="F2440" s="300"/>
      <c r="G2440" s="302"/>
      <c r="H2440" s="310"/>
      <c r="I2440" s="311"/>
      <c r="J2440" s="311"/>
      <c r="K2440" s="311"/>
      <c r="L2440" s="310"/>
      <c r="M2440" s="310"/>
      <c r="N2440" s="311"/>
    </row>
    <row r="2441" spans="1:14" s="294" customFormat="1">
      <c r="A2441" s="297" t="s">
        <v>1515</v>
      </c>
      <c r="B2441" s="298"/>
      <c r="C2441" s="299" t="s">
        <v>1498</v>
      </c>
      <c r="D2441" s="299">
        <v>1</v>
      </c>
      <c r="E2441" s="300">
        <v>4</v>
      </c>
      <c r="F2441" s="300">
        <f>E2441*D2441</f>
        <v>4</v>
      </c>
      <c r="G2441" s="302">
        <f>5.85+17*0.016*2</f>
        <v>6.39</v>
      </c>
      <c r="H2441" s="310" t="str">
        <f t="shared" ref="H2441:H2448" si="2649">IF(C2441="T6",G2441*F2441,"")</f>
        <v/>
      </c>
      <c r="I2441" s="311" t="str">
        <f t="shared" ref="I2441:I2448" si="2650">IF(C2441="T8",F2441*G2441,"")</f>
        <v/>
      </c>
      <c r="J2441" s="311" t="str">
        <f t="shared" ref="J2441:J2448" si="2651">IF(C2441="T10",F2441*G2441,"")</f>
        <v/>
      </c>
      <c r="K2441" s="311" t="str">
        <f t="shared" ref="K2441:K2448" si="2652">IF(C2441="T12",F2441*G2441,"")</f>
        <v/>
      </c>
      <c r="L2441" s="310" t="str">
        <f t="shared" ref="L2441:L2448" si="2653">IF(C2441="T14",F2441*G2441,"")</f>
        <v/>
      </c>
      <c r="M2441" s="310">
        <f t="shared" ref="M2441:M2448" si="2654">IF(C2441="T16",G2441*F2441,"")</f>
        <v>25.56</v>
      </c>
      <c r="N2441" s="311" t="str">
        <f t="shared" ref="N2441:N2448" si="2655">IF(C2441="T20",G2441*F2441,"")</f>
        <v/>
      </c>
    </row>
    <row r="2442" spans="1:14" s="294" customFormat="1">
      <c r="A2442" s="297" t="s">
        <v>1515</v>
      </c>
      <c r="B2442" s="298"/>
      <c r="C2442" s="299" t="s">
        <v>1492</v>
      </c>
      <c r="D2442" s="299">
        <v>1</v>
      </c>
      <c r="E2442" s="300">
        <v>4</v>
      </c>
      <c r="F2442" s="300">
        <f>E2442*D2442</f>
        <v>4</v>
      </c>
      <c r="G2442" s="302">
        <f>(5.85)+17*0.014*2</f>
        <v>6.33</v>
      </c>
      <c r="H2442" s="310" t="str">
        <f t="shared" si="2649"/>
        <v/>
      </c>
      <c r="I2442" s="311" t="str">
        <f t="shared" si="2650"/>
        <v/>
      </c>
      <c r="J2442" s="311" t="str">
        <f t="shared" si="2651"/>
        <v/>
      </c>
      <c r="K2442" s="311" t="str">
        <f t="shared" si="2652"/>
        <v/>
      </c>
      <c r="L2442" s="310">
        <f t="shared" si="2653"/>
        <v>25.32</v>
      </c>
      <c r="M2442" s="310" t="str">
        <f t="shared" si="2654"/>
        <v/>
      </c>
      <c r="N2442" s="311" t="str">
        <f t="shared" si="2655"/>
        <v/>
      </c>
    </row>
    <row r="2443" spans="1:14" s="294" customFormat="1">
      <c r="A2443" s="297"/>
      <c r="B2443" s="298"/>
      <c r="C2443" s="299" t="s">
        <v>1516</v>
      </c>
      <c r="D2443" s="299">
        <v>1</v>
      </c>
      <c r="E2443" s="300">
        <v>4</v>
      </c>
      <c r="F2443" s="300">
        <f>E2443*D2443</f>
        <v>4</v>
      </c>
      <c r="G2443" s="302">
        <v>5.85</v>
      </c>
      <c r="H2443" s="310" t="str">
        <f t="shared" si="2649"/>
        <v/>
      </c>
      <c r="I2443" s="311" t="str">
        <f t="shared" si="2650"/>
        <v/>
      </c>
      <c r="J2443" s="311" t="str">
        <f t="shared" si="2651"/>
        <v/>
      </c>
      <c r="K2443" s="311">
        <f t="shared" si="2652"/>
        <v>23.4</v>
      </c>
      <c r="L2443" s="310" t="str">
        <f t="shared" si="2653"/>
        <v/>
      </c>
      <c r="M2443" s="310" t="str">
        <f t="shared" si="2654"/>
        <v/>
      </c>
      <c r="N2443" s="311" t="str">
        <f t="shared" si="2655"/>
        <v/>
      </c>
    </row>
    <row r="2444" spans="1:14" s="294" customFormat="1">
      <c r="A2444" s="297" t="s">
        <v>1494</v>
      </c>
      <c r="B2444" s="301"/>
      <c r="C2444" s="299" t="s">
        <v>1496</v>
      </c>
      <c r="D2444" s="299">
        <v>1</v>
      </c>
      <c r="E2444" s="300">
        <f>17+20+17</f>
        <v>54</v>
      </c>
      <c r="F2444" s="300">
        <f t="shared" ref="F2444:F2445" si="2656">E2444*D2444</f>
        <v>54</v>
      </c>
      <c r="G2444" s="302">
        <f>(0.25+0.55)*2+17*0.008*2</f>
        <v>1.87</v>
      </c>
      <c r="H2444" s="310" t="str">
        <f t="shared" si="2649"/>
        <v/>
      </c>
      <c r="I2444" s="311">
        <f t="shared" si="2650"/>
        <v>100.98</v>
      </c>
      <c r="J2444" s="311" t="str">
        <f t="shared" si="2651"/>
        <v/>
      </c>
      <c r="K2444" s="311" t="str">
        <f t="shared" si="2652"/>
        <v/>
      </c>
      <c r="L2444" s="310" t="str">
        <f t="shared" si="2653"/>
        <v/>
      </c>
      <c r="M2444" s="310" t="str">
        <f t="shared" si="2654"/>
        <v/>
      </c>
      <c r="N2444" s="311" t="str">
        <f t="shared" si="2655"/>
        <v/>
      </c>
    </row>
    <row r="2445" spans="1:14" s="294" customFormat="1">
      <c r="A2445" s="297" t="s">
        <v>1517</v>
      </c>
      <c r="B2445" s="301"/>
      <c r="C2445" s="299" t="s">
        <v>1496</v>
      </c>
      <c r="D2445" s="299">
        <v>1</v>
      </c>
      <c r="E2445" s="300">
        <f>54*2</f>
        <v>108</v>
      </c>
      <c r="F2445" s="300">
        <f t="shared" si="2656"/>
        <v>108</v>
      </c>
      <c r="G2445" s="302">
        <f>(0.55*2)+17*0.008*2</f>
        <v>1.37</v>
      </c>
      <c r="H2445" s="310" t="str">
        <f t="shared" si="2649"/>
        <v/>
      </c>
      <c r="I2445" s="311">
        <f t="shared" si="2650"/>
        <v>147.96</v>
      </c>
      <c r="J2445" s="311" t="str">
        <f t="shared" si="2651"/>
        <v/>
      </c>
      <c r="K2445" s="311" t="str">
        <f t="shared" si="2652"/>
        <v/>
      </c>
      <c r="L2445" s="310" t="str">
        <f t="shared" si="2653"/>
        <v/>
      </c>
      <c r="M2445" s="310" t="str">
        <f t="shared" si="2654"/>
        <v/>
      </c>
      <c r="N2445" s="311" t="str">
        <f t="shared" si="2655"/>
        <v/>
      </c>
    </row>
    <row r="2446" spans="1:14">
      <c r="A2446" s="297" t="s">
        <v>1518</v>
      </c>
      <c r="B2446" s="254"/>
      <c r="C2446" s="299" t="s">
        <v>1498</v>
      </c>
      <c r="D2446" s="299">
        <v>1</v>
      </c>
      <c r="E2446" s="300">
        <v>8</v>
      </c>
      <c r="F2446" s="300">
        <f>E2446*D2446</f>
        <v>8</v>
      </c>
      <c r="G2446" s="302">
        <v>2.2000000000000002</v>
      </c>
      <c r="H2446" s="310" t="str">
        <f t="shared" si="2649"/>
        <v/>
      </c>
      <c r="I2446" s="311" t="str">
        <f t="shared" si="2650"/>
        <v/>
      </c>
      <c r="J2446" s="311" t="str">
        <f t="shared" si="2651"/>
        <v/>
      </c>
      <c r="K2446" s="311" t="str">
        <f t="shared" si="2652"/>
        <v/>
      </c>
      <c r="L2446" s="310" t="str">
        <f t="shared" si="2653"/>
        <v/>
      </c>
      <c r="M2446" s="310">
        <f t="shared" si="2654"/>
        <v>17.600000000000001</v>
      </c>
      <c r="N2446" s="311" t="str">
        <f t="shared" si="2655"/>
        <v/>
      </c>
    </row>
    <row r="2447" spans="1:14">
      <c r="A2447" s="297"/>
      <c r="B2447" s="254"/>
      <c r="C2447" s="299" t="s">
        <v>1498</v>
      </c>
      <c r="D2447" s="299">
        <v>1</v>
      </c>
      <c r="E2447" s="300">
        <v>8</v>
      </c>
      <c r="F2447" s="300">
        <f>E2447*D2447</f>
        <v>8</v>
      </c>
      <c r="G2447" s="302">
        <v>3.5</v>
      </c>
      <c r="H2447" s="310" t="str">
        <f t="shared" si="2649"/>
        <v/>
      </c>
      <c r="I2447" s="311" t="str">
        <f t="shared" si="2650"/>
        <v/>
      </c>
      <c r="J2447" s="311" t="str">
        <f t="shared" si="2651"/>
        <v/>
      </c>
      <c r="K2447" s="311" t="str">
        <f t="shared" si="2652"/>
        <v/>
      </c>
      <c r="L2447" s="310" t="str">
        <f t="shared" si="2653"/>
        <v/>
      </c>
      <c r="M2447" s="310">
        <f t="shared" si="2654"/>
        <v>28</v>
      </c>
      <c r="N2447" s="311" t="str">
        <f t="shared" si="2655"/>
        <v/>
      </c>
    </row>
    <row r="2448" spans="1:14">
      <c r="A2448" s="297"/>
      <c r="B2448" s="254"/>
      <c r="C2448" s="299" t="s">
        <v>1498</v>
      </c>
      <c r="D2448" s="299">
        <v>1</v>
      </c>
      <c r="E2448" s="300">
        <v>4</v>
      </c>
      <c r="F2448" s="300">
        <f>E2448*D2448</f>
        <v>4</v>
      </c>
      <c r="G2448" s="302">
        <v>5.45</v>
      </c>
      <c r="H2448" s="310" t="str">
        <f t="shared" si="2649"/>
        <v/>
      </c>
      <c r="I2448" s="311" t="str">
        <f t="shared" si="2650"/>
        <v/>
      </c>
      <c r="J2448" s="311" t="str">
        <f t="shared" si="2651"/>
        <v/>
      </c>
      <c r="K2448" s="311" t="str">
        <f t="shared" si="2652"/>
        <v/>
      </c>
      <c r="L2448" s="310" t="str">
        <f t="shared" si="2653"/>
        <v/>
      </c>
      <c r="M2448" s="310">
        <f t="shared" si="2654"/>
        <v>21.8</v>
      </c>
      <c r="N2448" s="311" t="str">
        <f t="shared" si="2655"/>
        <v/>
      </c>
    </row>
    <row r="2449" spans="1:14" ht="16.5">
      <c r="A2449" s="303"/>
      <c r="B2449" s="254"/>
      <c r="C2449" s="299"/>
      <c r="D2449" s="299"/>
      <c r="E2449" s="300"/>
      <c r="F2449" s="300"/>
      <c r="G2449" s="302"/>
      <c r="H2449" s="310"/>
      <c r="I2449" s="311"/>
      <c r="J2449" s="311"/>
      <c r="K2449" s="311"/>
      <c r="L2449" s="310"/>
      <c r="M2449" s="310"/>
      <c r="N2449" s="311"/>
    </row>
    <row r="2450" spans="1:14" ht="16.5">
      <c r="A2450" s="303" t="s">
        <v>1486</v>
      </c>
      <c r="B2450" s="254"/>
      <c r="C2450" s="299"/>
      <c r="D2450" s="299"/>
      <c r="E2450" s="300"/>
      <c r="F2450" s="300"/>
      <c r="G2450" s="302"/>
      <c r="H2450" s="310"/>
      <c r="I2450" s="311"/>
      <c r="J2450" s="311"/>
      <c r="K2450" s="311"/>
      <c r="L2450" s="310"/>
      <c r="M2450" s="310"/>
      <c r="N2450" s="311"/>
    </row>
    <row r="2451" spans="1:14" s="294" customFormat="1">
      <c r="A2451" s="297" t="s">
        <v>1515</v>
      </c>
      <c r="B2451" s="298"/>
      <c r="C2451" s="299" t="s">
        <v>1521</v>
      </c>
      <c r="D2451" s="299">
        <v>1</v>
      </c>
      <c r="E2451" s="300">
        <v>4</v>
      </c>
      <c r="F2451" s="300">
        <f>E2451*D2451</f>
        <v>4</v>
      </c>
      <c r="G2451" s="302">
        <f>5.65+17*0.02*2</f>
        <v>6.33</v>
      </c>
      <c r="H2451" s="310" t="str">
        <f t="shared" ref="H2451:H2458" si="2657">IF(C2451="T6",G2451*F2451,"")</f>
        <v/>
      </c>
      <c r="I2451" s="311" t="str">
        <f t="shared" ref="I2451:I2458" si="2658">IF(C2451="T8",F2451*G2451,"")</f>
        <v/>
      </c>
      <c r="J2451" s="311" t="str">
        <f t="shared" ref="J2451:J2458" si="2659">IF(C2451="T10",F2451*G2451,"")</f>
        <v/>
      </c>
      <c r="K2451" s="311" t="str">
        <f t="shared" ref="K2451:K2458" si="2660">IF(C2451="T12",F2451*G2451,"")</f>
        <v/>
      </c>
      <c r="L2451" s="310" t="str">
        <f t="shared" ref="L2451:L2458" si="2661">IF(C2451="T14",F2451*G2451,"")</f>
        <v/>
      </c>
      <c r="M2451" s="310" t="str">
        <f t="shared" ref="M2451:M2458" si="2662">IF(C2451="T16",G2451*F2451,"")</f>
        <v/>
      </c>
      <c r="N2451" s="311">
        <f t="shared" ref="N2451:N2458" si="2663">IF(C2451="T20",G2451*F2451,"")</f>
        <v>25.32</v>
      </c>
    </row>
    <row r="2452" spans="1:14" s="294" customFormat="1">
      <c r="A2452" s="297" t="s">
        <v>1515</v>
      </c>
      <c r="B2452" s="298"/>
      <c r="C2452" s="299" t="s">
        <v>1492</v>
      </c>
      <c r="D2452" s="299">
        <v>1</v>
      </c>
      <c r="E2452" s="300">
        <v>4</v>
      </c>
      <c r="F2452" s="300">
        <f>E2452*D2452</f>
        <v>4</v>
      </c>
      <c r="G2452" s="302">
        <f>(5.75)+17*0.014*2</f>
        <v>6.23</v>
      </c>
      <c r="H2452" s="310" t="str">
        <f t="shared" si="2657"/>
        <v/>
      </c>
      <c r="I2452" s="311" t="str">
        <f t="shared" si="2658"/>
        <v/>
      </c>
      <c r="J2452" s="311" t="str">
        <f t="shared" si="2659"/>
        <v/>
      </c>
      <c r="K2452" s="311" t="str">
        <f t="shared" si="2660"/>
        <v/>
      </c>
      <c r="L2452" s="310">
        <f t="shared" si="2661"/>
        <v>24.92</v>
      </c>
      <c r="M2452" s="310" t="str">
        <f t="shared" si="2662"/>
        <v/>
      </c>
      <c r="N2452" s="311" t="str">
        <f t="shared" si="2663"/>
        <v/>
      </c>
    </row>
    <row r="2453" spans="1:14" s="294" customFormat="1">
      <c r="A2453" s="297"/>
      <c r="B2453" s="298"/>
      <c r="C2453" s="299" t="s">
        <v>1516</v>
      </c>
      <c r="D2453" s="299">
        <v>1</v>
      </c>
      <c r="E2453" s="300">
        <v>4</v>
      </c>
      <c r="F2453" s="300">
        <f>E2453*D2453</f>
        <v>4</v>
      </c>
      <c r="G2453" s="302">
        <v>5.65</v>
      </c>
      <c r="H2453" s="310" t="str">
        <f t="shared" si="2657"/>
        <v/>
      </c>
      <c r="I2453" s="311" t="str">
        <f t="shared" si="2658"/>
        <v/>
      </c>
      <c r="J2453" s="311" t="str">
        <f t="shared" si="2659"/>
        <v/>
      </c>
      <c r="K2453" s="311">
        <f t="shared" si="2660"/>
        <v>22.6</v>
      </c>
      <c r="L2453" s="310" t="str">
        <f t="shared" si="2661"/>
        <v/>
      </c>
      <c r="M2453" s="310" t="str">
        <f t="shared" si="2662"/>
        <v/>
      </c>
      <c r="N2453" s="311" t="str">
        <f t="shared" si="2663"/>
        <v/>
      </c>
    </row>
    <row r="2454" spans="1:14" s="294" customFormat="1">
      <c r="A2454" s="297" t="s">
        <v>1494</v>
      </c>
      <c r="B2454" s="301"/>
      <c r="C2454" s="299" t="s">
        <v>1496</v>
      </c>
      <c r="D2454" s="299">
        <v>1</v>
      </c>
      <c r="E2454" s="300">
        <f>20*3</f>
        <v>60</v>
      </c>
      <c r="F2454" s="300">
        <f t="shared" ref="F2454:F2455" si="2664">E2454*D2454</f>
        <v>60</v>
      </c>
      <c r="G2454" s="302">
        <f>(0.25+0.55)*2+17*0.008*2</f>
        <v>1.87</v>
      </c>
      <c r="H2454" s="310" t="str">
        <f t="shared" si="2657"/>
        <v/>
      </c>
      <c r="I2454" s="311">
        <f t="shared" si="2658"/>
        <v>112.2</v>
      </c>
      <c r="J2454" s="311" t="str">
        <f t="shared" si="2659"/>
        <v/>
      </c>
      <c r="K2454" s="311" t="str">
        <f t="shared" si="2660"/>
        <v/>
      </c>
      <c r="L2454" s="310" t="str">
        <f t="shared" si="2661"/>
        <v/>
      </c>
      <c r="M2454" s="310" t="str">
        <f t="shared" si="2662"/>
        <v/>
      </c>
      <c r="N2454" s="311" t="str">
        <f t="shared" si="2663"/>
        <v/>
      </c>
    </row>
    <row r="2455" spans="1:14" s="294" customFormat="1">
      <c r="A2455" s="297" t="s">
        <v>1517</v>
      </c>
      <c r="B2455" s="301"/>
      <c r="C2455" s="299" t="s">
        <v>1496</v>
      </c>
      <c r="D2455" s="299">
        <v>1</v>
      </c>
      <c r="E2455" s="300">
        <f>60*2</f>
        <v>120</v>
      </c>
      <c r="F2455" s="300">
        <f t="shared" si="2664"/>
        <v>120</v>
      </c>
      <c r="G2455" s="302">
        <f>(0.55*2)+17*0.008*2</f>
        <v>1.37</v>
      </c>
      <c r="H2455" s="310" t="str">
        <f t="shared" si="2657"/>
        <v/>
      </c>
      <c r="I2455" s="311">
        <f t="shared" si="2658"/>
        <v>164.4</v>
      </c>
      <c r="J2455" s="311" t="str">
        <f t="shared" si="2659"/>
        <v/>
      </c>
      <c r="K2455" s="311" t="str">
        <f t="shared" si="2660"/>
        <v/>
      </c>
      <c r="L2455" s="310" t="str">
        <f t="shared" si="2661"/>
        <v/>
      </c>
      <c r="M2455" s="310" t="str">
        <f t="shared" si="2662"/>
        <v/>
      </c>
      <c r="N2455" s="311" t="str">
        <f t="shared" si="2663"/>
        <v/>
      </c>
    </row>
    <row r="2456" spans="1:14">
      <c r="A2456" s="297" t="s">
        <v>1518</v>
      </c>
      <c r="B2456" s="254"/>
      <c r="C2456" s="299" t="s">
        <v>1498</v>
      </c>
      <c r="D2456" s="299">
        <v>1</v>
      </c>
      <c r="E2456" s="300">
        <v>8</v>
      </c>
      <c r="F2456" s="300">
        <f>E2456*D2456</f>
        <v>8</v>
      </c>
      <c r="G2456" s="302">
        <v>3.5</v>
      </c>
      <c r="H2456" s="310" t="str">
        <f t="shared" si="2657"/>
        <v/>
      </c>
      <c r="I2456" s="311" t="str">
        <f t="shared" si="2658"/>
        <v/>
      </c>
      <c r="J2456" s="311" t="str">
        <f t="shared" si="2659"/>
        <v/>
      </c>
      <c r="K2456" s="311" t="str">
        <f t="shared" si="2660"/>
        <v/>
      </c>
      <c r="L2456" s="310" t="str">
        <f t="shared" si="2661"/>
        <v/>
      </c>
      <c r="M2456" s="310">
        <f t="shared" si="2662"/>
        <v>28</v>
      </c>
      <c r="N2456" s="311" t="str">
        <f t="shared" si="2663"/>
        <v/>
      </c>
    </row>
    <row r="2457" spans="1:14">
      <c r="A2457" s="297"/>
      <c r="B2457" s="254"/>
      <c r="C2457" s="299" t="s">
        <v>1498</v>
      </c>
      <c r="D2457" s="299">
        <v>1</v>
      </c>
      <c r="E2457" s="300">
        <v>8</v>
      </c>
      <c r="F2457" s="300">
        <f>E2457*D2457</f>
        <v>8</v>
      </c>
      <c r="G2457" s="302">
        <v>2.5</v>
      </c>
      <c r="H2457" s="310" t="str">
        <f t="shared" si="2657"/>
        <v/>
      </c>
      <c r="I2457" s="311" t="str">
        <f t="shared" si="2658"/>
        <v/>
      </c>
      <c r="J2457" s="311" t="str">
        <f t="shared" si="2659"/>
        <v/>
      </c>
      <c r="K2457" s="311" t="str">
        <f t="shared" si="2660"/>
        <v/>
      </c>
      <c r="L2457" s="310" t="str">
        <f t="shared" si="2661"/>
        <v/>
      </c>
      <c r="M2457" s="310">
        <f t="shared" si="2662"/>
        <v>20</v>
      </c>
      <c r="N2457" s="311" t="str">
        <f t="shared" si="2663"/>
        <v/>
      </c>
    </row>
    <row r="2458" spans="1:14">
      <c r="A2458" s="297"/>
      <c r="B2458" s="254"/>
      <c r="C2458" s="299" t="s">
        <v>1521</v>
      </c>
      <c r="D2458" s="299">
        <v>1</v>
      </c>
      <c r="E2458" s="300">
        <v>4</v>
      </c>
      <c r="F2458" s="300">
        <f>E2458*D2458</f>
        <v>4</v>
      </c>
      <c r="G2458" s="302">
        <v>5.25</v>
      </c>
      <c r="H2458" s="310" t="str">
        <f t="shared" si="2657"/>
        <v/>
      </c>
      <c r="I2458" s="311" t="str">
        <f t="shared" si="2658"/>
        <v/>
      </c>
      <c r="J2458" s="311" t="str">
        <f t="shared" si="2659"/>
        <v/>
      </c>
      <c r="K2458" s="311" t="str">
        <f t="shared" si="2660"/>
        <v/>
      </c>
      <c r="L2458" s="310" t="str">
        <f t="shared" si="2661"/>
        <v/>
      </c>
      <c r="M2458" s="310" t="str">
        <f t="shared" si="2662"/>
        <v/>
      </c>
      <c r="N2458" s="311">
        <f t="shared" si="2663"/>
        <v>21</v>
      </c>
    </row>
    <row r="2459" spans="1:14">
      <c r="A2459" s="253"/>
      <c r="B2459" s="254"/>
      <c r="C2459" s="299"/>
      <c r="D2459" s="299"/>
      <c r="E2459" s="300"/>
      <c r="F2459" s="300"/>
      <c r="G2459" s="302"/>
      <c r="H2459" s="310"/>
      <c r="I2459" s="311"/>
      <c r="J2459" s="311"/>
      <c r="K2459" s="311"/>
      <c r="L2459" s="310"/>
      <c r="M2459" s="310"/>
      <c r="N2459" s="311"/>
    </row>
    <row r="2460" spans="1:14" ht="22.5" customHeight="1">
      <c r="A2460" s="256" t="s">
        <v>1666</v>
      </c>
      <c r="B2460" s="254"/>
      <c r="C2460" s="299"/>
      <c r="D2460" s="299"/>
      <c r="E2460" s="300"/>
      <c r="F2460" s="300"/>
      <c r="G2460" s="302"/>
      <c r="H2460" s="310"/>
      <c r="I2460" s="311"/>
      <c r="J2460" s="311"/>
      <c r="K2460" s="311"/>
      <c r="L2460" s="310"/>
      <c r="M2460" s="310"/>
      <c r="N2460" s="311"/>
    </row>
    <row r="2461" spans="1:14">
      <c r="A2461" s="253"/>
      <c r="B2461" s="254"/>
      <c r="C2461" s="299"/>
      <c r="D2461" s="299"/>
      <c r="E2461" s="300"/>
      <c r="F2461" s="300"/>
      <c r="G2461" s="302"/>
      <c r="H2461" s="310"/>
      <c r="I2461" s="311"/>
      <c r="J2461" s="311"/>
      <c r="K2461" s="311"/>
      <c r="L2461" s="310"/>
      <c r="M2461" s="310"/>
      <c r="N2461" s="311"/>
    </row>
    <row r="2462" spans="1:14" ht="16.5">
      <c r="A2462" s="326" t="s">
        <v>1381</v>
      </c>
      <c r="B2462" s="254"/>
      <c r="C2462" s="299"/>
      <c r="D2462" s="299"/>
      <c r="E2462" s="300"/>
      <c r="F2462" s="300"/>
      <c r="G2462" s="302"/>
      <c r="H2462" s="310"/>
      <c r="I2462" s="311"/>
      <c r="J2462" s="311"/>
      <c r="K2462" s="311"/>
      <c r="L2462" s="310"/>
      <c r="M2462" s="310"/>
      <c r="N2462" s="311"/>
    </row>
    <row r="2463" spans="1:14">
      <c r="A2463" s="253"/>
      <c r="B2463" s="254"/>
      <c r="C2463" s="299"/>
      <c r="D2463" s="299"/>
      <c r="E2463" s="300"/>
      <c r="F2463" s="300"/>
      <c r="G2463" s="302"/>
      <c r="H2463" s="310"/>
      <c r="I2463" s="311"/>
      <c r="J2463" s="311"/>
      <c r="K2463" s="311"/>
      <c r="L2463" s="310"/>
      <c r="M2463" s="310"/>
      <c r="N2463" s="311"/>
    </row>
    <row r="2464" spans="1:14" ht="16.5">
      <c r="A2464" s="303" t="s">
        <v>1667</v>
      </c>
      <c r="B2464" s="254"/>
      <c r="C2464" s="299"/>
      <c r="D2464" s="299"/>
      <c r="E2464" s="300"/>
      <c r="F2464" s="300"/>
      <c r="G2464" s="302"/>
      <c r="H2464" s="310"/>
      <c r="I2464" s="311"/>
      <c r="J2464" s="311"/>
      <c r="K2464" s="311"/>
      <c r="L2464" s="310"/>
      <c r="M2464" s="310"/>
      <c r="N2464" s="311"/>
    </row>
    <row r="2465" spans="1:14">
      <c r="A2465" s="253"/>
      <c r="B2465" s="254"/>
      <c r="C2465" s="299"/>
      <c r="D2465" s="299"/>
      <c r="E2465" s="300"/>
      <c r="F2465" s="300"/>
      <c r="G2465" s="302"/>
      <c r="H2465" s="310"/>
      <c r="I2465" s="311"/>
      <c r="J2465" s="311"/>
      <c r="K2465" s="311"/>
      <c r="L2465" s="310"/>
      <c r="M2465" s="310"/>
      <c r="N2465" s="311"/>
    </row>
    <row r="2466" spans="1:14">
      <c r="A2466" s="297" t="s">
        <v>1668</v>
      </c>
      <c r="B2466" s="254"/>
      <c r="C2466" s="299" t="s">
        <v>1516</v>
      </c>
      <c r="D2466" s="299">
        <v>1</v>
      </c>
      <c r="E2466" s="300">
        <f>2.75/0.15</f>
        <v>18</v>
      </c>
      <c r="F2466" s="300">
        <f>E2466*D2466</f>
        <v>18</v>
      </c>
      <c r="G2466" s="302">
        <f>(2.96)+17*0.012*2</f>
        <v>3.37</v>
      </c>
      <c r="H2466" s="310" t="str">
        <f t="shared" ref="H2466:H2467" si="2665">IF(C2466="T6",G2466*F2466,"")</f>
        <v/>
      </c>
      <c r="I2466" s="311" t="str">
        <f t="shared" ref="I2466:I2467" si="2666">IF(C2466="T8",F2466*G2466,"")</f>
        <v/>
      </c>
      <c r="J2466" s="311" t="str">
        <f t="shared" ref="J2466:J2467" si="2667">IF(C2466="T10",F2466*G2466,"")</f>
        <v/>
      </c>
      <c r="K2466" s="311">
        <f t="shared" ref="K2466:K2467" si="2668">IF(C2466="T12",F2466*G2466,"")</f>
        <v>60.66</v>
      </c>
      <c r="L2466" s="310" t="str">
        <f t="shared" ref="L2466:L2467" si="2669">IF(C2466="T14",F2466*G2466,"")</f>
        <v/>
      </c>
      <c r="M2466" s="310" t="str">
        <f t="shared" ref="M2466:M2467" si="2670">IF(C2466="T16",G2466*F2466,"")</f>
        <v/>
      </c>
      <c r="N2466" s="311" t="str">
        <f t="shared" ref="N2466:N2467" si="2671">IF(C2466="T20",G2466*F2466,"")</f>
        <v/>
      </c>
    </row>
    <row r="2467" spans="1:14">
      <c r="A2467" s="297" t="s">
        <v>1668</v>
      </c>
      <c r="B2467" s="254"/>
      <c r="C2467" s="299" t="s">
        <v>1516</v>
      </c>
      <c r="D2467" s="299">
        <v>1</v>
      </c>
      <c r="E2467" s="300">
        <f>2.96/0.15</f>
        <v>20</v>
      </c>
      <c r="F2467" s="300">
        <f>E2467*D2467</f>
        <v>20</v>
      </c>
      <c r="G2467" s="302">
        <f>(2.75)+17*0.012*2</f>
        <v>3.16</v>
      </c>
      <c r="H2467" s="310" t="str">
        <f t="shared" si="2665"/>
        <v/>
      </c>
      <c r="I2467" s="311" t="str">
        <f t="shared" si="2666"/>
        <v/>
      </c>
      <c r="J2467" s="311" t="str">
        <f t="shared" si="2667"/>
        <v/>
      </c>
      <c r="K2467" s="311">
        <f t="shared" si="2668"/>
        <v>63.2</v>
      </c>
      <c r="L2467" s="310" t="str">
        <f t="shared" si="2669"/>
        <v/>
      </c>
      <c r="M2467" s="310" t="str">
        <f t="shared" si="2670"/>
        <v/>
      </c>
      <c r="N2467" s="311" t="str">
        <f t="shared" si="2671"/>
        <v/>
      </c>
    </row>
    <row r="2468" spans="1:14">
      <c r="A2468" s="253"/>
      <c r="B2468" s="254"/>
      <c r="C2468" s="299"/>
      <c r="D2468" s="299"/>
      <c r="E2468" s="300"/>
      <c r="F2468" s="300"/>
      <c r="G2468" s="302"/>
      <c r="H2468" s="310"/>
      <c r="I2468" s="311"/>
      <c r="J2468" s="311"/>
      <c r="K2468" s="311"/>
      <c r="L2468" s="310"/>
      <c r="M2468" s="310"/>
      <c r="N2468" s="311"/>
    </row>
    <row r="2469" spans="1:14">
      <c r="A2469" s="297" t="s">
        <v>1668</v>
      </c>
      <c r="B2469" s="254"/>
      <c r="C2469" s="299" t="s">
        <v>1516</v>
      </c>
      <c r="D2469" s="299">
        <v>1</v>
      </c>
      <c r="E2469" s="300">
        <f>3.19/0.15</f>
        <v>21</v>
      </c>
      <c r="F2469" s="300">
        <f>E2469*D2469</f>
        <v>21</v>
      </c>
      <c r="G2469" s="302">
        <f>(2.75)+17*0.012*2</f>
        <v>3.16</v>
      </c>
      <c r="H2469" s="310" t="str">
        <f t="shared" ref="H2469:H2470" si="2672">IF(C2469="T6",G2469*F2469,"")</f>
        <v/>
      </c>
      <c r="I2469" s="311" t="str">
        <f t="shared" ref="I2469:I2470" si="2673">IF(C2469="T8",F2469*G2469,"")</f>
        <v/>
      </c>
      <c r="J2469" s="311" t="str">
        <f t="shared" ref="J2469:J2470" si="2674">IF(C2469="T10",F2469*G2469,"")</f>
        <v/>
      </c>
      <c r="K2469" s="311">
        <f t="shared" ref="K2469:K2470" si="2675">IF(C2469="T12",F2469*G2469,"")</f>
        <v>66.36</v>
      </c>
      <c r="L2469" s="310" t="str">
        <f t="shared" ref="L2469:L2470" si="2676">IF(C2469="T14",F2469*G2469,"")</f>
        <v/>
      </c>
      <c r="M2469" s="310" t="str">
        <f t="shared" ref="M2469:M2470" si="2677">IF(C2469="T16",G2469*F2469,"")</f>
        <v/>
      </c>
      <c r="N2469" s="311" t="str">
        <f t="shared" ref="N2469:N2470" si="2678">IF(C2469="T20",G2469*F2469,"")</f>
        <v/>
      </c>
    </row>
    <row r="2470" spans="1:14">
      <c r="A2470" s="297" t="s">
        <v>1668</v>
      </c>
      <c r="B2470" s="254"/>
      <c r="C2470" s="299" t="s">
        <v>1516</v>
      </c>
      <c r="D2470" s="299">
        <v>1</v>
      </c>
      <c r="E2470" s="300">
        <f>2.75/0.15</f>
        <v>18</v>
      </c>
      <c r="F2470" s="300">
        <f>E2470*D2470</f>
        <v>18</v>
      </c>
      <c r="G2470" s="302">
        <f>(3.19)+17*0.012*2</f>
        <v>3.6</v>
      </c>
      <c r="H2470" s="310" t="str">
        <f t="shared" si="2672"/>
        <v/>
      </c>
      <c r="I2470" s="311" t="str">
        <f t="shared" si="2673"/>
        <v/>
      </c>
      <c r="J2470" s="311" t="str">
        <f t="shared" si="2674"/>
        <v/>
      </c>
      <c r="K2470" s="311">
        <f t="shared" si="2675"/>
        <v>64.8</v>
      </c>
      <c r="L2470" s="310" t="str">
        <f t="shared" si="2676"/>
        <v/>
      </c>
      <c r="M2470" s="310" t="str">
        <f t="shared" si="2677"/>
        <v/>
      </c>
      <c r="N2470" s="311" t="str">
        <f t="shared" si="2678"/>
        <v/>
      </c>
    </row>
    <row r="2471" spans="1:14">
      <c r="A2471" s="253"/>
      <c r="B2471" s="254"/>
      <c r="C2471" s="299"/>
      <c r="D2471" s="299"/>
      <c r="E2471" s="300"/>
      <c r="F2471" s="300"/>
      <c r="G2471" s="302"/>
      <c r="H2471" s="310"/>
      <c r="I2471" s="311"/>
      <c r="J2471" s="311"/>
      <c r="K2471" s="311"/>
      <c r="L2471" s="310"/>
      <c r="M2471" s="310"/>
      <c r="N2471" s="311"/>
    </row>
    <row r="2472" spans="1:14">
      <c r="A2472" s="297" t="s">
        <v>1668</v>
      </c>
      <c r="B2472" s="254"/>
      <c r="C2472" s="299" t="s">
        <v>1516</v>
      </c>
      <c r="D2472" s="299">
        <v>1</v>
      </c>
      <c r="E2472" s="300">
        <f>3.19/0.15</f>
        <v>21</v>
      </c>
      <c r="F2472" s="300">
        <f>E2472*D2472</f>
        <v>21</v>
      </c>
      <c r="G2472" s="302">
        <f>(3.38)+17*0.012*2</f>
        <v>3.79</v>
      </c>
      <c r="H2472" s="310" t="str">
        <f t="shared" ref="H2472:H2473" si="2679">IF(C2472="T6",G2472*F2472,"")</f>
        <v/>
      </c>
      <c r="I2472" s="311" t="str">
        <f t="shared" ref="I2472:I2473" si="2680">IF(C2472="T8",F2472*G2472,"")</f>
        <v/>
      </c>
      <c r="J2472" s="311" t="str">
        <f t="shared" ref="J2472:J2473" si="2681">IF(C2472="T10",F2472*G2472,"")</f>
        <v/>
      </c>
      <c r="K2472" s="311">
        <f t="shared" ref="K2472:K2473" si="2682">IF(C2472="T12",F2472*G2472,"")</f>
        <v>79.59</v>
      </c>
      <c r="L2472" s="310" t="str">
        <f t="shared" ref="L2472:L2473" si="2683">IF(C2472="T14",F2472*G2472,"")</f>
        <v/>
      </c>
      <c r="M2472" s="310" t="str">
        <f t="shared" ref="M2472:M2473" si="2684">IF(C2472="T16",G2472*F2472,"")</f>
        <v/>
      </c>
      <c r="N2472" s="311" t="str">
        <f t="shared" ref="N2472:N2473" si="2685">IF(C2472="T20",G2472*F2472,"")</f>
        <v/>
      </c>
    </row>
    <row r="2473" spans="1:14">
      <c r="A2473" s="297" t="s">
        <v>1668</v>
      </c>
      <c r="B2473" s="254"/>
      <c r="C2473" s="299" t="s">
        <v>1516</v>
      </c>
      <c r="D2473" s="299">
        <v>1</v>
      </c>
      <c r="E2473" s="300">
        <f>3.38/0.15</f>
        <v>23</v>
      </c>
      <c r="F2473" s="300">
        <f>E2473*D2473</f>
        <v>23</v>
      </c>
      <c r="G2473" s="302">
        <f>(3.19)+17*0.012*2</f>
        <v>3.6</v>
      </c>
      <c r="H2473" s="310" t="str">
        <f t="shared" si="2679"/>
        <v/>
      </c>
      <c r="I2473" s="311" t="str">
        <f t="shared" si="2680"/>
        <v/>
      </c>
      <c r="J2473" s="311" t="str">
        <f t="shared" si="2681"/>
        <v/>
      </c>
      <c r="K2473" s="311">
        <f t="shared" si="2682"/>
        <v>82.8</v>
      </c>
      <c r="L2473" s="310" t="str">
        <f t="shared" si="2683"/>
        <v/>
      </c>
      <c r="M2473" s="310" t="str">
        <f t="shared" si="2684"/>
        <v/>
      </c>
      <c r="N2473" s="311" t="str">
        <f t="shared" si="2685"/>
        <v/>
      </c>
    </row>
    <row r="2474" spans="1:14">
      <c r="A2474" s="253"/>
      <c r="B2474" s="254"/>
      <c r="C2474" s="299"/>
      <c r="D2474" s="299"/>
      <c r="E2474" s="300"/>
      <c r="F2474" s="300"/>
      <c r="G2474" s="302"/>
      <c r="H2474" s="310"/>
      <c r="I2474" s="311"/>
      <c r="J2474" s="311"/>
      <c r="K2474" s="311"/>
      <c r="L2474" s="310"/>
      <c r="M2474" s="310"/>
      <c r="N2474" s="311"/>
    </row>
    <row r="2475" spans="1:14">
      <c r="A2475" s="297" t="s">
        <v>1669</v>
      </c>
      <c r="B2475" s="254"/>
      <c r="C2475" s="299" t="s">
        <v>1498</v>
      </c>
      <c r="D2475" s="299">
        <v>1</v>
      </c>
      <c r="E2475" s="300">
        <f>2.75/0.15</f>
        <v>18</v>
      </c>
      <c r="F2475" s="300">
        <f>E2475*D2475</f>
        <v>18</v>
      </c>
      <c r="G2475" s="302">
        <f>(2.96)+17*0.012*2</f>
        <v>3.37</v>
      </c>
      <c r="H2475" s="310" t="str">
        <f t="shared" ref="H2475:H2476" si="2686">IF(C2475="T6",G2475*F2475,"")</f>
        <v/>
      </c>
      <c r="I2475" s="311" t="str">
        <f t="shared" ref="I2475:I2476" si="2687">IF(C2475="T8",F2475*G2475,"")</f>
        <v/>
      </c>
      <c r="J2475" s="311" t="str">
        <f t="shared" ref="J2475:J2476" si="2688">IF(C2475="T10",F2475*G2475,"")</f>
        <v/>
      </c>
      <c r="K2475" s="311" t="str">
        <f t="shared" ref="K2475:K2476" si="2689">IF(C2475="T12",F2475*G2475,"")</f>
        <v/>
      </c>
      <c r="L2475" s="310" t="str">
        <f t="shared" ref="L2475:L2476" si="2690">IF(C2475="T14",F2475*G2475,"")</f>
        <v/>
      </c>
      <c r="M2475" s="310">
        <f t="shared" ref="M2475:M2476" si="2691">IF(C2475="T16",G2475*F2475,"")</f>
        <v>60.66</v>
      </c>
      <c r="N2475" s="311" t="str">
        <f t="shared" ref="N2475:N2476" si="2692">IF(C2475="T20",G2475*F2475,"")</f>
        <v/>
      </c>
    </row>
    <row r="2476" spans="1:14">
      <c r="A2476" s="297" t="s">
        <v>1669</v>
      </c>
      <c r="B2476" s="254"/>
      <c r="C2476" s="299" t="s">
        <v>1516</v>
      </c>
      <c r="D2476" s="299">
        <v>1</v>
      </c>
      <c r="E2476" s="300">
        <f>2.96/0.15</f>
        <v>20</v>
      </c>
      <c r="F2476" s="300">
        <f>E2476*D2476</f>
        <v>20</v>
      </c>
      <c r="G2476" s="302">
        <f>(2.75)+17*0.012*2</f>
        <v>3.16</v>
      </c>
      <c r="H2476" s="310" t="str">
        <f t="shared" si="2686"/>
        <v/>
      </c>
      <c r="I2476" s="311" t="str">
        <f t="shared" si="2687"/>
        <v/>
      </c>
      <c r="J2476" s="311" t="str">
        <f t="shared" si="2688"/>
        <v/>
      </c>
      <c r="K2476" s="311">
        <f t="shared" si="2689"/>
        <v>63.2</v>
      </c>
      <c r="L2476" s="310" t="str">
        <f t="shared" si="2690"/>
        <v/>
      </c>
      <c r="M2476" s="310" t="str">
        <f t="shared" si="2691"/>
        <v/>
      </c>
      <c r="N2476" s="311" t="str">
        <f t="shared" si="2692"/>
        <v/>
      </c>
    </row>
    <row r="2477" spans="1:14">
      <c r="A2477" s="297"/>
      <c r="B2477" s="254"/>
      <c r="C2477" s="299"/>
      <c r="D2477" s="299"/>
      <c r="E2477" s="300"/>
      <c r="F2477" s="300"/>
      <c r="G2477" s="302"/>
      <c r="H2477" s="310"/>
      <c r="I2477" s="311"/>
      <c r="J2477" s="311"/>
      <c r="K2477" s="311"/>
      <c r="L2477" s="310"/>
      <c r="M2477" s="310"/>
      <c r="N2477" s="311"/>
    </row>
    <row r="2478" spans="1:14">
      <c r="A2478" s="297" t="s">
        <v>1669</v>
      </c>
      <c r="B2478" s="254"/>
      <c r="C2478" s="299" t="s">
        <v>1498</v>
      </c>
      <c r="D2478" s="299">
        <v>1</v>
      </c>
      <c r="E2478" s="300">
        <f>3.19/0.15</f>
        <v>21</v>
      </c>
      <c r="F2478" s="300">
        <f>E2478*D2478</f>
        <v>21</v>
      </c>
      <c r="G2478" s="302">
        <f>(2.75)+17*0.012*2</f>
        <v>3.16</v>
      </c>
      <c r="H2478" s="310" t="str">
        <f t="shared" ref="H2478:H2479" si="2693">IF(C2478="T6",G2478*F2478,"")</f>
        <v/>
      </c>
      <c r="I2478" s="311" t="str">
        <f t="shared" ref="I2478:I2479" si="2694">IF(C2478="T8",F2478*G2478,"")</f>
        <v/>
      </c>
      <c r="J2478" s="311" t="str">
        <f t="shared" ref="J2478:J2479" si="2695">IF(C2478="T10",F2478*G2478,"")</f>
        <v/>
      </c>
      <c r="K2478" s="311" t="str">
        <f t="shared" ref="K2478:K2479" si="2696">IF(C2478="T12",F2478*G2478,"")</f>
        <v/>
      </c>
      <c r="L2478" s="310" t="str">
        <f t="shared" ref="L2478:L2479" si="2697">IF(C2478="T14",F2478*G2478,"")</f>
        <v/>
      </c>
      <c r="M2478" s="310">
        <f t="shared" ref="M2478:M2479" si="2698">IF(C2478="T16",G2478*F2478,"")</f>
        <v>66.36</v>
      </c>
      <c r="N2478" s="311" t="str">
        <f t="shared" ref="N2478:N2479" si="2699">IF(C2478="T20",G2478*F2478,"")</f>
        <v/>
      </c>
    </row>
    <row r="2479" spans="1:14">
      <c r="A2479" s="297" t="s">
        <v>1669</v>
      </c>
      <c r="B2479" s="254"/>
      <c r="C2479" s="299" t="s">
        <v>1516</v>
      </c>
      <c r="D2479" s="299">
        <v>1</v>
      </c>
      <c r="E2479" s="300">
        <f>2.75/0.15</f>
        <v>18</v>
      </c>
      <c r="F2479" s="300">
        <f>E2479*D2479</f>
        <v>18</v>
      </c>
      <c r="G2479" s="302">
        <f>(3.19)+17*0.012*2</f>
        <v>3.6</v>
      </c>
      <c r="H2479" s="310" t="str">
        <f t="shared" si="2693"/>
        <v/>
      </c>
      <c r="I2479" s="311" t="str">
        <f t="shared" si="2694"/>
        <v/>
      </c>
      <c r="J2479" s="311" t="str">
        <f t="shared" si="2695"/>
        <v/>
      </c>
      <c r="K2479" s="311">
        <f t="shared" si="2696"/>
        <v>64.8</v>
      </c>
      <c r="L2479" s="310" t="str">
        <f t="shared" si="2697"/>
        <v/>
      </c>
      <c r="M2479" s="310" t="str">
        <f t="shared" si="2698"/>
        <v/>
      </c>
      <c r="N2479" s="311" t="str">
        <f t="shared" si="2699"/>
        <v/>
      </c>
    </row>
    <row r="2480" spans="1:14">
      <c r="A2480" s="297"/>
      <c r="B2480" s="254"/>
      <c r="C2480" s="299"/>
      <c r="D2480" s="299"/>
      <c r="E2480" s="300"/>
      <c r="F2480" s="300"/>
      <c r="G2480" s="302"/>
      <c r="H2480" s="310"/>
      <c r="I2480" s="311"/>
      <c r="J2480" s="311"/>
      <c r="K2480" s="311"/>
      <c r="L2480" s="310"/>
      <c r="M2480" s="310"/>
      <c r="N2480" s="311"/>
    </row>
    <row r="2481" spans="1:14">
      <c r="A2481" s="297" t="s">
        <v>1669</v>
      </c>
      <c r="B2481" s="254"/>
      <c r="C2481" s="299" t="s">
        <v>1498</v>
      </c>
      <c r="D2481" s="299">
        <v>1</v>
      </c>
      <c r="E2481" s="300">
        <f>3.19/0.15</f>
        <v>21</v>
      </c>
      <c r="F2481" s="300">
        <f>E2481*D2481</f>
        <v>21</v>
      </c>
      <c r="G2481" s="302">
        <f>(3.38)+17*0.012*2</f>
        <v>3.79</v>
      </c>
      <c r="H2481" s="310" t="str">
        <f t="shared" ref="H2481:H2482" si="2700">IF(C2481="T6",G2481*F2481,"")</f>
        <v/>
      </c>
      <c r="I2481" s="311" t="str">
        <f t="shared" ref="I2481:I2482" si="2701">IF(C2481="T8",F2481*G2481,"")</f>
        <v/>
      </c>
      <c r="J2481" s="311" t="str">
        <f t="shared" ref="J2481:J2482" si="2702">IF(C2481="T10",F2481*G2481,"")</f>
        <v/>
      </c>
      <c r="K2481" s="311" t="str">
        <f t="shared" ref="K2481:K2482" si="2703">IF(C2481="T12",F2481*G2481,"")</f>
        <v/>
      </c>
      <c r="L2481" s="310" t="str">
        <f t="shared" ref="L2481:L2482" si="2704">IF(C2481="T14",F2481*G2481,"")</f>
        <v/>
      </c>
      <c r="M2481" s="310">
        <f t="shared" ref="M2481:M2482" si="2705">IF(C2481="T16",G2481*F2481,"")</f>
        <v>79.59</v>
      </c>
      <c r="N2481" s="311" t="str">
        <f t="shared" ref="N2481:N2482" si="2706">IF(C2481="T20",G2481*F2481,"")</f>
        <v/>
      </c>
    </row>
    <row r="2482" spans="1:14">
      <c r="A2482" s="297" t="s">
        <v>1669</v>
      </c>
      <c r="B2482" s="254"/>
      <c r="C2482" s="299" t="s">
        <v>1516</v>
      </c>
      <c r="D2482" s="299">
        <v>1</v>
      </c>
      <c r="E2482" s="300">
        <f>3.38/0.15</f>
        <v>23</v>
      </c>
      <c r="F2482" s="300">
        <f>E2482*D2482</f>
        <v>23</v>
      </c>
      <c r="G2482" s="302">
        <f>(3.19)+17*0.012*2</f>
        <v>3.6</v>
      </c>
      <c r="H2482" s="310" t="str">
        <f t="shared" si="2700"/>
        <v/>
      </c>
      <c r="I2482" s="311" t="str">
        <f t="shared" si="2701"/>
        <v/>
      </c>
      <c r="J2482" s="311" t="str">
        <f t="shared" si="2702"/>
        <v/>
      </c>
      <c r="K2482" s="311">
        <f t="shared" si="2703"/>
        <v>82.8</v>
      </c>
      <c r="L2482" s="310" t="str">
        <f t="shared" si="2704"/>
        <v/>
      </c>
      <c r="M2482" s="310" t="str">
        <f t="shared" si="2705"/>
        <v/>
      </c>
      <c r="N2482" s="311" t="str">
        <f t="shared" si="2706"/>
        <v/>
      </c>
    </row>
    <row r="2483" spans="1:14">
      <c r="A2483" s="253"/>
      <c r="B2483" s="254"/>
      <c r="C2483" s="299"/>
      <c r="D2483" s="299"/>
      <c r="E2483" s="300"/>
      <c r="F2483" s="300"/>
      <c r="G2483" s="302"/>
      <c r="H2483" s="310"/>
      <c r="I2483" s="311"/>
      <c r="J2483" s="311"/>
      <c r="K2483" s="311"/>
      <c r="L2483" s="310"/>
      <c r="M2483" s="310"/>
      <c r="N2483" s="311"/>
    </row>
    <row r="2484" spans="1:14">
      <c r="A2484" s="253"/>
      <c r="B2484" s="254"/>
      <c r="C2484" s="299"/>
      <c r="D2484" s="299"/>
      <c r="E2484" s="300"/>
      <c r="F2484" s="300"/>
      <c r="G2484" s="299"/>
      <c r="H2484" s="312"/>
      <c r="I2484" s="313"/>
      <c r="J2484" s="313"/>
      <c r="K2484" s="313"/>
      <c r="L2484" s="312"/>
      <c r="M2484" s="312"/>
      <c r="N2484" s="313"/>
    </row>
    <row r="2485" spans="1:14" ht="20.25" customHeight="1">
      <c r="A2485" s="256" t="s">
        <v>1491</v>
      </c>
      <c r="B2485" s="269"/>
      <c r="C2485" s="271"/>
      <c r="D2485" s="271"/>
      <c r="E2485" s="272"/>
      <c r="F2485" s="272"/>
      <c r="G2485" s="271"/>
      <c r="H2485" s="314" t="str">
        <f t="shared" si="7"/>
        <v/>
      </c>
      <c r="I2485" s="315" t="str">
        <f t="shared" si="8"/>
        <v/>
      </c>
      <c r="J2485" s="315" t="str">
        <f t="shared" si="9"/>
        <v/>
      </c>
      <c r="K2485" s="315" t="str">
        <f t="shared" si="10"/>
        <v/>
      </c>
      <c r="L2485" s="314" t="str">
        <f t="shared" si="11"/>
        <v/>
      </c>
      <c r="M2485" s="314" t="str">
        <f t="shared" si="12"/>
        <v/>
      </c>
      <c r="N2485" s="315" t="str">
        <f t="shared" si="13"/>
        <v/>
      </c>
    </row>
    <row r="2486" spans="1:14" ht="17.25">
      <c r="A2486" s="261"/>
      <c r="B2486" s="269"/>
      <c r="C2486" s="271"/>
      <c r="D2486" s="271"/>
      <c r="E2486" s="272"/>
      <c r="F2486" s="272"/>
      <c r="G2486" s="271"/>
      <c r="H2486" s="314" t="str">
        <f t="shared" si="7"/>
        <v/>
      </c>
      <c r="I2486" s="315" t="str">
        <f t="shared" si="8"/>
        <v/>
      </c>
      <c r="J2486" s="315" t="str">
        <f t="shared" si="9"/>
        <v/>
      </c>
      <c r="K2486" s="315" t="str">
        <f t="shared" si="10"/>
        <v/>
      </c>
      <c r="L2486" s="314" t="str">
        <f t="shared" si="11"/>
        <v/>
      </c>
      <c r="M2486" s="314" t="str">
        <f t="shared" si="12"/>
        <v/>
      </c>
      <c r="N2486" s="315" t="str">
        <f t="shared" si="13"/>
        <v/>
      </c>
    </row>
    <row r="2487" spans="1:14" ht="18" customHeight="1">
      <c r="A2487" s="326" t="s">
        <v>1377</v>
      </c>
      <c r="B2487" s="269"/>
      <c r="C2487" s="271"/>
      <c r="D2487" s="271"/>
      <c r="E2487" s="275"/>
      <c r="F2487" s="275"/>
      <c r="G2487" s="276"/>
      <c r="H2487" s="314" t="str">
        <f t="shared" si="7"/>
        <v/>
      </c>
      <c r="I2487" s="315" t="str">
        <f t="shared" si="8"/>
        <v/>
      </c>
      <c r="J2487" s="315" t="str">
        <f t="shared" si="9"/>
        <v/>
      </c>
      <c r="K2487" s="315" t="str">
        <f t="shared" si="10"/>
        <v/>
      </c>
      <c r="L2487" s="314" t="str">
        <f t="shared" si="11"/>
        <v/>
      </c>
      <c r="M2487" s="314" t="str">
        <f t="shared" si="12"/>
        <v/>
      </c>
      <c r="N2487" s="315" t="str">
        <f t="shared" si="13"/>
        <v/>
      </c>
    </row>
    <row r="2488" spans="1:14" ht="18.75" customHeight="1">
      <c r="A2488" s="296" t="s">
        <v>1504</v>
      </c>
      <c r="B2488" s="269"/>
      <c r="C2488" s="271"/>
      <c r="D2488" s="271"/>
      <c r="E2488" s="275"/>
      <c r="F2488" s="275"/>
      <c r="G2488" s="276"/>
      <c r="H2488" s="308" t="str">
        <f t="shared" ref="H2488:H2542" si="2707">IF(C2488="T6",G2488*F2488,"")</f>
        <v/>
      </c>
      <c r="I2488" s="309" t="str">
        <f t="shared" ref="I2488:I2542" si="2708">IF(C2488="T8",F2488*G2488,"")</f>
        <v/>
      </c>
      <c r="J2488" s="309" t="str">
        <f t="shared" ref="J2488:J2542" si="2709">IF(C2488="T10",F2488*G2488,"")</f>
        <v/>
      </c>
      <c r="K2488" s="309" t="str">
        <f t="shared" ref="K2488:K2542" si="2710">IF(C2488="T12",F2488*G2488,"")</f>
        <v/>
      </c>
      <c r="L2488" s="308" t="str">
        <f t="shared" ref="L2488:L2542" si="2711">IF(C2488="T14",F2488*G2488,"")</f>
        <v/>
      </c>
      <c r="M2488" s="308" t="str">
        <f t="shared" ref="M2488:M2542" si="2712">IF(C2488="T16",G2488*F2488,"")</f>
        <v/>
      </c>
      <c r="N2488" s="309" t="str">
        <f t="shared" ref="N2488:N2542" si="2713">IF(C2488="T20",G2488*F2488,"")</f>
        <v/>
      </c>
    </row>
    <row r="2489" spans="1:14" s="294" customFormat="1">
      <c r="A2489" s="290" t="s">
        <v>1493</v>
      </c>
      <c r="B2489" s="291"/>
      <c r="C2489" s="291" t="s">
        <v>1492</v>
      </c>
      <c r="D2489" s="292">
        <v>15</v>
      </c>
      <c r="E2489" s="292">
        <v>10</v>
      </c>
      <c r="F2489" s="293">
        <f>E2489*D2489</f>
        <v>150</v>
      </c>
      <c r="G2489" s="295">
        <f>3.5+(52*0.014)</f>
        <v>4.2300000000000004</v>
      </c>
      <c r="H2489" s="310" t="str">
        <f t="shared" si="2707"/>
        <v/>
      </c>
      <c r="I2489" s="311" t="str">
        <f t="shared" si="2708"/>
        <v/>
      </c>
      <c r="J2489" s="311" t="str">
        <f t="shared" si="2709"/>
        <v/>
      </c>
      <c r="K2489" s="311" t="str">
        <f t="shared" si="2710"/>
        <v/>
      </c>
      <c r="L2489" s="310">
        <f t="shared" si="2711"/>
        <v>634.5</v>
      </c>
      <c r="M2489" s="310" t="str">
        <f t="shared" si="2712"/>
        <v/>
      </c>
      <c r="N2489" s="311" t="str">
        <f t="shared" si="2713"/>
        <v/>
      </c>
    </row>
    <row r="2490" spans="1:14" s="294" customFormat="1">
      <c r="A2490" s="290" t="s">
        <v>1494</v>
      </c>
      <c r="B2490" s="291"/>
      <c r="C2490" s="291" t="s">
        <v>1496</v>
      </c>
      <c r="D2490" s="292">
        <v>15</v>
      </c>
      <c r="E2490" s="293">
        <f>((1.68/0.06)+(1.82/0.12))</f>
        <v>43</v>
      </c>
      <c r="F2490" s="293">
        <f t="shared" ref="F2490:F2491" si="2714">E2490*D2490</f>
        <v>645</v>
      </c>
      <c r="G2490" s="295">
        <f>(0.2+0.4)*2+17*0.008*2</f>
        <v>1.47</v>
      </c>
      <c r="H2490" s="310" t="str">
        <f t="shared" si="2707"/>
        <v/>
      </c>
      <c r="I2490" s="311">
        <f t="shared" si="2708"/>
        <v>948.15</v>
      </c>
      <c r="J2490" s="311" t="str">
        <f t="shared" si="2709"/>
        <v/>
      </c>
      <c r="K2490" s="311" t="str">
        <f t="shared" si="2710"/>
        <v/>
      </c>
      <c r="L2490" s="310" t="str">
        <f t="shared" si="2711"/>
        <v/>
      </c>
      <c r="M2490" s="310" t="str">
        <f t="shared" si="2712"/>
        <v/>
      </c>
      <c r="N2490" s="311" t="str">
        <f t="shared" si="2713"/>
        <v/>
      </c>
    </row>
    <row r="2491" spans="1:14" s="294" customFormat="1">
      <c r="A2491" s="290" t="s">
        <v>1495</v>
      </c>
      <c r="B2491" s="291"/>
      <c r="C2491" s="291" t="s">
        <v>1496</v>
      </c>
      <c r="D2491" s="292">
        <v>15</v>
      </c>
      <c r="E2491" s="293">
        <f>((1.68/0.06)+(1.82/0.12))*3</f>
        <v>130</v>
      </c>
      <c r="F2491" s="293">
        <f t="shared" si="2714"/>
        <v>1950</v>
      </c>
      <c r="G2491" s="295">
        <f>(0.2*2)+17*0.008*2</f>
        <v>0.67</v>
      </c>
      <c r="H2491" s="310" t="str">
        <f t="shared" si="2707"/>
        <v/>
      </c>
      <c r="I2491" s="311">
        <f t="shared" si="2708"/>
        <v>1306.5</v>
      </c>
      <c r="J2491" s="311" t="str">
        <f t="shared" si="2709"/>
        <v/>
      </c>
      <c r="K2491" s="311" t="str">
        <f t="shared" si="2710"/>
        <v/>
      </c>
      <c r="L2491" s="310" t="str">
        <f t="shared" si="2711"/>
        <v/>
      </c>
      <c r="M2491" s="310" t="str">
        <f t="shared" si="2712"/>
        <v/>
      </c>
      <c r="N2491" s="311" t="str">
        <f t="shared" si="2713"/>
        <v/>
      </c>
    </row>
    <row r="2492" spans="1:14">
      <c r="A2492" s="270"/>
      <c r="B2492" s="269"/>
      <c r="C2492" s="271"/>
      <c r="D2492" s="271"/>
      <c r="E2492" s="272"/>
      <c r="F2492" s="272"/>
      <c r="G2492" s="271"/>
      <c r="H2492" s="308" t="str">
        <f t="shared" si="2707"/>
        <v/>
      </c>
      <c r="I2492" s="309" t="str">
        <f t="shared" si="2708"/>
        <v/>
      </c>
      <c r="J2492" s="309" t="str">
        <f t="shared" si="2709"/>
        <v/>
      </c>
      <c r="K2492" s="309" t="str">
        <f t="shared" si="2710"/>
        <v/>
      </c>
      <c r="L2492" s="308" t="str">
        <f t="shared" si="2711"/>
        <v/>
      </c>
      <c r="M2492" s="308" t="str">
        <f t="shared" si="2712"/>
        <v/>
      </c>
      <c r="N2492" s="309" t="str">
        <f t="shared" si="2713"/>
        <v/>
      </c>
    </row>
    <row r="2493" spans="1:14" ht="18.75" customHeight="1">
      <c r="A2493" s="296" t="s">
        <v>1502</v>
      </c>
      <c r="B2493" s="269"/>
      <c r="C2493" s="271"/>
      <c r="D2493" s="271"/>
      <c r="E2493" s="275"/>
      <c r="F2493" s="275"/>
      <c r="G2493" s="276"/>
      <c r="H2493" s="308" t="str">
        <f t="shared" ref="H2493:H2496" si="2715">IF(C2493="T6",G2493*F2493,"")</f>
        <v/>
      </c>
      <c r="I2493" s="309" t="str">
        <f t="shared" ref="I2493:I2496" si="2716">IF(C2493="T8",F2493*G2493,"")</f>
        <v/>
      </c>
      <c r="J2493" s="309" t="str">
        <f t="shared" ref="J2493:J2496" si="2717">IF(C2493="T10",F2493*G2493,"")</f>
        <v/>
      </c>
      <c r="K2493" s="309" t="str">
        <f t="shared" ref="K2493:K2496" si="2718">IF(C2493="T12",F2493*G2493,"")</f>
        <v/>
      </c>
      <c r="L2493" s="308" t="str">
        <f t="shared" ref="L2493:L2496" si="2719">IF(C2493="T14",F2493*G2493,"")</f>
        <v/>
      </c>
      <c r="M2493" s="308" t="str">
        <f t="shared" ref="M2493:M2496" si="2720">IF(C2493="T16",G2493*F2493,"")</f>
        <v/>
      </c>
      <c r="N2493" s="309" t="str">
        <f t="shared" ref="N2493:N2496" si="2721">IF(C2493="T20",G2493*F2493,"")</f>
        <v/>
      </c>
    </row>
    <row r="2494" spans="1:14" s="294" customFormat="1">
      <c r="A2494" s="290" t="s">
        <v>1493</v>
      </c>
      <c r="B2494" s="291"/>
      <c r="C2494" s="291" t="s">
        <v>1492</v>
      </c>
      <c r="D2494" s="292">
        <v>2</v>
      </c>
      <c r="E2494" s="292">
        <v>8</v>
      </c>
      <c r="F2494" s="293">
        <f>E2494*D2494</f>
        <v>16</v>
      </c>
      <c r="G2494" s="295">
        <f>3.5+(52*0.014)</f>
        <v>4.2300000000000004</v>
      </c>
      <c r="H2494" s="310" t="str">
        <f t="shared" si="2715"/>
        <v/>
      </c>
      <c r="I2494" s="311" t="str">
        <f t="shared" si="2716"/>
        <v/>
      </c>
      <c r="J2494" s="311" t="str">
        <f t="shared" si="2717"/>
        <v/>
      </c>
      <c r="K2494" s="311" t="str">
        <f t="shared" si="2718"/>
        <v/>
      </c>
      <c r="L2494" s="310">
        <f t="shared" si="2719"/>
        <v>67.680000000000007</v>
      </c>
      <c r="M2494" s="310" t="str">
        <f t="shared" si="2720"/>
        <v/>
      </c>
      <c r="N2494" s="311" t="str">
        <f t="shared" si="2721"/>
        <v/>
      </c>
    </row>
    <row r="2495" spans="1:14" s="294" customFormat="1">
      <c r="A2495" s="290" t="s">
        <v>1494</v>
      </c>
      <c r="B2495" s="291"/>
      <c r="C2495" s="291" t="s">
        <v>1496</v>
      </c>
      <c r="D2495" s="292">
        <v>2</v>
      </c>
      <c r="E2495" s="293">
        <f>((1.68/0.06)+(1.82/0.12))</f>
        <v>43</v>
      </c>
      <c r="F2495" s="293">
        <f t="shared" ref="F2495:F2496" si="2722">E2495*D2495</f>
        <v>86</v>
      </c>
      <c r="G2495" s="295">
        <f>((0.2+0.3)*2)+17*0.008*2</f>
        <v>1.27</v>
      </c>
      <c r="H2495" s="310" t="str">
        <f t="shared" si="2715"/>
        <v/>
      </c>
      <c r="I2495" s="311">
        <f t="shared" si="2716"/>
        <v>109.22</v>
      </c>
      <c r="J2495" s="311" t="str">
        <f t="shared" si="2717"/>
        <v/>
      </c>
      <c r="K2495" s="311" t="str">
        <f t="shared" si="2718"/>
        <v/>
      </c>
      <c r="L2495" s="310" t="str">
        <f t="shared" si="2719"/>
        <v/>
      </c>
      <c r="M2495" s="310" t="str">
        <f t="shared" si="2720"/>
        <v/>
      </c>
      <c r="N2495" s="311" t="str">
        <f t="shared" si="2721"/>
        <v/>
      </c>
    </row>
    <row r="2496" spans="1:14" s="294" customFormat="1">
      <c r="A2496" s="290" t="s">
        <v>1495</v>
      </c>
      <c r="B2496" s="291"/>
      <c r="C2496" s="291" t="s">
        <v>1496</v>
      </c>
      <c r="D2496" s="292">
        <v>2</v>
      </c>
      <c r="E2496" s="293">
        <f>((1.68/0.06)+(1.82/0.12))*2</f>
        <v>86</v>
      </c>
      <c r="F2496" s="293">
        <f t="shared" si="2722"/>
        <v>172</v>
      </c>
      <c r="G2496" s="295">
        <f>(0.2*2)+17*0.008*2</f>
        <v>0.67</v>
      </c>
      <c r="H2496" s="310" t="str">
        <f t="shared" si="2715"/>
        <v/>
      </c>
      <c r="I2496" s="311">
        <f t="shared" si="2716"/>
        <v>115.24</v>
      </c>
      <c r="J2496" s="311" t="str">
        <f t="shared" si="2717"/>
        <v/>
      </c>
      <c r="K2496" s="311" t="str">
        <f t="shared" si="2718"/>
        <v/>
      </c>
      <c r="L2496" s="310" t="str">
        <f t="shared" si="2719"/>
        <v/>
      </c>
      <c r="M2496" s="310" t="str">
        <f t="shared" si="2720"/>
        <v/>
      </c>
      <c r="N2496" s="311" t="str">
        <f t="shared" si="2721"/>
        <v/>
      </c>
    </row>
    <row r="2497" spans="1:14">
      <c r="A2497" s="270"/>
      <c r="B2497" s="269"/>
      <c r="C2497" s="271"/>
      <c r="D2497" s="271"/>
      <c r="E2497" s="272"/>
      <c r="F2497" s="275"/>
      <c r="G2497" s="277"/>
      <c r="H2497" s="308" t="str">
        <f t="shared" si="2707"/>
        <v/>
      </c>
      <c r="I2497" s="309" t="str">
        <f t="shared" si="2708"/>
        <v/>
      </c>
      <c r="J2497" s="309" t="str">
        <f t="shared" si="2709"/>
        <v/>
      </c>
      <c r="K2497" s="309" t="str">
        <f t="shared" si="2710"/>
        <v/>
      </c>
      <c r="L2497" s="308" t="str">
        <f t="shared" si="2711"/>
        <v/>
      </c>
      <c r="M2497" s="308" t="str">
        <f t="shared" si="2712"/>
        <v/>
      </c>
      <c r="N2497" s="309" t="str">
        <f t="shared" si="2713"/>
        <v/>
      </c>
    </row>
    <row r="2498" spans="1:14" ht="18.75" customHeight="1">
      <c r="A2498" s="296" t="s">
        <v>1497</v>
      </c>
      <c r="B2498" s="269"/>
      <c r="C2498" s="271"/>
      <c r="D2498" s="271"/>
      <c r="E2498" s="275"/>
      <c r="F2498" s="275"/>
      <c r="G2498" s="276"/>
      <c r="H2498" s="308" t="str">
        <f t="shared" si="2707"/>
        <v/>
      </c>
      <c r="I2498" s="309" t="str">
        <f t="shared" si="2708"/>
        <v/>
      </c>
      <c r="J2498" s="309" t="str">
        <f t="shared" si="2709"/>
        <v/>
      </c>
      <c r="K2498" s="309" t="str">
        <f t="shared" si="2710"/>
        <v/>
      </c>
      <c r="L2498" s="308" t="str">
        <f t="shared" si="2711"/>
        <v/>
      </c>
      <c r="M2498" s="308" t="str">
        <f t="shared" si="2712"/>
        <v/>
      </c>
      <c r="N2498" s="309" t="str">
        <f t="shared" si="2713"/>
        <v/>
      </c>
    </row>
    <row r="2499" spans="1:14" s="294" customFormat="1">
      <c r="A2499" s="290" t="s">
        <v>1493</v>
      </c>
      <c r="B2499" s="291"/>
      <c r="C2499" s="291" t="s">
        <v>1498</v>
      </c>
      <c r="D2499" s="292">
        <v>3</v>
      </c>
      <c r="E2499" s="292">
        <v>8</v>
      </c>
      <c r="F2499" s="293">
        <f>E2499*D2499</f>
        <v>24</v>
      </c>
      <c r="G2499" s="295">
        <f>3.5+(52*0.016)</f>
        <v>4.33</v>
      </c>
      <c r="H2499" s="310" t="str">
        <f t="shared" si="2707"/>
        <v/>
      </c>
      <c r="I2499" s="311" t="str">
        <f t="shared" si="2708"/>
        <v/>
      </c>
      <c r="J2499" s="311" t="str">
        <f t="shared" si="2709"/>
        <v/>
      </c>
      <c r="K2499" s="311" t="str">
        <f t="shared" si="2710"/>
        <v/>
      </c>
      <c r="L2499" s="310" t="str">
        <f t="shared" si="2711"/>
        <v/>
      </c>
      <c r="M2499" s="310">
        <f t="shared" si="2712"/>
        <v>103.92</v>
      </c>
      <c r="N2499" s="311" t="str">
        <f t="shared" si="2713"/>
        <v/>
      </c>
    </row>
    <row r="2500" spans="1:14" s="294" customFormat="1">
      <c r="A2500" s="290" t="s">
        <v>1494</v>
      </c>
      <c r="B2500" s="291"/>
      <c r="C2500" s="291" t="s">
        <v>1496</v>
      </c>
      <c r="D2500" s="292">
        <v>3</v>
      </c>
      <c r="E2500" s="293">
        <f>((1.68/0.06)+(1.82/0.12))</f>
        <v>43</v>
      </c>
      <c r="F2500" s="293">
        <f t="shared" ref="F2500" si="2723">E2500*D2500</f>
        <v>129</v>
      </c>
      <c r="G2500" s="295">
        <f>(3.14*0.3)+17*0.008*2</f>
        <v>1.21</v>
      </c>
      <c r="H2500" s="310" t="str">
        <f t="shared" si="2707"/>
        <v/>
      </c>
      <c r="I2500" s="311">
        <f t="shared" si="2708"/>
        <v>156.09</v>
      </c>
      <c r="J2500" s="311" t="str">
        <f t="shared" si="2709"/>
        <v/>
      </c>
      <c r="K2500" s="311" t="str">
        <f t="shared" si="2710"/>
        <v/>
      </c>
      <c r="L2500" s="310" t="str">
        <f t="shared" si="2711"/>
        <v/>
      </c>
      <c r="M2500" s="310" t="str">
        <f t="shared" si="2712"/>
        <v/>
      </c>
      <c r="N2500" s="311" t="str">
        <f t="shared" si="2713"/>
        <v/>
      </c>
    </row>
    <row r="2501" spans="1:14" ht="17.25">
      <c r="A2501" s="261"/>
      <c r="B2501" s="269"/>
      <c r="C2501" s="271"/>
      <c r="D2501" s="271"/>
      <c r="E2501" s="272"/>
      <c r="F2501" s="272"/>
      <c r="G2501" s="271"/>
      <c r="H2501" s="308" t="str">
        <f t="shared" si="2707"/>
        <v/>
      </c>
      <c r="I2501" s="309" t="str">
        <f t="shared" si="2708"/>
        <v/>
      </c>
      <c r="J2501" s="309" t="str">
        <f t="shared" si="2709"/>
        <v/>
      </c>
      <c r="K2501" s="309" t="str">
        <f t="shared" si="2710"/>
        <v/>
      </c>
      <c r="L2501" s="308" t="str">
        <f t="shared" si="2711"/>
        <v/>
      </c>
      <c r="M2501" s="308" t="str">
        <f t="shared" si="2712"/>
        <v/>
      </c>
      <c r="N2501" s="309" t="str">
        <f t="shared" si="2713"/>
        <v/>
      </c>
    </row>
    <row r="2502" spans="1:14" ht="16.5">
      <c r="A2502" s="326" t="s">
        <v>1376</v>
      </c>
      <c r="B2502" s="269"/>
      <c r="C2502" s="271"/>
      <c r="D2502" s="271"/>
      <c r="E2502" s="272"/>
      <c r="F2502" s="272"/>
      <c r="G2502" s="271"/>
      <c r="H2502" s="308" t="str">
        <f t="shared" si="2707"/>
        <v/>
      </c>
      <c r="I2502" s="309" t="str">
        <f t="shared" si="2708"/>
        <v/>
      </c>
      <c r="J2502" s="309" t="str">
        <f t="shared" si="2709"/>
        <v/>
      </c>
      <c r="K2502" s="309" t="str">
        <f t="shared" si="2710"/>
        <v/>
      </c>
      <c r="L2502" s="308" t="str">
        <f t="shared" si="2711"/>
        <v/>
      </c>
      <c r="M2502" s="308" t="str">
        <f t="shared" si="2712"/>
        <v/>
      </c>
      <c r="N2502" s="309" t="str">
        <f t="shared" si="2713"/>
        <v/>
      </c>
    </row>
    <row r="2503" spans="1:14">
      <c r="A2503" s="296" t="s">
        <v>1503</v>
      </c>
      <c r="B2503" s="269"/>
      <c r="C2503" s="271"/>
      <c r="D2503" s="271"/>
      <c r="E2503" s="275"/>
      <c r="F2503" s="275"/>
      <c r="G2503" s="276"/>
      <c r="H2503" s="308" t="str">
        <f t="shared" ref="H2503:H2506" si="2724">IF(C2503="T6",G2503*F2503,"")</f>
        <v/>
      </c>
      <c r="I2503" s="309" t="str">
        <f t="shared" ref="I2503:I2506" si="2725">IF(C2503="T8",F2503*G2503,"")</f>
        <v/>
      </c>
      <c r="J2503" s="309" t="str">
        <f t="shared" ref="J2503:J2506" si="2726">IF(C2503="T10",F2503*G2503,"")</f>
        <v/>
      </c>
      <c r="K2503" s="309" t="str">
        <f t="shared" ref="K2503:K2506" si="2727">IF(C2503="T12",F2503*G2503,"")</f>
        <v/>
      </c>
      <c r="L2503" s="308" t="str">
        <f t="shared" ref="L2503:L2506" si="2728">IF(C2503="T14",F2503*G2503,"")</f>
        <v/>
      </c>
      <c r="M2503" s="308" t="str">
        <f t="shared" ref="M2503:M2506" si="2729">IF(C2503="T16",G2503*F2503,"")</f>
        <v/>
      </c>
      <c r="N2503" s="309" t="str">
        <f t="shared" ref="N2503:N2506" si="2730">IF(C2503="T20",G2503*F2503,"")</f>
        <v/>
      </c>
    </row>
    <row r="2504" spans="1:14">
      <c r="A2504" s="290" t="s">
        <v>1493</v>
      </c>
      <c r="B2504" s="291"/>
      <c r="C2504" s="291" t="s">
        <v>1492</v>
      </c>
      <c r="D2504" s="292">
        <v>6</v>
      </c>
      <c r="E2504" s="292">
        <v>20</v>
      </c>
      <c r="F2504" s="293">
        <f>E2504*D2504</f>
        <v>120</v>
      </c>
      <c r="G2504" s="295">
        <f>3.5+(52*0.014)</f>
        <v>4.2300000000000004</v>
      </c>
      <c r="H2504" s="310" t="str">
        <f t="shared" si="2724"/>
        <v/>
      </c>
      <c r="I2504" s="311" t="str">
        <f t="shared" si="2725"/>
        <v/>
      </c>
      <c r="J2504" s="311" t="str">
        <f t="shared" si="2726"/>
        <v/>
      </c>
      <c r="K2504" s="311" t="str">
        <f t="shared" si="2727"/>
        <v/>
      </c>
      <c r="L2504" s="310">
        <f t="shared" si="2728"/>
        <v>507.6</v>
      </c>
      <c r="M2504" s="310" t="str">
        <f t="shared" si="2729"/>
        <v/>
      </c>
      <c r="N2504" s="311" t="str">
        <f t="shared" si="2730"/>
        <v/>
      </c>
    </row>
    <row r="2505" spans="1:14">
      <c r="A2505" s="290" t="s">
        <v>1494</v>
      </c>
      <c r="B2505" s="291"/>
      <c r="C2505" s="291" t="s">
        <v>1496</v>
      </c>
      <c r="D2505" s="292">
        <v>6</v>
      </c>
      <c r="E2505" s="293">
        <f>((1.68/0.06)+(1.82/0.12))</f>
        <v>43</v>
      </c>
      <c r="F2505" s="293">
        <f t="shared" ref="F2505:F2506" si="2731">E2505*D2505</f>
        <v>258</v>
      </c>
      <c r="G2505" s="295">
        <f>(0.2+0.45)*2+17*0.008*2</f>
        <v>1.57</v>
      </c>
      <c r="H2505" s="310" t="str">
        <f t="shared" si="2724"/>
        <v/>
      </c>
      <c r="I2505" s="311">
        <f t="shared" si="2725"/>
        <v>405.06</v>
      </c>
      <c r="J2505" s="311" t="str">
        <f t="shared" si="2726"/>
        <v/>
      </c>
      <c r="K2505" s="311" t="str">
        <f t="shared" si="2727"/>
        <v/>
      </c>
      <c r="L2505" s="310" t="str">
        <f t="shared" si="2728"/>
        <v/>
      </c>
      <c r="M2505" s="310" t="str">
        <f t="shared" si="2729"/>
        <v/>
      </c>
      <c r="N2505" s="311" t="str">
        <f t="shared" si="2730"/>
        <v/>
      </c>
    </row>
    <row r="2506" spans="1:14">
      <c r="A2506" s="290" t="s">
        <v>1499</v>
      </c>
      <c r="B2506" s="291"/>
      <c r="C2506" s="291" t="s">
        <v>1496</v>
      </c>
      <c r="D2506" s="292">
        <v>6</v>
      </c>
      <c r="E2506" s="293">
        <f>((1.68/0.06)+(1.82/0.12))*7</f>
        <v>302</v>
      </c>
      <c r="F2506" s="293">
        <f t="shared" si="2731"/>
        <v>1812</v>
      </c>
      <c r="G2506" s="295">
        <f>(0.2*2)+17*0.008*2</f>
        <v>0.67</v>
      </c>
      <c r="H2506" s="310" t="str">
        <f t="shared" si="2724"/>
        <v/>
      </c>
      <c r="I2506" s="311">
        <f t="shared" si="2725"/>
        <v>1214.04</v>
      </c>
      <c r="J2506" s="311" t="str">
        <f t="shared" si="2726"/>
        <v/>
      </c>
      <c r="K2506" s="311" t="str">
        <f t="shared" si="2727"/>
        <v/>
      </c>
      <c r="L2506" s="310" t="str">
        <f t="shared" si="2728"/>
        <v/>
      </c>
      <c r="M2506" s="310" t="str">
        <f t="shared" si="2729"/>
        <v/>
      </c>
      <c r="N2506" s="311" t="str">
        <f t="shared" si="2730"/>
        <v/>
      </c>
    </row>
    <row r="2507" spans="1:14">
      <c r="A2507" s="290" t="s">
        <v>1500</v>
      </c>
      <c r="B2507" s="291"/>
      <c r="C2507" s="291" t="s">
        <v>1496</v>
      </c>
      <c r="D2507" s="292">
        <v>6</v>
      </c>
      <c r="E2507" s="293">
        <f>((1.68/0.06)+(1.82/0.12))</f>
        <v>43</v>
      </c>
      <c r="F2507" s="293">
        <f t="shared" ref="F2507" si="2732">E2507*D2507</f>
        <v>258</v>
      </c>
      <c r="G2507" s="295">
        <f>(0.45*2)+17*0.008*2</f>
        <v>1.17</v>
      </c>
      <c r="H2507" s="310" t="str">
        <f t="shared" ref="H2507" si="2733">IF(C2507="T6",G2507*F2507,"")</f>
        <v/>
      </c>
      <c r="I2507" s="311">
        <f t="shared" ref="I2507" si="2734">IF(C2507="T8",F2507*G2507,"")</f>
        <v>301.86</v>
      </c>
      <c r="J2507" s="311" t="str">
        <f t="shared" ref="J2507" si="2735">IF(C2507="T10",F2507*G2507,"")</f>
        <v/>
      </c>
      <c r="K2507" s="311" t="str">
        <f t="shared" ref="K2507" si="2736">IF(C2507="T12",F2507*G2507,"")</f>
        <v/>
      </c>
      <c r="L2507" s="310" t="str">
        <f t="shared" ref="L2507" si="2737">IF(C2507="T14",F2507*G2507,"")</f>
        <v/>
      </c>
      <c r="M2507" s="310" t="str">
        <f t="shared" ref="M2507" si="2738">IF(C2507="T16",G2507*F2507,"")</f>
        <v/>
      </c>
      <c r="N2507" s="311" t="str">
        <f t="shared" ref="N2507" si="2739">IF(C2507="T20",G2507*F2507,"")</f>
        <v/>
      </c>
    </row>
    <row r="2508" spans="1:14">
      <c r="A2508" s="270"/>
      <c r="B2508" s="269"/>
      <c r="C2508" s="271"/>
      <c r="D2508" s="271"/>
      <c r="E2508" s="275"/>
      <c r="F2508" s="275"/>
      <c r="G2508" s="277"/>
      <c r="H2508" s="308" t="str">
        <f t="shared" si="2707"/>
        <v/>
      </c>
      <c r="I2508" s="309" t="str">
        <f t="shared" si="2708"/>
        <v/>
      </c>
      <c r="J2508" s="309" t="str">
        <f t="shared" si="2709"/>
        <v/>
      </c>
      <c r="K2508" s="309" t="str">
        <f t="shared" si="2710"/>
        <v/>
      </c>
      <c r="L2508" s="308" t="str">
        <f t="shared" si="2711"/>
        <v/>
      </c>
      <c r="M2508" s="308" t="str">
        <f t="shared" si="2712"/>
        <v/>
      </c>
      <c r="N2508" s="309" t="str">
        <f t="shared" si="2713"/>
        <v/>
      </c>
    </row>
    <row r="2509" spans="1:14" ht="18.75" customHeight="1">
      <c r="A2509" s="296" t="s">
        <v>1502</v>
      </c>
      <c r="B2509" s="269"/>
      <c r="C2509" s="271"/>
      <c r="D2509" s="271"/>
      <c r="E2509" s="275"/>
      <c r="F2509" s="275"/>
      <c r="G2509" s="276"/>
      <c r="H2509" s="308" t="str">
        <f t="shared" si="2707"/>
        <v/>
      </c>
      <c r="I2509" s="309" t="str">
        <f t="shared" si="2708"/>
        <v/>
      </c>
      <c r="J2509" s="309" t="str">
        <f t="shared" si="2709"/>
        <v/>
      </c>
      <c r="K2509" s="309" t="str">
        <f t="shared" si="2710"/>
        <v/>
      </c>
      <c r="L2509" s="308" t="str">
        <f t="shared" si="2711"/>
        <v/>
      </c>
      <c r="M2509" s="308" t="str">
        <f t="shared" si="2712"/>
        <v/>
      </c>
      <c r="N2509" s="309" t="str">
        <f t="shared" si="2713"/>
        <v/>
      </c>
    </row>
    <row r="2510" spans="1:14" s="294" customFormat="1">
      <c r="A2510" s="290" t="s">
        <v>1493</v>
      </c>
      <c r="B2510" s="291"/>
      <c r="C2510" s="291" t="s">
        <v>1492</v>
      </c>
      <c r="D2510" s="292">
        <v>2</v>
      </c>
      <c r="E2510" s="292">
        <v>8</v>
      </c>
      <c r="F2510" s="293">
        <f>E2510*D2510</f>
        <v>16</v>
      </c>
      <c r="G2510" s="295">
        <f>3.5+(52*0.014)</f>
        <v>4.2300000000000004</v>
      </c>
      <c r="H2510" s="310" t="str">
        <f t="shared" si="2707"/>
        <v/>
      </c>
      <c r="I2510" s="311" t="str">
        <f t="shared" si="2708"/>
        <v/>
      </c>
      <c r="J2510" s="311" t="str">
        <f t="shared" si="2709"/>
        <v/>
      </c>
      <c r="K2510" s="311" t="str">
        <f t="shared" si="2710"/>
        <v/>
      </c>
      <c r="L2510" s="310">
        <f t="shared" si="2711"/>
        <v>67.680000000000007</v>
      </c>
      <c r="M2510" s="310" t="str">
        <f t="shared" si="2712"/>
        <v/>
      </c>
      <c r="N2510" s="311" t="str">
        <f t="shared" si="2713"/>
        <v/>
      </c>
    </row>
    <row r="2511" spans="1:14" s="294" customFormat="1">
      <c r="A2511" s="290" t="s">
        <v>1494</v>
      </c>
      <c r="B2511" s="291"/>
      <c r="C2511" s="291" t="s">
        <v>1496</v>
      </c>
      <c r="D2511" s="292">
        <v>2</v>
      </c>
      <c r="E2511" s="293">
        <f>((1.68/0.06)+(1.82/0.12))</f>
        <v>43</v>
      </c>
      <c r="F2511" s="293">
        <f t="shared" ref="F2511:F2512" si="2740">E2511*D2511</f>
        <v>86</v>
      </c>
      <c r="G2511" s="295">
        <f>((0.2+0.3)*2)+17*0.008*2</f>
        <v>1.27</v>
      </c>
      <c r="H2511" s="310" t="str">
        <f t="shared" si="2707"/>
        <v/>
      </c>
      <c r="I2511" s="311">
        <f t="shared" si="2708"/>
        <v>109.22</v>
      </c>
      <c r="J2511" s="311" t="str">
        <f t="shared" si="2709"/>
        <v/>
      </c>
      <c r="K2511" s="311" t="str">
        <f t="shared" si="2710"/>
        <v/>
      </c>
      <c r="L2511" s="310" t="str">
        <f t="shared" si="2711"/>
        <v/>
      </c>
      <c r="M2511" s="310" t="str">
        <f t="shared" si="2712"/>
        <v/>
      </c>
      <c r="N2511" s="311" t="str">
        <f t="shared" si="2713"/>
        <v/>
      </c>
    </row>
    <row r="2512" spans="1:14" s="294" customFormat="1">
      <c r="A2512" s="290" t="s">
        <v>1495</v>
      </c>
      <c r="B2512" s="291"/>
      <c r="C2512" s="291" t="s">
        <v>1496</v>
      </c>
      <c r="D2512" s="292">
        <v>2</v>
      </c>
      <c r="E2512" s="293">
        <f>((1.68/0.06)+(1.82/0.12))*2</f>
        <v>86</v>
      </c>
      <c r="F2512" s="293">
        <f t="shared" si="2740"/>
        <v>172</v>
      </c>
      <c r="G2512" s="295">
        <f>(0.2*2)+17*0.008*2</f>
        <v>0.67</v>
      </c>
      <c r="H2512" s="310" t="str">
        <f t="shared" si="2707"/>
        <v/>
      </c>
      <c r="I2512" s="311">
        <f t="shared" si="2708"/>
        <v>115.24</v>
      </c>
      <c r="J2512" s="311" t="str">
        <f t="shared" si="2709"/>
        <v/>
      </c>
      <c r="K2512" s="311" t="str">
        <f t="shared" si="2710"/>
        <v/>
      </c>
      <c r="L2512" s="310" t="str">
        <f t="shared" si="2711"/>
        <v/>
      </c>
      <c r="M2512" s="310" t="str">
        <f t="shared" si="2712"/>
        <v/>
      </c>
      <c r="N2512" s="311" t="str">
        <f t="shared" si="2713"/>
        <v/>
      </c>
    </row>
    <row r="2513" spans="1:14">
      <c r="A2513" s="270"/>
      <c r="B2513" s="269"/>
      <c r="C2513" s="271"/>
      <c r="D2513" s="271"/>
      <c r="E2513" s="272"/>
      <c r="F2513" s="272"/>
      <c r="G2513" s="273"/>
      <c r="H2513" s="308" t="str">
        <f t="shared" si="2707"/>
        <v/>
      </c>
      <c r="I2513" s="309" t="str">
        <f t="shared" si="2708"/>
        <v/>
      </c>
      <c r="J2513" s="309" t="str">
        <f t="shared" si="2709"/>
        <v/>
      </c>
      <c r="K2513" s="309" t="str">
        <f t="shared" si="2710"/>
        <v/>
      </c>
      <c r="L2513" s="308" t="str">
        <f t="shared" si="2711"/>
        <v/>
      </c>
      <c r="M2513" s="308" t="str">
        <f t="shared" si="2712"/>
        <v/>
      </c>
      <c r="N2513" s="309" t="str">
        <f t="shared" si="2713"/>
        <v/>
      </c>
    </row>
    <row r="2514" spans="1:14" ht="18.75" customHeight="1">
      <c r="A2514" s="296" t="s">
        <v>1501</v>
      </c>
      <c r="B2514" s="269"/>
      <c r="C2514" s="271"/>
      <c r="D2514" s="271"/>
      <c r="E2514" s="275"/>
      <c r="F2514" s="275"/>
      <c r="G2514" s="276"/>
      <c r="H2514" s="308" t="str">
        <f t="shared" ref="H2514:H2517" si="2741">IF(C2514="T6",G2514*F2514,"")</f>
        <v/>
      </c>
      <c r="I2514" s="309" t="str">
        <f t="shared" ref="I2514:I2517" si="2742">IF(C2514="T8",F2514*G2514,"")</f>
        <v/>
      </c>
      <c r="J2514" s="309" t="str">
        <f t="shared" ref="J2514:J2517" si="2743">IF(C2514="T10",F2514*G2514,"")</f>
        <v/>
      </c>
      <c r="K2514" s="309" t="str">
        <f t="shared" ref="K2514:K2517" si="2744">IF(C2514="T12",F2514*G2514,"")</f>
        <v/>
      </c>
      <c r="L2514" s="308" t="str">
        <f t="shared" ref="L2514:L2517" si="2745">IF(C2514="T14",F2514*G2514,"")</f>
        <v/>
      </c>
      <c r="M2514" s="308" t="str">
        <f t="shared" ref="M2514:M2517" si="2746">IF(C2514="T16",G2514*F2514,"")</f>
        <v/>
      </c>
      <c r="N2514" s="309" t="str">
        <f t="shared" ref="N2514:N2517" si="2747">IF(C2514="T20",G2514*F2514,"")</f>
        <v/>
      </c>
    </row>
    <row r="2515" spans="1:14" s="294" customFormat="1">
      <c r="A2515" s="290" t="s">
        <v>1493</v>
      </c>
      <c r="B2515" s="291"/>
      <c r="C2515" s="291" t="s">
        <v>1492</v>
      </c>
      <c r="D2515" s="292">
        <v>1</v>
      </c>
      <c r="E2515" s="292">
        <v>8</v>
      </c>
      <c r="F2515" s="293">
        <f>E2515*D2515</f>
        <v>8</v>
      </c>
      <c r="G2515" s="295">
        <f>3.5+(52*0.014)</f>
        <v>4.2300000000000004</v>
      </c>
      <c r="H2515" s="310" t="str">
        <f t="shared" si="2741"/>
        <v/>
      </c>
      <c r="I2515" s="311" t="str">
        <f t="shared" si="2742"/>
        <v/>
      </c>
      <c r="J2515" s="311" t="str">
        <f t="shared" si="2743"/>
        <v/>
      </c>
      <c r="K2515" s="311" t="str">
        <f t="shared" si="2744"/>
        <v/>
      </c>
      <c r="L2515" s="310">
        <f t="shared" si="2745"/>
        <v>33.840000000000003</v>
      </c>
      <c r="M2515" s="310" t="str">
        <f t="shared" si="2746"/>
        <v/>
      </c>
      <c r="N2515" s="311" t="str">
        <f t="shared" si="2747"/>
        <v/>
      </c>
    </row>
    <row r="2516" spans="1:14" s="294" customFormat="1">
      <c r="A2516" s="290" t="s">
        <v>1494</v>
      </c>
      <c r="B2516" s="291"/>
      <c r="C2516" s="291" t="s">
        <v>1496</v>
      </c>
      <c r="D2516" s="292">
        <v>1</v>
      </c>
      <c r="E2516" s="293">
        <f>((1.68/0.06)+(1.82/0.12))</f>
        <v>43</v>
      </c>
      <c r="F2516" s="293">
        <f t="shared" ref="F2516:F2517" si="2748">E2516*D2516</f>
        <v>43</v>
      </c>
      <c r="G2516" s="295">
        <f>((0.2+0.3)*2)+17*0.008*2</f>
        <v>1.27</v>
      </c>
      <c r="H2516" s="310" t="str">
        <f t="shared" si="2741"/>
        <v/>
      </c>
      <c r="I2516" s="311">
        <f t="shared" si="2742"/>
        <v>54.61</v>
      </c>
      <c r="J2516" s="311" t="str">
        <f t="shared" si="2743"/>
        <v/>
      </c>
      <c r="K2516" s="311" t="str">
        <f t="shared" si="2744"/>
        <v/>
      </c>
      <c r="L2516" s="310" t="str">
        <f t="shared" si="2745"/>
        <v/>
      </c>
      <c r="M2516" s="310" t="str">
        <f t="shared" si="2746"/>
        <v/>
      </c>
      <c r="N2516" s="311" t="str">
        <f t="shared" si="2747"/>
        <v/>
      </c>
    </row>
    <row r="2517" spans="1:14" s="294" customFormat="1">
      <c r="A2517" s="290" t="s">
        <v>1495</v>
      </c>
      <c r="B2517" s="291"/>
      <c r="C2517" s="291" t="s">
        <v>1496</v>
      </c>
      <c r="D2517" s="292">
        <v>1</v>
      </c>
      <c r="E2517" s="293">
        <f>((1.68/0.06)+(1.82/0.12))*2</f>
        <v>86</v>
      </c>
      <c r="F2517" s="293">
        <f t="shared" si="2748"/>
        <v>86</v>
      </c>
      <c r="G2517" s="295">
        <f>(0.2*2)+17*0.008*2</f>
        <v>0.67</v>
      </c>
      <c r="H2517" s="310" t="str">
        <f t="shared" si="2741"/>
        <v/>
      </c>
      <c r="I2517" s="311">
        <f t="shared" si="2742"/>
        <v>57.62</v>
      </c>
      <c r="J2517" s="311" t="str">
        <f t="shared" si="2743"/>
        <v/>
      </c>
      <c r="K2517" s="311" t="str">
        <f t="shared" si="2744"/>
        <v/>
      </c>
      <c r="L2517" s="310" t="str">
        <f t="shared" si="2745"/>
        <v/>
      </c>
      <c r="M2517" s="310" t="str">
        <f t="shared" si="2746"/>
        <v/>
      </c>
      <c r="N2517" s="311" t="str">
        <f t="shared" si="2747"/>
        <v/>
      </c>
    </row>
    <row r="2518" spans="1:14">
      <c r="A2518" s="270"/>
      <c r="B2518" s="269"/>
      <c r="C2518" s="271"/>
      <c r="D2518" s="271"/>
      <c r="E2518" s="275"/>
      <c r="F2518" s="275"/>
      <c r="G2518" s="276"/>
      <c r="H2518" s="308" t="str">
        <f t="shared" si="2707"/>
        <v/>
      </c>
      <c r="I2518" s="309" t="str">
        <f t="shared" si="2708"/>
        <v/>
      </c>
      <c r="J2518" s="309" t="str">
        <f t="shared" si="2709"/>
        <v/>
      </c>
      <c r="K2518" s="309" t="str">
        <f t="shared" si="2710"/>
        <v/>
      </c>
      <c r="L2518" s="308" t="str">
        <f t="shared" si="2711"/>
        <v/>
      </c>
      <c r="M2518" s="308" t="str">
        <f t="shared" si="2712"/>
        <v/>
      </c>
      <c r="N2518" s="309" t="str">
        <f t="shared" si="2713"/>
        <v/>
      </c>
    </row>
    <row r="2519" spans="1:14" ht="16.5">
      <c r="A2519" s="326" t="s">
        <v>1375</v>
      </c>
      <c r="B2519" s="269"/>
      <c r="C2519" s="271"/>
      <c r="D2519" s="271"/>
      <c r="E2519" s="272"/>
      <c r="F2519" s="275"/>
      <c r="G2519" s="277"/>
      <c r="H2519" s="308" t="str">
        <f t="shared" si="2707"/>
        <v/>
      </c>
      <c r="I2519" s="309" t="str">
        <f t="shared" si="2708"/>
        <v/>
      </c>
      <c r="J2519" s="309" t="str">
        <f t="shared" si="2709"/>
        <v/>
      </c>
      <c r="K2519" s="309" t="str">
        <f t="shared" si="2710"/>
        <v/>
      </c>
      <c r="L2519" s="308" t="str">
        <f t="shared" si="2711"/>
        <v/>
      </c>
      <c r="M2519" s="308" t="str">
        <f t="shared" si="2712"/>
        <v/>
      </c>
      <c r="N2519" s="309" t="str">
        <f t="shared" si="2713"/>
        <v/>
      </c>
    </row>
    <row r="2520" spans="1:14">
      <c r="A2520" s="296" t="s">
        <v>1504</v>
      </c>
      <c r="B2520" s="269"/>
      <c r="C2520" s="271"/>
      <c r="D2520" s="271"/>
      <c r="E2520" s="275"/>
      <c r="F2520" s="275"/>
      <c r="G2520" s="276"/>
      <c r="H2520" s="308" t="str">
        <f t="shared" ref="H2520:H2523" si="2749">IF(C2520="T6",G2520*F2520,"")</f>
        <v/>
      </c>
      <c r="I2520" s="309" t="str">
        <f t="shared" ref="I2520:I2523" si="2750">IF(C2520="T8",F2520*G2520,"")</f>
        <v/>
      </c>
      <c r="J2520" s="309" t="str">
        <f t="shared" ref="J2520:J2523" si="2751">IF(C2520="T10",F2520*G2520,"")</f>
        <v/>
      </c>
      <c r="K2520" s="309" t="str">
        <f t="shared" ref="K2520:K2523" si="2752">IF(C2520="T12",F2520*G2520,"")</f>
        <v/>
      </c>
      <c r="L2520" s="308" t="str">
        <f t="shared" ref="L2520:L2523" si="2753">IF(C2520="T14",F2520*G2520,"")</f>
        <v/>
      </c>
      <c r="M2520" s="308" t="str">
        <f t="shared" ref="M2520:M2523" si="2754">IF(C2520="T16",G2520*F2520,"")</f>
        <v/>
      </c>
      <c r="N2520" s="309" t="str">
        <f t="shared" ref="N2520:N2523" si="2755">IF(C2520="T20",G2520*F2520,"")</f>
        <v/>
      </c>
    </row>
    <row r="2521" spans="1:14">
      <c r="A2521" s="290" t="s">
        <v>1493</v>
      </c>
      <c r="B2521" s="291"/>
      <c r="C2521" s="291" t="s">
        <v>1492</v>
      </c>
      <c r="D2521" s="292">
        <v>8</v>
      </c>
      <c r="E2521" s="292">
        <v>10</v>
      </c>
      <c r="F2521" s="293">
        <f>E2521*D2521</f>
        <v>80</v>
      </c>
      <c r="G2521" s="295">
        <f>3.5+(52*0.014)</f>
        <v>4.2300000000000004</v>
      </c>
      <c r="H2521" s="310" t="str">
        <f t="shared" si="2749"/>
        <v/>
      </c>
      <c r="I2521" s="311" t="str">
        <f t="shared" si="2750"/>
        <v/>
      </c>
      <c r="J2521" s="311" t="str">
        <f t="shared" si="2751"/>
        <v/>
      </c>
      <c r="K2521" s="311" t="str">
        <f t="shared" si="2752"/>
        <v/>
      </c>
      <c r="L2521" s="310">
        <f t="shared" si="2753"/>
        <v>338.4</v>
      </c>
      <c r="M2521" s="310" t="str">
        <f t="shared" si="2754"/>
        <v/>
      </c>
      <c r="N2521" s="311" t="str">
        <f t="shared" si="2755"/>
        <v/>
      </c>
    </row>
    <row r="2522" spans="1:14">
      <c r="A2522" s="290" t="s">
        <v>1494</v>
      </c>
      <c r="B2522" s="291"/>
      <c r="C2522" s="291" t="s">
        <v>1496</v>
      </c>
      <c r="D2522" s="292">
        <v>8</v>
      </c>
      <c r="E2522" s="293">
        <f>((1.68/0.06)+(1.82/0.12))</f>
        <v>43</v>
      </c>
      <c r="F2522" s="293">
        <f t="shared" ref="F2522:F2523" si="2756">E2522*D2522</f>
        <v>344</v>
      </c>
      <c r="G2522" s="295">
        <f>(0.2+0.4)*2+17*0.008*2</f>
        <v>1.47</v>
      </c>
      <c r="H2522" s="310" t="str">
        <f t="shared" si="2749"/>
        <v/>
      </c>
      <c r="I2522" s="311">
        <f t="shared" si="2750"/>
        <v>505.68</v>
      </c>
      <c r="J2522" s="311" t="str">
        <f t="shared" si="2751"/>
        <v/>
      </c>
      <c r="K2522" s="311" t="str">
        <f t="shared" si="2752"/>
        <v/>
      </c>
      <c r="L2522" s="310" t="str">
        <f t="shared" si="2753"/>
        <v/>
      </c>
      <c r="M2522" s="310" t="str">
        <f t="shared" si="2754"/>
        <v/>
      </c>
      <c r="N2522" s="311" t="str">
        <f t="shared" si="2755"/>
        <v/>
      </c>
    </row>
    <row r="2523" spans="1:14">
      <c r="A2523" s="290" t="s">
        <v>1495</v>
      </c>
      <c r="B2523" s="291"/>
      <c r="C2523" s="291" t="s">
        <v>1496</v>
      </c>
      <c r="D2523" s="292">
        <v>8</v>
      </c>
      <c r="E2523" s="293">
        <f>((1.68/0.06)+(1.82/0.12))*3</f>
        <v>130</v>
      </c>
      <c r="F2523" s="293">
        <f t="shared" si="2756"/>
        <v>1040</v>
      </c>
      <c r="G2523" s="295">
        <f>(0.2*2)+17*0.008*2</f>
        <v>0.67</v>
      </c>
      <c r="H2523" s="310" t="str">
        <f t="shared" si="2749"/>
        <v/>
      </c>
      <c r="I2523" s="311">
        <f t="shared" si="2750"/>
        <v>696.8</v>
      </c>
      <c r="J2523" s="311" t="str">
        <f t="shared" si="2751"/>
        <v/>
      </c>
      <c r="K2523" s="311" t="str">
        <f t="shared" si="2752"/>
        <v/>
      </c>
      <c r="L2523" s="310" t="str">
        <f t="shared" si="2753"/>
        <v/>
      </c>
      <c r="M2523" s="310" t="str">
        <f t="shared" si="2754"/>
        <v/>
      </c>
      <c r="N2523" s="311" t="str">
        <f t="shared" si="2755"/>
        <v/>
      </c>
    </row>
    <row r="2524" spans="1:14">
      <c r="A2524" s="270"/>
      <c r="B2524" s="269"/>
      <c r="C2524" s="271"/>
      <c r="D2524" s="271"/>
      <c r="E2524" s="275"/>
      <c r="F2524" s="275"/>
      <c r="G2524" s="276"/>
      <c r="H2524" s="308" t="str">
        <f t="shared" si="2707"/>
        <v/>
      </c>
      <c r="I2524" s="309" t="str">
        <f t="shared" si="2708"/>
        <v/>
      </c>
      <c r="J2524" s="309" t="str">
        <f t="shared" si="2709"/>
        <v/>
      </c>
      <c r="K2524" s="309" t="str">
        <f t="shared" si="2710"/>
        <v/>
      </c>
      <c r="L2524" s="308" t="str">
        <f t="shared" si="2711"/>
        <v/>
      </c>
      <c r="M2524" s="308" t="str">
        <f t="shared" si="2712"/>
        <v/>
      </c>
      <c r="N2524" s="309" t="str">
        <f t="shared" si="2713"/>
        <v/>
      </c>
    </row>
    <row r="2525" spans="1:14">
      <c r="A2525" s="296" t="s">
        <v>1505</v>
      </c>
      <c r="B2525" s="269"/>
      <c r="C2525" s="271"/>
      <c r="D2525" s="271"/>
      <c r="E2525" s="275"/>
      <c r="F2525" s="275"/>
      <c r="G2525" s="276"/>
      <c r="H2525" s="308" t="str">
        <f t="shared" si="2707"/>
        <v/>
      </c>
      <c r="I2525" s="309" t="str">
        <f t="shared" si="2708"/>
        <v/>
      </c>
      <c r="J2525" s="309" t="str">
        <f t="shared" si="2709"/>
        <v/>
      </c>
      <c r="K2525" s="309" t="str">
        <f t="shared" si="2710"/>
        <v/>
      </c>
      <c r="L2525" s="308" t="str">
        <f t="shared" si="2711"/>
        <v/>
      </c>
      <c r="M2525" s="308" t="str">
        <f t="shared" si="2712"/>
        <v/>
      </c>
      <c r="N2525" s="309" t="str">
        <f t="shared" si="2713"/>
        <v/>
      </c>
    </row>
    <row r="2526" spans="1:14">
      <c r="A2526" s="290" t="s">
        <v>1493</v>
      </c>
      <c r="B2526" s="291"/>
      <c r="C2526" s="291" t="s">
        <v>1492</v>
      </c>
      <c r="D2526" s="292">
        <v>1</v>
      </c>
      <c r="E2526" s="292">
        <v>8</v>
      </c>
      <c r="F2526" s="293">
        <f>E2526*D2526</f>
        <v>8</v>
      </c>
      <c r="G2526" s="295">
        <f>3.5+(52*0.014)</f>
        <v>4.2300000000000004</v>
      </c>
      <c r="H2526" s="310" t="str">
        <f t="shared" si="2707"/>
        <v/>
      </c>
      <c r="I2526" s="311" t="str">
        <f t="shared" si="2708"/>
        <v/>
      </c>
      <c r="J2526" s="311" t="str">
        <f t="shared" si="2709"/>
        <v/>
      </c>
      <c r="K2526" s="311" t="str">
        <f t="shared" si="2710"/>
        <v/>
      </c>
      <c r="L2526" s="310">
        <f t="shared" si="2711"/>
        <v>33.840000000000003</v>
      </c>
      <c r="M2526" s="310" t="str">
        <f t="shared" si="2712"/>
        <v/>
      </c>
      <c r="N2526" s="311" t="str">
        <f t="shared" si="2713"/>
        <v/>
      </c>
    </row>
    <row r="2527" spans="1:14">
      <c r="A2527" s="290" t="s">
        <v>1494</v>
      </c>
      <c r="B2527" s="291"/>
      <c r="C2527" s="291" t="s">
        <v>1496</v>
      </c>
      <c r="D2527" s="292">
        <v>1</v>
      </c>
      <c r="E2527" s="293">
        <f>((1.68/0.06)+(1.82/0.12))</f>
        <v>43</v>
      </c>
      <c r="F2527" s="293">
        <f t="shared" ref="F2527:F2528" si="2757">E2527*D2527</f>
        <v>43</v>
      </c>
      <c r="G2527" s="295">
        <f>(0.2+0.3)*2+17*0.008*2</f>
        <v>1.27</v>
      </c>
      <c r="H2527" s="310" t="str">
        <f t="shared" si="2707"/>
        <v/>
      </c>
      <c r="I2527" s="311">
        <f t="shared" si="2708"/>
        <v>54.61</v>
      </c>
      <c r="J2527" s="311" t="str">
        <f t="shared" si="2709"/>
        <v/>
      </c>
      <c r="K2527" s="311" t="str">
        <f t="shared" si="2710"/>
        <v/>
      </c>
      <c r="L2527" s="310" t="str">
        <f t="shared" si="2711"/>
        <v/>
      </c>
      <c r="M2527" s="310" t="str">
        <f t="shared" si="2712"/>
        <v/>
      </c>
      <c r="N2527" s="311" t="str">
        <f t="shared" si="2713"/>
        <v/>
      </c>
    </row>
    <row r="2528" spans="1:14">
      <c r="A2528" s="290" t="s">
        <v>1495</v>
      </c>
      <c r="B2528" s="291"/>
      <c r="C2528" s="291" t="s">
        <v>1496</v>
      </c>
      <c r="D2528" s="292">
        <v>1</v>
      </c>
      <c r="E2528" s="293">
        <f>((1.68/0.06)+(1.82/0.12))*2</f>
        <v>86</v>
      </c>
      <c r="F2528" s="293">
        <f t="shared" si="2757"/>
        <v>86</v>
      </c>
      <c r="G2528" s="295">
        <f>(0.2*2)+17*0.008*2</f>
        <v>0.67</v>
      </c>
      <c r="H2528" s="310" t="str">
        <f t="shared" si="2707"/>
        <v/>
      </c>
      <c r="I2528" s="311">
        <f t="shared" si="2708"/>
        <v>57.62</v>
      </c>
      <c r="J2528" s="311" t="str">
        <f t="shared" si="2709"/>
        <v/>
      </c>
      <c r="K2528" s="311" t="str">
        <f t="shared" si="2710"/>
        <v/>
      </c>
      <c r="L2528" s="310" t="str">
        <f t="shared" si="2711"/>
        <v/>
      </c>
      <c r="M2528" s="310" t="str">
        <f t="shared" si="2712"/>
        <v/>
      </c>
      <c r="N2528" s="311" t="str">
        <f t="shared" si="2713"/>
        <v/>
      </c>
    </row>
    <row r="2529" spans="1:14">
      <c r="A2529" s="251"/>
      <c r="B2529" s="274"/>
      <c r="C2529" s="271"/>
      <c r="D2529" s="271"/>
      <c r="E2529" s="272"/>
      <c r="F2529" s="272"/>
      <c r="G2529" s="271"/>
      <c r="H2529" s="308" t="str">
        <f t="shared" si="2707"/>
        <v/>
      </c>
      <c r="I2529" s="309" t="str">
        <f t="shared" si="2708"/>
        <v/>
      </c>
      <c r="J2529" s="309" t="str">
        <f t="shared" si="2709"/>
        <v/>
      </c>
      <c r="K2529" s="309" t="str">
        <f t="shared" si="2710"/>
        <v/>
      </c>
      <c r="L2529" s="308" t="str">
        <f t="shared" si="2711"/>
        <v/>
      </c>
      <c r="M2529" s="308" t="str">
        <f t="shared" si="2712"/>
        <v/>
      </c>
      <c r="N2529" s="309" t="str">
        <f t="shared" si="2713"/>
        <v/>
      </c>
    </row>
    <row r="2530" spans="1:14">
      <c r="A2530" s="296" t="s">
        <v>1506</v>
      </c>
      <c r="B2530" s="269"/>
      <c r="C2530" s="271"/>
      <c r="D2530" s="271"/>
      <c r="E2530" s="275"/>
      <c r="F2530" s="275"/>
      <c r="G2530" s="276"/>
      <c r="H2530" s="308" t="str">
        <f t="shared" ref="H2530:H2533" si="2758">IF(C2530="T6",G2530*F2530,"")</f>
        <v/>
      </c>
      <c r="I2530" s="309" t="str">
        <f t="shared" ref="I2530:I2533" si="2759">IF(C2530="T8",F2530*G2530,"")</f>
        <v/>
      </c>
      <c r="J2530" s="309" t="str">
        <f t="shared" ref="J2530:J2533" si="2760">IF(C2530="T10",F2530*G2530,"")</f>
        <v/>
      </c>
      <c r="K2530" s="309" t="str">
        <f t="shared" ref="K2530:K2533" si="2761">IF(C2530="T12",F2530*G2530,"")</f>
        <v/>
      </c>
      <c r="L2530" s="308" t="str">
        <f t="shared" ref="L2530:L2533" si="2762">IF(C2530="T14",F2530*G2530,"")</f>
        <v/>
      </c>
      <c r="M2530" s="308" t="str">
        <f t="shared" ref="M2530:M2533" si="2763">IF(C2530="T16",G2530*F2530,"")</f>
        <v/>
      </c>
      <c r="N2530" s="309" t="str">
        <f t="shared" ref="N2530:N2533" si="2764">IF(C2530="T20",G2530*F2530,"")</f>
        <v/>
      </c>
    </row>
    <row r="2531" spans="1:14">
      <c r="A2531" s="290" t="s">
        <v>1493</v>
      </c>
      <c r="B2531" s="291"/>
      <c r="C2531" s="291" t="s">
        <v>1492</v>
      </c>
      <c r="D2531" s="292">
        <v>3</v>
      </c>
      <c r="E2531" s="292">
        <v>8</v>
      </c>
      <c r="F2531" s="293">
        <f>E2531*D2531</f>
        <v>24</v>
      </c>
      <c r="G2531" s="295">
        <f>3.5+(52*0.014)</f>
        <v>4.2300000000000004</v>
      </c>
      <c r="H2531" s="310" t="str">
        <f t="shared" si="2758"/>
        <v/>
      </c>
      <c r="I2531" s="311" t="str">
        <f t="shared" si="2759"/>
        <v/>
      </c>
      <c r="J2531" s="311" t="str">
        <f t="shared" si="2760"/>
        <v/>
      </c>
      <c r="K2531" s="311" t="str">
        <f t="shared" si="2761"/>
        <v/>
      </c>
      <c r="L2531" s="310">
        <f t="shared" si="2762"/>
        <v>101.52</v>
      </c>
      <c r="M2531" s="310" t="str">
        <f t="shared" si="2763"/>
        <v/>
      </c>
      <c r="N2531" s="311" t="str">
        <f t="shared" si="2764"/>
        <v/>
      </c>
    </row>
    <row r="2532" spans="1:14">
      <c r="A2532" s="290" t="s">
        <v>1494</v>
      </c>
      <c r="B2532" s="291"/>
      <c r="C2532" s="291" t="s">
        <v>1496</v>
      </c>
      <c r="D2532" s="292">
        <v>3</v>
      </c>
      <c r="E2532" s="293">
        <f>((1.68/0.06)+(1.82/0.12))</f>
        <v>43</v>
      </c>
      <c r="F2532" s="293">
        <f t="shared" ref="F2532:F2533" si="2765">E2532*D2532</f>
        <v>129</v>
      </c>
      <c r="G2532" s="295">
        <f>(0.2+0.3)*2+17*0.008*2</f>
        <v>1.27</v>
      </c>
      <c r="H2532" s="310" t="str">
        <f t="shared" si="2758"/>
        <v/>
      </c>
      <c r="I2532" s="311">
        <f t="shared" si="2759"/>
        <v>163.83000000000001</v>
      </c>
      <c r="J2532" s="311" t="str">
        <f t="shared" si="2760"/>
        <v/>
      </c>
      <c r="K2532" s="311" t="str">
        <f t="shared" si="2761"/>
        <v/>
      </c>
      <c r="L2532" s="310" t="str">
        <f t="shared" si="2762"/>
        <v/>
      </c>
      <c r="M2532" s="310" t="str">
        <f t="shared" si="2763"/>
        <v/>
      </c>
      <c r="N2532" s="311" t="str">
        <f t="shared" si="2764"/>
        <v/>
      </c>
    </row>
    <row r="2533" spans="1:14">
      <c r="A2533" s="290" t="s">
        <v>1495</v>
      </c>
      <c r="B2533" s="291"/>
      <c r="C2533" s="291" t="s">
        <v>1496</v>
      </c>
      <c r="D2533" s="292">
        <v>3</v>
      </c>
      <c r="E2533" s="293">
        <f>((1.68/0.06)+(1.82/0.12))*2</f>
        <v>86</v>
      </c>
      <c r="F2533" s="293">
        <f t="shared" si="2765"/>
        <v>258</v>
      </c>
      <c r="G2533" s="295">
        <f>(0.2*2)+17*0.008*2</f>
        <v>0.67</v>
      </c>
      <c r="H2533" s="310" t="str">
        <f t="shared" si="2758"/>
        <v/>
      </c>
      <c r="I2533" s="311">
        <f t="shared" si="2759"/>
        <v>172.86</v>
      </c>
      <c r="J2533" s="311" t="str">
        <f t="shared" si="2760"/>
        <v/>
      </c>
      <c r="K2533" s="311" t="str">
        <f t="shared" si="2761"/>
        <v/>
      </c>
      <c r="L2533" s="310" t="str">
        <f t="shared" si="2762"/>
        <v/>
      </c>
      <c r="M2533" s="310" t="str">
        <f t="shared" si="2763"/>
        <v/>
      </c>
      <c r="N2533" s="311" t="str">
        <f t="shared" si="2764"/>
        <v/>
      </c>
    </row>
    <row r="2534" spans="1:14">
      <c r="A2534" s="270"/>
      <c r="B2534" s="269"/>
      <c r="C2534" s="271"/>
      <c r="D2534" s="271"/>
      <c r="E2534" s="272"/>
      <c r="F2534" s="272"/>
      <c r="G2534" s="278"/>
      <c r="H2534" s="308" t="str">
        <f t="shared" si="2707"/>
        <v/>
      </c>
      <c r="I2534" s="309" t="str">
        <f t="shared" si="2708"/>
        <v/>
      </c>
      <c r="J2534" s="309" t="str">
        <f t="shared" si="2709"/>
        <v/>
      </c>
      <c r="K2534" s="309" t="str">
        <f t="shared" si="2710"/>
        <v/>
      </c>
      <c r="L2534" s="308" t="str">
        <f t="shared" si="2711"/>
        <v/>
      </c>
      <c r="M2534" s="308" t="str">
        <f t="shared" si="2712"/>
        <v/>
      </c>
      <c r="N2534" s="309" t="str">
        <f t="shared" si="2713"/>
        <v/>
      </c>
    </row>
    <row r="2535" spans="1:14" ht="18.75" customHeight="1">
      <c r="A2535" s="296" t="s">
        <v>1507</v>
      </c>
      <c r="B2535" s="269"/>
      <c r="C2535" s="271"/>
      <c r="D2535" s="271"/>
      <c r="E2535" s="275"/>
      <c r="F2535" s="275"/>
      <c r="G2535" s="276"/>
      <c r="H2535" s="308" t="str">
        <f t="shared" ref="H2535:H2537" si="2766">IF(C2535="T6",G2535*F2535,"")</f>
        <v/>
      </c>
      <c r="I2535" s="309" t="str">
        <f t="shared" ref="I2535:I2537" si="2767">IF(C2535="T8",F2535*G2535,"")</f>
        <v/>
      </c>
      <c r="J2535" s="309" t="str">
        <f t="shared" ref="J2535:J2537" si="2768">IF(C2535="T10",F2535*G2535,"")</f>
        <v/>
      </c>
      <c r="K2535" s="309" t="str">
        <f t="shared" ref="K2535:K2537" si="2769">IF(C2535="T12",F2535*G2535,"")</f>
        <v/>
      </c>
      <c r="L2535" s="308" t="str">
        <f t="shared" ref="L2535:L2537" si="2770">IF(C2535="T14",F2535*G2535,"")</f>
        <v/>
      </c>
      <c r="M2535" s="308" t="str">
        <f t="shared" ref="M2535:M2537" si="2771">IF(C2535="T16",G2535*F2535,"")</f>
        <v/>
      </c>
      <c r="N2535" s="309" t="str">
        <f t="shared" ref="N2535:N2537" si="2772">IF(C2535="T20",G2535*F2535,"")</f>
        <v/>
      </c>
    </row>
    <row r="2536" spans="1:14" s="294" customFormat="1">
      <c r="A2536" s="290" t="s">
        <v>1493</v>
      </c>
      <c r="B2536" s="291"/>
      <c r="C2536" s="291" t="s">
        <v>1498</v>
      </c>
      <c r="D2536" s="292">
        <v>2</v>
      </c>
      <c r="E2536" s="292">
        <v>8</v>
      </c>
      <c r="F2536" s="293">
        <f>E2536*D2536</f>
        <v>16</v>
      </c>
      <c r="G2536" s="295">
        <f>3.5+(52*0.016)</f>
        <v>4.33</v>
      </c>
      <c r="H2536" s="310" t="str">
        <f t="shared" si="2766"/>
        <v/>
      </c>
      <c r="I2536" s="311" t="str">
        <f t="shared" si="2767"/>
        <v/>
      </c>
      <c r="J2536" s="311" t="str">
        <f t="shared" si="2768"/>
        <v/>
      </c>
      <c r="K2536" s="311" t="str">
        <f t="shared" si="2769"/>
        <v/>
      </c>
      <c r="L2536" s="310" t="str">
        <f t="shared" si="2770"/>
        <v/>
      </c>
      <c r="M2536" s="310">
        <f t="shared" si="2771"/>
        <v>69.28</v>
      </c>
      <c r="N2536" s="311" t="str">
        <f t="shared" si="2772"/>
        <v/>
      </c>
    </row>
    <row r="2537" spans="1:14" s="294" customFormat="1">
      <c r="A2537" s="290" t="s">
        <v>1494</v>
      </c>
      <c r="B2537" s="291"/>
      <c r="C2537" s="291" t="s">
        <v>1496</v>
      </c>
      <c r="D2537" s="292">
        <v>2</v>
      </c>
      <c r="E2537" s="293">
        <f>((1.68/0.06)+(1.82/0.12))</f>
        <v>43</v>
      </c>
      <c r="F2537" s="293">
        <f t="shared" ref="F2537" si="2773">E2537*D2537</f>
        <v>86</v>
      </c>
      <c r="G2537" s="295">
        <f>(3.14*0.3)+17*0.008*2</f>
        <v>1.21</v>
      </c>
      <c r="H2537" s="310" t="str">
        <f t="shared" si="2766"/>
        <v/>
      </c>
      <c r="I2537" s="311">
        <f t="shared" si="2767"/>
        <v>104.06</v>
      </c>
      <c r="J2537" s="311" t="str">
        <f t="shared" si="2768"/>
        <v/>
      </c>
      <c r="K2537" s="311" t="str">
        <f t="shared" si="2769"/>
        <v/>
      </c>
      <c r="L2537" s="310" t="str">
        <f t="shared" si="2770"/>
        <v/>
      </c>
      <c r="M2537" s="310" t="str">
        <f t="shared" si="2771"/>
        <v/>
      </c>
      <c r="N2537" s="311" t="str">
        <f t="shared" si="2772"/>
        <v/>
      </c>
    </row>
    <row r="2538" spans="1:14">
      <c r="A2538" s="251"/>
      <c r="B2538" s="274"/>
      <c r="C2538" s="271"/>
      <c r="D2538" s="271"/>
      <c r="E2538" s="272"/>
      <c r="F2538" s="272"/>
      <c r="G2538" s="271"/>
      <c r="H2538" s="308" t="str">
        <f t="shared" si="2707"/>
        <v/>
      </c>
      <c r="I2538" s="309" t="str">
        <f t="shared" si="2708"/>
        <v/>
      </c>
      <c r="J2538" s="309" t="str">
        <f t="shared" si="2709"/>
        <v/>
      </c>
      <c r="K2538" s="309" t="str">
        <f t="shared" si="2710"/>
        <v/>
      </c>
      <c r="L2538" s="308" t="str">
        <f t="shared" si="2711"/>
        <v/>
      </c>
      <c r="M2538" s="308" t="str">
        <f t="shared" si="2712"/>
        <v/>
      </c>
      <c r="N2538" s="309" t="str">
        <f t="shared" si="2713"/>
        <v/>
      </c>
    </row>
    <row r="2539" spans="1:14" ht="18.75" customHeight="1">
      <c r="A2539" s="296" t="s">
        <v>1497</v>
      </c>
      <c r="B2539" s="269"/>
      <c r="C2539" s="271"/>
      <c r="D2539" s="271"/>
      <c r="E2539" s="275"/>
      <c r="F2539" s="275"/>
      <c r="G2539" s="276"/>
      <c r="H2539" s="308" t="str">
        <f t="shared" si="2707"/>
        <v/>
      </c>
      <c r="I2539" s="309" t="str">
        <f t="shared" si="2708"/>
        <v/>
      </c>
      <c r="J2539" s="309" t="str">
        <f t="shared" si="2709"/>
        <v/>
      </c>
      <c r="K2539" s="309" t="str">
        <f t="shared" si="2710"/>
        <v/>
      </c>
      <c r="L2539" s="308" t="str">
        <f t="shared" si="2711"/>
        <v/>
      </c>
      <c r="M2539" s="308" t="str">
        <f t="shared" si="2712"/>
        <v/>
      </c>
      <c r="N2539" s="309" t="str">
        <f t="shared" si="2713"/>
        <v/>
      </c>
    </row>
    <row r="2540" spans="1:14" s="294" customFormat="1">
      <c r="A2540" s="290" t="s">
        <v>1493</v>
      </c>
      <c r="B2540" s="291"/>
      <c r="C2540" s="291" t="s">
        <v>1498</v>
      </c>
      <c r="D2540" s="292">
        <v>2</v>
      </c>
      <c r="E2540" s="292">
        <v>8</v>
      </c>
      <c r="F2540" s="293">
        <f>E2540*D2540</f>
        <v>16</v>
      </c>
      <c r="G2540" s="295">
        <f>3.5+(52*0.016)</f>
        <v>4.33</v>
      </c>
      <c r="H2540" s="310" t="str">
        <f t="shared" si="2707"/>
        <v/>
      </c>
      <c r="I2540" s="311" t="str">
        <f t="shared" si="2708"/>
        <v/>
      </c>
      <c r="J2540" s="311" t="str">
        <f t="shared" si="2709"/>
        <v/>
      </c>
      <c r="K2540" s="311" t="str">
        <f t="shared" si="2710"/>
        <v/>
      </c>
      <c r="L2540" s="310" t="str">
        <f t="shared" si="2711"/>
        <v/>
      </c>
      <c r="M2540" s="310">
        <f t="shared" si="2712"/>
        <v>69.28</v>
      </c>
      <c r="N2540" s="311" t="str">
        <f t="shared" si="2713"/>
        <v/>
      </c>
    </row>
    <row r="2541" spans="1:14" s="294" customFormat="1">
      <c r="A2541" s="290" t="s">
        <v>1494</v>
      </c>
      <c r="B2541" s="291"/>
      <c r="C2541" s="291" t="s">
        <v>1496</v>
      </c>
      <c r="D2541" s="292">
        <v>2</v>
      </c>
      <c r="E2541" s="293">
        <f>((1.68/0.06)+(1.82/0.12))</f>
        <v>43</v>
      </c>
      <c r="F2541" s="293">
        <f t="shared" ref="F2541" si="2774">E2541*D2541</f>
        <v>86</v>
      </c>
      <c r="G2541" s="295">
        <f>(3.14*0.3)+17*0.008*2</f>
        <v>1.21</v>
      </c>
      <c r="H2541" s="310" t="str">
        <f t="shared" si="2707"/>
        <v/>
      </c>
      <c r="I2541" s="311">
        <f t="shared" si="2708"/>
        <v>104.06</v>
      </c>
      <c r="J2541" s="311" t="str">
        <f t="shared" si="2709"/>
        <v/>
      </c>
      <c r="K2541" s="311" t="str">
        <f t="shared" si="2710"/>
        <v/>
      </c>
      <c r="L2541" s="310" t="str">
        <f t="shared" si="2711"/>
        <v/>
      </c>
      <c r="M2541" s="310" t="str">
        <f t="shared" si="2712"/>
        <v/>
      </c>
      <c r="N2541" s="311" t="str">
        <f t="shared" si="2713"/>
        <v/>
      </c>
    </row>
    <row r="2542" spans="1:14">
      <c r="A2542" s="270"/>
      <c r="B2542" s="269"/>
      <c r="C2542" s="271"/>
      <c r="D2542" s="271"/>
      <c r="E2542" s="275"/>
      <c r="F2542" s="275"/>
      <c r="G2542" s="277"/>
      <c r="H2542" s="308" t="str">
        <f t="shared" si="2707"/>
        <v/>
      </c>
      <c r="I2542" s="309" t="str">
        <f t="shared" si="2708"/>
        <v/>
      </c>
      <c r="J2542" s="309" t="str">
        <f t="shared" si="2709"/>
        <v/>
      </c>
      <c r="K2542" s="309" t="str">
        <f t="shared" si="2710"/>
        <v/>
      </c>
      <c r="L2542" s="308" t="str">
        <f t="shared" si="2711"/>
        <v/>
      </c>
      <c r="M2542" s="308" t="str">
        <f t="shared" si="2712"/>
        <v/>
      </c>
      <c r="N2542" s="309" t="str">
        <f t="shared" si="2713"/>
        <v/>
      </c>
    </row>
    <row r="2543" spans="1:14" ht="18.75" customHeight="1">
      <c r="A2543" s="296" t="s">
        <v>1508</v>
      </c>
      <c r="B2543" s="269"/>
      <c r="C2543" s="271"/>
      <c r="D2543" s="271"/>
      <c r="E2543" s="275"/>
      <c r="F2543" s="275"/>
      <c r="G2543" s="276"/>
      <c r="H2543" s="308" t="str">
        <f t="shared" ref="H2543:H2545" si="2775">IF(C2543="T6",G2543*F2543,"")</f>
        <v/>
      </c>
      <c r="I2543" s="309" t="str">
        <f t="shared" ref="I2543:I2545" si="2776">IF(C2543="T8",F2543*G2543,"")</f>
        <v/>
      </c>
      <c r="J2543" s="309" t="str">
        <f t="shared" ref="J2543:J2545" si="2777">IF(C2543="T10",F2543*G2543,"")</f>
        <v/>
      </c>
      <c r="K2543" s="309" t="str">
        <f t="shared" ref="K2543:K2545" si="2778">IF(C2543="T12",F2543*G2543,"")</f>
        <v/>
      </c>
      <c r="L2543" s="308" t="str">
        <f t="shared" ref="L2543:L2545" si="2779">IF(C2543="T14",F2543*G2543,"")</f>
        <v/>
      </c>
      <c r="M2543" s="308" t="str">
        <f t="shared" ref="M2543:M2545" si="2780">IF(C2543="T16",G2543*F2543,"")</f>
        <v/>
      </c>
      <c r="N2543" s="309" t="str">
        <f t="shared" ref="N2543:N2545" si="2781">IF(C2543="T20",G2543*F2543,"")</f>
        <v/>
      </c>
    </row>
    <row r="2544" spans="1:14" s="294" customFormat="1">
      <c r="A2544" s="290" t="s">
        <v>1493</v>
      </c>
      <c r="B2544" s="291"/>
      <c r="C2544" s="291" t="s">
        <v>1498</v>
      </c>
      <c r="D2544" s="292">
        <v>1</v>
      </c>
      <c r="E2544" s="292">
        <v>8</v>
      </c>
      <c r="F2544" s="293">
        <f>E2544*D2544</f>
        <v>8</v>
      </c>
      <c r="G2544" s="295">
        <f>3.5+(52*0.016)</f>
        <v>4.33</v>
      </c>
      <c r="H2544" s="310" t="str">
        <f t="shared" si="2775"/>
        <v/>
      </c>
      <c r="I2544" s="311" t="str">
        <f t="shared" si="2776"/>
        <v/>
      </c>
      <c r="J2544" s="311" t="str">
        <f t="shared" si="2777"/>
        <v/>
      </c>
      <c r="K2544" s="311" t="str">
        <f t="shared" si="2778"/>
        <v/>
      </c>
      <c r="L2544" s="310" t="str">
        <f t="shared" si="2779"/>
        <v/>
      </c>
      <c r="M2544" s="310">
        <f t="shared" si="2780"/>
        <v>34.64</v>
      </c>
      <c r="N2544" s="311" t="str">
        <f t="shared" si="2781"/>
        <v/>
      </c>
    </row>
    <row r="2545" spans="1:14" s="294" customFormat="1">
      <c r="A2545" s="290" t="s">
        <v>1494</v>
      </c>
      <c r="B2545" s="291"/>
      <c r="C2545" s="291" t="s">
        <v>1496</v>
      </c>
      <c r="D2545" s="292">
        <v>1</v>
      </c>
      <c r="E2545" s="293">
        <f>((1.68/0.06)+(1.82/0.12))</f>
        <v>43</v>
      </c>
      <c r="F2545" s="293">
        <f t="shared" ref="F2545" si="2782">E2545*D2545</f>
        <v>43</v>
      </c>
      <c r="G2545" s="295">
        <f>(3.14*0.3)+17*0.008*2</f>
        <v>1.21</v>
      </c>
      <c r="H2545" s="310" t="str">
        <f t="shared" si="2775"/>
        <v/>
      </c>
      <c r="I2545" s="311">
        <f t="shared" si="2776"/>
        <v>52.03</v>
      </c>
      <c r="J2545" s="311" t="str">
        <f t="shared" si="2777"/>
        <v/>
      </c>
      <c r="K2545" s="311" t="str">
        <f t="shared" si="2778"/>
        <v/>
      </c>
      <c r="L2545" s="310" t="str">
        <f t="shared" si="2779"/>
        <v/>
      </c>
      <c r="M2545" s="310" t="str">
        <f t="shared" si="2780"/>
        <v/>
      </c>
      <c r="N2545" s="311" t="str">
        <f t="shared" si="2781"/>
        <v/>
      </c>
    </row>
    <row r="2546" spans="1:14" ht="17.25">
      <c r="A2546" s="261"/>
      <c r="B2546" s="274"/>
      <c r="C2546" s="271"/>
      <c r="D2546" s="271"/>
      <c r="E2546" s="272"/>
      <c r="F2546" s="272"/>
      <c r="G2546" s="271"/>
      <c r="H2546" s="308" t="str">
        <f t="shared" ref="H2546:H2616" si="2783">IF(C2546="T6",G2546*F2546,"")</f>
        <v/>
      </c>
      <c r="I2546" s="309" t="str">
        <f t="shared" ref="I2546:I2616" si="2784">IF(C2546="T8",F2546*G2546,"")</f>
        <v/>
      </c>
      <c r="J2546" s="309" t="str">
        <f t="shared" ref="J2546:J2616" si="2785">IF(C2546="T10",F2546*G2546,"")</f>
        <v/>
      </c>
      <c r="K2546" s="309" t="str">
        <f t="shared" ref="K2546:K2616" si="2786">IF(C2546="T12",F2546*G2546,"")</f>
        <v/>
      </c>
      <c r="L2546" s="308" t="str">
        <f t="shared" ref="L2546:L2616" si="2787">IF(C2546="T14",F2546*G2546,"")</f>
        <v/>
      </c>
      <c r="M2546" s="308" t="str">
        <f t="shared" ref="M2546:M2616" si="2788">IF(C2546="T16",G2546*F2546,"")</f>
        <v/>
      </c>
      <c r="N2546" s="309" t="str">
        <f t="shared" ref="N2546:N2616" si="2789">IF(C2546="T20",G2546*F2546,"")</f>
        <v/>
      </c>
    </row>
    <row r="2547" spans="1:14" ht="18.75" customHeight="1">
      <c r="A2547" s="296" t="s">
        <v>1502</v>
      </c>
      <c r="B2547" s="269"/>
      <c r="C2547" s="271"/>
      <c r="D2547" s="271"/>
      <c r="E2547" s="275"/>
      <c r="F2547" s="275"/>
      <c r="G2547" s="276"/>
      <c r="H2547" s="308" t="str">
        <f t="shared" si="2783"/>
        <v/>
      </c>
      <c r="I2547" s="309" t="str">
        <f t="shared" si="2784"/>
        <v/>
      </c>
      <c r="J2547" s="309" t="str">
        <f t="shared" si="2785"/>
        <v/>
      </c>
      <c r="K2547" s="309" t="str">
        <f t="shared" si="2786"/>
        <v/>
      </c>
      <c r="L2547" s="308" t="str">
        <f t="shared" si="2787"/>
        <v/>
      </c>
      <c r="M2547" s="308" t="str">
        <f t="shared" si="2788"/>
        <v/>
      </c>
      <c r="N2547" s="309" t="str">
        <f t="shared" si="2789"/>
        <v/>
      </c>
    </row>
    <row r="2548" spans="1:14" s="294" customFormat="1">
      <c r="A2548" s="290" t="s">
        <v>1493</v>
      </c>
      <c r="B2548" s="291"/>
      <c r="C2548" s="291" t="s">
        <v>1492</v>
      </c>
      <c r="D2548" s="292">
        <v>2</v>
      </c>
      <c r="E2548" s="292">
        <v>8</v>
      </c>
      <c r="F2548" s="293">
        <f>E2548*D2548</f>
        <v>16</v>
      </c>
      <c r="G2548" s="295">
        <f>3.5+(52*0.014)</f>
        <v>4.2300000000000004</v>
      </c>
      <c r="H2548" s="310" t="str">
        <f t="shared" si="2783"/>
        <v/>
      </c>
      <c r="I2548" s="311" t="str">
        <f t="shared" si="2784"/>
        <v/>
      </c>
      <c r="J2548" s="311" t="str">
        <f t="shared" si="2785"/>
        <v/>
      </c>
      <c r="K2548" s="311" t="str">
        <f t="shared" si="2786"/>
        <v/>
      </c>
      <c r="L2548" s="310">
        <f t="shared" si="2787"/>
        <v>67.680000000000007</v>
      </c>
      <c r="M2548" s="310" t="str">
        <f t="shared" si="2788"/>
        <v/>
      </c>
      <c r="N2548" s="311" t="str">
        <f t="shared" si="2789"/>
        <v/>
      </c>
    </row>
    <row r="2549" spans="1:14" s="294" customFormat="1">
      <c r="A2549" s="290" t="s">
        <v>1494</v>
      </c>
      <c r="B2549" s="291"/>
      <c r="C2549" s="291" t="s">
        <v>1496</v>
      </c>
      <c r="D2549" s="292">
        <v>2</v>
      </c>
      <c r="E2549" s="293">
        <f>((1.68/0.06)+(1.82/0.12))</f>
        <v>43</v>
      </c>
      <c r="F2549" s="293">
        <f t="shared" ref="F2549:F2550" si="2790">E2549*D2549</f>
        <v>86</v>
      </c>
      <c r="G2549" s="295">
        <f>((0.2+0.3)*2)+17*0.008*2</f>
        <v>1.27</v>
      </c>
      <c r="H2549" s="310" t="str">
        <f t="shared" si="2783"/>
        <v/>
      </c>
      <c r="I2549" s="311">
        <f t="shared" si="2784"/>
        <v>109.22</v>
      </c>
      <c r="J2549" s="311" t="str">
        <f t="shared" si="2785"/>
        <v/>
      </c>
      <c r="K2549" s="311" t="str">
        <f t="shared" si="2786"/>
        <v/>
      </c>
      <c r="L2549" s="310" t="str">
        <f t="shared" si="2787"/>
        <v/>
      </c>
      <c r="M2549" s="310" t="str">
        <f t="shared" si="2788"/>
        <v/>
      </c>
      <c r="N2549" s="311" t="str">
        <f t="shared" si="2789"/>
        <v/>
      </c>
    </row>
    <row r="2550" spans="1:14" s="294" customFormat="1">
      <c r="A2550" s="290" t="s">
        <v>1495</v>
      </c>
      <c r="B2550" s="291"/>
      <c r="C2550" s="291" t="s">
        <v>1496</v>
      </c>
      <c r="D2550" s="292">
        <v>2</v>
      </c>
      <c r="E2550" s="293">
        <f>((1.68/0.06)+(1.82/0.12))*2</f>
        <v>86</v>
      </c>
      <c r="F2550" s="293">
        <f t="shared" si="2790"/>
        <v>172</v>
      </c>
      <c r="G2550" s="295">
        <f>(0.2*2)+17*0.008*2</f>
        <v>0.67</v>
      </c>
      <c r="H2550" s="310" t="str">
        <f t="shared" si="2783"/>
        <v/>
      </c>
      <c r="I2550" s="311">
        <f t="shared" si="2784"/>
        <v>115.24</v>
      </c>
      <c r="J2550" s="311" t="str">
        <f t="shared" si="2785"/>
        <v/>
      </c>
      <c r="K2550" s="311" t="str">
        <f t="shared" si="2786"/>
        <v/>
      </c>
      <c r="L2550" s="310" t="str">
        <f t="shared" si="2787"/>
        <v/>
      </c>
      <c r="M2550" s="310" t="str">
        <f t="shared" si="2788"/>
        <v/>
      </c>
      <c r="N2550" s="311" t="str">
        <f t="shared" si="2789"/>
        <v/>
      </c>
    </row>
    <row r="2551" spans="1:14" ht="17.25" customHeight="1">
      <c r="A2551" s="286"/>
      <c r="B2551" s="285"/>
      <c r="C2551" s="280"/>
      <c r="D2551" s="280"/>
      <c r="E2551" s="281"/>
      <c r="F2551" s="281"/>
      <c r="G2551" s="284"/>
      <c r="H2551" s="308" t="str">
        <f t="shared" si="2783"/>
        <v/>
      </c>
      <c r="I2551" s="309" t="str">
        <f t="shared" si="2784"/>
        <v/>
      </c>
      <c r="J2551" s="309" t="str">
        <f t="shared" si="2785"/>
        <v/>
      </c>
      <c r="K2551" s="309" t="str">
        <f t="shared" si="2786"/>
        <v/>
      </c>
      <c r="L2551" s="308" t="str">
        <f t="shared" si="2787"/>
        <v/>
      </c>
      <c r="M2551" s="308" t="str">
        <f t="shared" si="2788"/>
        <v/>
      </c>
      <c r="N2551" s="309" t="str">
        <f t="shared" si="2789"/>
        <v/>
      </c>
    </row>
    <row r="2552" spans="1:14" ht="16.5">
      <c r="A2552" s="326" t="s">
        <v>1374</v>
      </c>
      <c r="B2552" s="280"/>
      <c r="C2552" s="280"/>
      <c r="D2552" s="280"/>
      <c r="E2552" s="281"/>
      <c r="F2552" s="281"/>
      <c r="G2552" s="282"/>
      <c r="H2552" s="308" t="str">
        <f t="shared" si="2783"/>
        <v/>
      </c>
      <c r="I2552" s="309" t="str">
        <f t="shared" si="2784"/>
        <v/>
      </c>
      <c r="J2552" s="309" t="str">
        <f t="shared" si="2785"/>
        <v/>
      </c>
      <c r="K2552" s="309" t="str">
        <f t="shared" si="2786"/>
        <v/>
      </c>
      <c r="L2552" s="308" t="str">
        <f t="shared" si="2787"/>
        <v/>
      </c>
      <c r="M2552" s="308" t="str">
        <f t="shared" si="2788"/>
        <v/>
      </c>
      <c r="N2552" s="309" t="str">
        <f t="shared" si="2789"/>
        <v/>
      </c>
    </row>
    <row r="2553" spans="1:14">
      <c r="A2553" s="296" t="s">
        <v>1497</v>
      </c>
      <c r="B2553" s="269"/>
      <c r="C2553" s="271"/>
      <c r="D2553" s="271"/>
      <c r="E2553" s="275"/>
      <c r="F2553" s="275"/>
      <c r="G2553" s="276"/>
      <c r="H2553" s="308" t="str">
        <f t="shared" si="2783"/>
        <v/>
      </c>
      <c r="I2553" s="309" t="str">
        <f t="shared" si="2784"/>
        <v/>
      </c>
      <c r="J2553" s="309" t="str">
        <f t="shared" si="2785"/>
        <v/>
      </c>
      <c r="K2553" s="309" t="str">
        <f t="shared" si="2786"/>
        <v/>
      </c>
      <c r="L2553" s="308" t="str">
        <f t="shared" si="2787"/>
        <v/>
      </c>
      <c r="M2553" s="308" t="str">
        <f t="shared" si="2788"/>
        <v/>
      </c>
      <c r="N2553" s="309" t="str">
        <f t="shared" si="2789"/>
        <v/>
      </c>
    </row>
    <row r="2554" spans="1:14">
      <c r="A2554" s="290" t="s">
        <v>1493</v>
      </c>
      <c r="B2554" s="291"/>
      <c r="C2554" s="291" t="s">
        <v>1498</v>
      </c>
      <c r="D2554" s="292">
        <v>5</v>
      </c>
      <c r="E2554" s="292">
        <v>8</v>
      </c>
      <c r="F2554" s="293">
        <f>E2554*D2554</f>
        <v>40</v>
      </c>
      <c r="G2554" s="295">
        <f>3.5+(52*0.016)</f>
        <v>4.33</v>
      </c>
      <c r="H2554" s="310" t="str">
        <f t="shared" si="2783"/>
        <v/>
      </c>
      <c r="I2554" s="311" t="str">
        <f t="shared" si="2784"/>
        <v/>
      </c>
      <c r="J2554" s="311" t="str">
        <f t="shared" si="2785"/>
        <v/>
      </c>
      <c r="K2554" s="311" t="str">
        <f t="shared" si="2786"/>
        <v/>
      </c>
      <c r="L2554" s="310" t="str">
        <f t="shared" si="2787"/>
        <v/>
      </c>
      <c r="M2554" s="310">
        <f t="shared" si="2788"/>
        <v>173.2</v>
      </c>
      <c r="N2554" s="311" t="str">
        <f t="shared" si="2789"/>
        <v/>
      </c>
    </row>
    <row r="2555" spans="1:14" ht="16.5" customHeight="1">
      <c r="A2555" s="290" t="s">
        <v>1494</v>
      </c>
      <c r="B2555" s="291"/>
      <c r="C2555" s="291" t="s">
        <v>1496</v>
      </c>
      <c r="D2555" s="292">
        <v>5</v>
      </c>
      <c r="E2555" s="293">
        <f>((1.68/0.06)+(1.82/0.12))</f>
        <v>43</v>
      </c>
      <c r="F2555" s="293">
        <f t="shared" ref="F2555" si="2791">E2555*D2555</f>
        <v>215</v>
      </c>
      <c r="G2555" s="295">
        <f>(3.14*0.3)+17*0.008*2</f>
        <v>1.21</v>
      </c>
      <c r="H2555" s="310" t="str">
        <f t="shared" si="2783"/>
        <v/>
      </c>
      <c r="I2555" s="311">
        <f t="shared" si="2784"/>
        <v>260.14999999999998</v>
      </c>
      <c r="J2555" s="311" t="str">
        <f t="shared" si="2785"/>
        <v/>
      </c>
      <c r="K2555" s="311" t="str">
        <f t="shared" si="2786"/>
        <v/>
      </c>
      <c r="L2555" s="310" t="str">
        <f t="shared" si="2787"/>
        <v/>
      </c>
      <c r="M2555" s="310" t="str">
        <f t="shared" si="2788"/>
        <v/>
      </c>
      <c r="N2555" s="311" t="str">
        <f t="shared" si="2789"/>
        <v/>
      </c>
    </row>
    <row r="2556" spans="1:14" ht="17.25">
      <c r="A2556" s="261"/>
      <c r="B2556" s="285"/>
      <c r="C2556" s="280"/>
      <c r="D2556" s="280"/>
      <c r="E2556" s="281"/>
      <c r="F2556" s="281"/>
      <c r="G2556" s="284"/>
      <c r="H2556" s="308" t="str">
        <f t="shared" si="2783"/>
        <v/>
      </c>
      <c r="I2556" s="309" t="str">
        <f t="shared" si="2784"/>
        <v/>
      </c>
      <c r="J2556" s="309" t="str">
        <f t="shared" si="2785"/>
        <v/>
      </c>
      <c r="K2556" s="309" t="str">
        <f t="shared" si="2786"/>
        <v/>
      </c>
      <c r="L2556" s="308" t="str">
        <f t="shared" si="2787"/>
        <v/>
      </c>
      <c r="M2556" s="308" t="str">
        <f t="shared" si="2788"/>
        <v/>
      </c>
      <c r="N2556" s="309" t="str">
        <f t="shared" si="2789"/>
        <v/>
      </c>
    </row>
    <row r="2557" spans="1:14">
      <c r="A2557" s="296" t="s">
        <v>1504</v>
      </c>
      <c r="B2557" s="269"/>
      <c r="C2557" s="271"/>
      <c r="D2557" s="271"/>
      <c r="E2557" s="275"/>
      <c r="F2557" s="275"/>
      <c r="G2557" s="276"/>
      <c r="H2557" s="308" t="str">
        <f t="shared" si="2783"/>
        <v/>
      </c>
      <c r="I2557" s="309" t="str">
        <f t="shared" si="2784"/>
        <v/>
      </c>
      <c r="J2557" s="309" t="str">
        <f t="shared" si="2785"/>
        <v/>
      </c>
      <c r="K2557" s="309" t="str">
        <f t="shared" si="2786"/>
        <v/>
      </c>
      <c r="L2557" s="308" t="str">
        <f t="shared" si="2787"/>
        <v/>
      </c>
      <c r="M2557" s="308" t="str">
        <f t="shared" si="2788"/>
        <v/>
      </c>
      <c r="N2557" s="309" t="str">
        <f t="shared" si="2789"/>
        <v/>
      </c>
    </row>
    <row r="2558" spans="1:14">
      <c r="A2558" s="290" t="s">
        <v>1493</v>
      </c>
      <c r="B2558" s="291"/>
      <c r="C2558" s="291" t="s">
        <v>1492</v>
      </c>
      <c r="D2558" s="292">
        <v>11</v>
      </c>
      <c r="E2558" s="292">
        <v>10</v>
      </c>
      <c r="F2558" s="293">
        <f>E2558*D2558</f>
        <v>110</v>
      </c>
      <c r="G2558" s="295">
        <f>3.5+(52*0.014)</f>
        <v>4.2300000000000004</v>
      </c>
      <c r="H2558" s="310" t="str">
        <f t="shared" si="2783"/>
        <v/>
      </c>
      <c r="I2558" s="311" t="str">
        <f t="shared" si="2784"/>
        <v/>
      </c>
      <c r="J2558" s="311" t="str">
        <f t="shared" si="2785"/>
        <v/>
      </c>
      <c r="K2558" s="311" t="str">
        <f t="shared" si="2786"/>
        <v/>
      </c>
      <c r="L2558" s="310">
        <f t="shared" si="2787"/>
        <v>465.3</v>
      </c>
      <c r="M2558" s="310" t="str">
        <f t="shared" si="2788"/>
        <v/>
      </c>
      <c r="N2558" s="311" t="str">
        <f t="shared" si="2789"/>
        <v/>
      </c>
    </row>
    <row r="2559" spans="1:14">
      <c r="A2559" s="290" t="s">
        <v>1494</v>
      </c>
      <c r="B2559" s="291"/>
      <c r="C2559" s="291" t="s">
        <v>1496</v>
      </c>
      <c r="D2559" s="292">
        <v>11</v>
      </c>
      <c r="E2559" s="293">
        <f>((1.68/0.06)+(1.82/0.12))</f>
        <v>43</v>
      </c>
      <c r="F2559" s="293">
        <f t="shared" ref="F2559:F2560" si="2792">E2559*D2559</f>
        <v>473</v>
      </c>
      <c r="G2559" s="295">
        <f>(0.2+0.4)*2+17*0.008*2</f>
        <v>1.47</v>
      </c>
      <c r="H2559" s="310" t="str">
        <f t="shared" si="2783"/>
        <v/>
      </c>
      <c r="I2559" s="311">
        <f t="shared" si="2784"/>
        <v>695.31</v>
      </c>
      <c r="J2559" s="311" t="str">
        <f t="shared" si="2785"/>
        <v/>
      </c>
      <c r="K2559" s="311" t="str">
        <f t="shared" si="2786"/>
        <v/>
      </c>
      <c r="L2559" s="310" t="str">
        <f t="shared" si="2787"/>
        <v/>
      </c>
      <c r="M2559" s="310" t="str">
        <f t="shared" si="2788"/>
        <v/>
      </c>
      <c r="N2559" s="311" t="str">
        <f t="shared" si="2789"/>
        <v/>
      </c>
    </row>
    <row r="2560" spans="1:14">
      <c r="A2560" s="290" t="s">
        <v>1495</v>
      </c>
      <c r="B2560" s="291"/>
      <c r="C2560" s="291" t="s">
        <v>1496</v>
      </c>
      <c r="D2560" s="292">
        <v>11</v>
      </c>
      <c r="E2560" s="293">
        <f>((1.68/0.06)+(1.82/0.12))*3</f>
        <v>130</v>
      </c>
      <c r="F2560" s="293">
        <f t="shared" si="2792"/>
        <v>1430</v>
      </c>
      <c r="G2560" s="295">
        <f>(0.2*2)+17*0.008*2</f>
        <v>0.67</v>
      </c>
      <c r="H2560" s="310" t="str">
        <f t="shared" si="2783"/>
        <v/>
      </c>
      <c r="I2560" s="311">
        <f t="shared" si="2784"/>
        <v>958.1</v>
      </c>
      <c r="J2560" s="311" t="str">
        <f t="shared" si="2785"/>
        <v/>
      </c>
      <c r="K2560" s="311" t="str">
        <f t="shared" si="2786"/>
        <v/>
      </c>
      <c r="L2560" s="310" t="str">
        <f t="shared" si="2787"/>
        <v/>
      </c>
      <c r="M2560" s="310" t="str">
        <f t="shared" si="2788"/>
        <v/>
      </c>
      <c r="N2560" s="311" t="str">
        <f t="shared" si="2789"/>
        <v/>
      </c>
    </row>
    <row r="2561" spans="1:14">
      <c r="A2561" s="279"/>
      <c r="B2561" s="285"/>
      <c r="C2561" s="280"/>
      <c r="D2561" s="280"/>
      <c r="E2561" s="281"/>
      <c r="F2561" s="281"/>
      <c r="G2561" s="284"/>
      <c r="H2561" s="308" t="str">
        <f t="shared" si="2783"/>
        <v/>
      </c>
      <c r="I2561" s="309" t="str">
        <f t="shared" si="2784"/>
        <v/>
      </c>
      <c r="J2561" s="309" t="str">
        <f t="shared" si="2785"/>
        <v/>
      </c>
      <c r="K2561" s="309" t="str">
        <f t="shared" si="2786"/>
        <v/>
      </c>
      <c r="L2561" s="308" t="str">
        <f t="shared" si="2787"/>
        <v/>
      </c>
      <c r="M2561" s="308" t="str">
        <f t="shared" si="2788"/>
        <v/>
      </c>
      <c r="N2561" s="309" t="str">
        <f t="shared" si="2789"/>
        <v/>
      </c>
    </row>
    <row r="2562" spans="1:14">
      <c r="A2562" s="296" t="s">
        <v>1509</v>
      </c>
      <c r="B2562" s="269"/>
      <c r="C2562" s="271"/>
      <c r="D2562" s="271"/>
      <c r="E2562" s="275"/>
      <c r="F2562" s="275"/>
      <c r="G2562" s="276"/>
      <c r="H2562" s="308" t="str">
        <f t="shared" ref="H2562:H2565" si="2793">IF(C2562="T6",G2562*F2562,"")</f>
        <v/>
      </c>
      <c r="I2562" s="309" t="str">
        <f t="shared" ref="I2562:I2565" si="2794">IF(C2562="T8",F2562*G2562,"")</f>
        <v/>
      </c>
      <c r="J2562" s="309" t="str">
        <f t="shared" ref="J2562:J2565" si="2795">IF(C2562="T10",F2562*G2562,"")</f>
        <v/>
      </c>
      <c r="K2562" s="309" t="str">
        <f t="shared" ref="K2562:K2565" si="2796">IF(C2562="T12",F2562*G2562,"")</f>
        <v/>
      </c>
      <c r="L2562" s="308" t="str">
        <f t="shared" ref="L2562:L2565" si="2797">IF(C2562="T14",F2562*G2562,"")</f>
        <v/>
      </c>
      <c r="M2562" s="308" t="str">
        <f t="shared" ref="M2562:M2565" si="2798">IF(C2562="T16",G2562*F2562,"")</f>
        <v/>
      </c>
      <c r="N2562" s="309" t="str">
        <f t="shared" ref="N2562:N2565" si="2799">IF(C2562="T20",G2562*F2562,"")</f>
        <v/>
      </c>
    </row>
    <row r="2563" spans="1:14">
      <c r="A2563" s="290" t="s">
        <v>1493</v>
      </c>
      <c r="B2563" s="291"/>
      <c r="C2563" s="291" t="s">
        <v>1492</v>
      </c>
      <c r="D2563" s="292">
        <v>11</v>
      </c>
      <c r="E2563" s="292">
        <v>18</v>
      </c>
      <c r="F2563" s="293">
        <f>E2563*D2563</f>
        <v>198</v>
      </c>
      <c r="G2563" s="295">
        <f>3.5+(52*0.014)</f>
        <v>4.2300000000000004</v>
      </c>
      <c r="H2563" s="310" t="str">
        <f t="shared" si="2793"/>
        <v/>
      </c>
      <c r="I2563" s="311" t="str">
        <f t="shared" si="2794"/>
        <v/>
      </c>
      <c r="J2563" s="311" t="str">
        <f t="shared" si="2795"/>
        <v/>
      </c>
      <c r="K2563" s="311" t="str">
        <f t="shared" si="2796"/>
        <v/>
      </c>
      <c r="L2563" s="310">
        <f t="shared" si="2797"/>
        <v>837.54</v>
      </c>
      <c r="M2563" s="310" t="str">
        <f t="shared" si="2798"/>
        <v/>
      </c>
      <c r="N2563" s="311" t="str">
        <f t="shared" si="2799"/>
        <v/>
      </c>
    </row>
    <row r="2564" spans="1:14">
      <c r="A2564" s="290" t="s">
        <v>1494</v>
      </c>
      <c r="B2564" s="291"/>
      <c r="C2564" s="291" t="s">
        <v>1496</v>
      </c>
      <c r="D2564" s="292">
        <v>11</v>
      </c>
      <c r="E2564" s="293">
        <f>((1.68/0.06)+(1.82/0.12))</f>
        <v>43</v>
      </c>
      <c r="F2564" s="293">
        <f t="shared" ref="F2564:F2565" si="2800">E2564*D2564</f>
        <v>473</v>
      </c>
      <c r="G2564" s="295">
        <f>(0.2+0.45)*2+17*0.008*2</f>
        <v>1.57</v>
      </c>
      <c r="H2564" s="310" t="str">
        <f t="shared" si="2793"/>
        <v/>
      </c>
      <c r="I2564" s="311">
        <f t="shared" si="2794"/>
        <v>742.61</v>
      </c>
      <c r="J2564" s="311" t="str">
        <f t="shared" si="2795"/>
        <v/>
      </c>
      <c r="K2564" s="311" t="str">
        <f t="shared" si="2796"/>
        <v/>
      </c>
      <c r="L2564" s="310" t="str">
        <f t="shared" si="2797"/>
        <v/>
      </c>
      <c r="M2564" s="310" t="str">
        <f t="shared" si="2798"/>
        <v/>
      </c>
      <c r="N2564" s="311" t="str">
        <f t="shared" si="2799"/>
        <v/>
      </c>
    </row>
    <row r="2565" spans="1:14">
      <c r="A2565" s="290" t="s">
        <v>1495</v>
      </c>
      <c r="B2565" s="291"/>
      <c r="C2565" s="291" t="s">
        <v>1496</v>
      </c>
      <c r="D2565" s="292">
        <v>11</v>
      </c>
      <c r="E2565" s="293">
        <f>((1.68/0.06)+(1.82/0.12))*7</f>
        <v>302</v>
      </c>
      <c r="F2565" s="293">
        <f t="shared" si="2800"/>
        <v>3322</v>
      </c>
      <c r="G2565" s="295">
        <f>(0.2*2)+17*0.008*2</f>
        <v>0.67</v>
      </c>
      <c r="H2565" s="310" t="str">
        <f t="shared" si="2793"/>
        <v/>
      </c>
      <c r="I2565" s="311">
        <f t="shared" si="2794"/>
        <v>2225.7399999999998</v>
      </c>
      <c r="J2565" s="311" t="str">
        <f t="shared" si="2795"/>
        <v/>
      </c>
      <c r="K2565" s="311" t="str">
        <f t="shared" si="2796"/>
        <v/>
      </c>
      <c r="L2565" s="310" t="str">
        <f t="shared" si="2797"/>
        <v/>
      </c>
      <c r="M2565" s="310" t="str">
        <f t="shared" si="2798"/>
        <v/>
      </c>
      <c r="N2565" s="311" t="str">
        <f t="shared" si="2799"/>
        <v/>
      </c>
    </row>
    <row r="2566" spans="1:14" ht="17.25">
      <c r="A2566" s="261"/>
      <c r="B2566" s="274"/>
      <c r="C2566" s="271"/>
      <c r="D2566" s="271"/>
      <c r="E2566" s="272"/>
      <c r="F2566" s="272"/>
      <c r="G2566" s="271"/>
      <c r="H2566" s="308" t="str">
        <f t="shared" si="2783"/>
        <v/>
      </c>
      <c r="I2566" s="309" t="str">
        <f t="shared" si="2784"/>
        <v/>
      </c>
      <c r="J2566" s="309" t="str">
        <f t="shared" si="2785"/>
        <v/>
      </c>
      <c r="K2566" s="309" t="str">
        <f t="shared" si="2786"/>
        <v/>
      </c>
      <c r="L2566" s="308" t="str">
        <f t="shared" si="2787"/>
        <v/>
      </c>
      <c r="M2566" s="308" t="str">
        <f t="shared" si="2788"/>
        <v/>
      </c>
      <c r="N2566" s="309" t="str">
        <f t="shared" si="2789"/>
        <v/>
      </c>
    </row>
    <row r="2567" spans="1:14" ht="16.5">
      <c r="A2567" s="326" t="s">
        <v>1381</v>
      </c>
      <c r="B2567" s="269"/>
      <c r="C2567" s="271"/>
      <c r="D2567" s="271"/>
      <c r="E2567" s="272"/>
      <c r="F2567" s="272"/>
      <c r="G2567" s="271"/>
      <c r="H2567" s="308" t="str">
        <f t="shared" si="2783"/>
        <v/>
      </c>
      <c r="I2567" s="309" t="str">
        <f t="shared" si="2784"/>
        <v/>
      </c>
      <c r="J2567" s="309" t="str">
        <f t="shared" si="2785"/>
        <v/>
      </c>
      <c r="K2567" s="309" t="str">
        <f t="shared" si="2786"/>
        <v/>
      </c>
      <c r="L2567" s="308" t="str">
        <f t="shared" si="2787"/>
        <v/>
      </c>
      <c r="M2567" s="308" t="str">
        <f t="shared" si="2788"/>
        <v/>
      </c>
      <c r="N2567" s="309" t="str">
        <f t="shared" si="2789"/>
        <v/>
      </c>
    </row>
    <row r="2568" spans="1:14">
      <c r="A2568" s="296" t="s">
        <v>1506</v>
      </c>
      <c r="B2568" s="269"/>
      <c r="C2568" s="271"/>
      <c r="D2568" s="271"/>
      <c r="E2568" s="275"/>
      <c r="F2568" s="275"/>
      <c r="G2568" s="276"/>
      <c r="H2568" s="308" t="str">
        <f t="shared" si="2783"/>
        <v/>
      </c>
      <c r="I2568" s="309" t="str">
        <f t="shared" si="2784"/>
        <v/>
      </c>
      <c r="J2568" s="309" t="str">
        <f t="shared" si="2785"/>
        <v/>
      </c>
      <c r="K2568" s="309" t="str">
        <f t="shared" si="2786"/>
        <v/>
      </c>
      <c r="L2568" s="308" t="str">
        <f t="shared" si="2787"/>
        <v/>
      </c>
      <c r="M2568" s="308" t="str">
        <f t="shared" si="2788"/>
        <v/>
      </c>
      <c r="N2568" s="309" t="str">
        <f t="shared" si="2789"/>
        <v/>
      </c>
    </row>
    <row r="2569" spans="1:14">
      <c r="A2569" s="290" t="s">
        <v>1493</v>
      </c>
      <c r="B2569" s="291"/>
      <c r="C2569" s="291" t="s">
        <v>1492</v>
      </c>
      <c r="D2569" s="292">
        <v>4</v>
      </c>
      <c r="E2569" s="292">
        <v>8</v>
      </c>
      <c r="F2569" s="293">
        <f>E2569*D2569</f>
        <v>32</v>
      </c>
      <c r="G2569" s="295">
        <f>3.5+(52*0.014)</f>
        <v>4.2300000000000004</v>
      </c>
      <c r="H2569" s="310" t="str">
        <f t="shared" si="2783"/>
        <v/>
      </c>
      <c r="I2569" s="311" t="str">
        <f t="shared" si="2784"/>
        <v/>
      </c>
      <c r="J2569" s="311" t="str">
        <f t="shared" si="2785"/>
        <v/>
      </c>
      <c r="K2569" s="311" t="str">
        <f t="shared" si="2786"/>
        <v/>
      </c>
      <c r="L2569" s="310">
        <f t="shared" si="2787"/>
        <v>135.36000000000001</v>
      </c>
      <c r="M2569" s="310" t="str">
        <f t="shared" si="2788"/>
        <v/>
      </c>
      <c r="N2569" s="311" t="str">
        <f t="shared" si="2789"/>
        <v/>
      </c>
    </row>
    <row r="2570" spans="1:14">
      <c r="A2570" s="290" t="s">
        <v>1494</v>
      </c>
      <c r="B2570" s="291"/>
      <c r="C2570" s="291" t="s">
        <v>1496</v>
      </c>
      <c r="D2570" s="292">
        <v>4</v>
      </c>
      <c r="E2570" s="293">
        <f>((1.68/0.06)+(1.82/0.12))</f>
        <v>43</v>
      </c>
      <c r="F2570" s="293">
        <f t="shared" ref="F2570:F2571" si="2801">E2570*D2570</f>
        <v>172</v>
      </c>
      <c r="G2570" s="295">
        <f>(0.2+0.3)*2+17*0.008*2</f>
        <v>1.27</v>
      </c>
      <c r="H2570" s="310" t="str">
        <f t="shared" si="2783"/>
        <v/>
      </c>
      <c r="I2570" s="311">
        <f t="shared" si="2784"/>
        <v>218.44</v>
      </c>
      <c r="J2570" s="311" t="str">
        <f t="shared" si="2785"/>
        <v/>
      </c>
      <c r="K2570" s="311" t="str">
        <f t="shared" si="2786"/>
        <v/>
      </c>
      <c r="L2570" s="310" t="str">
        <f t="shared" si="2787"/>
        <v/>
      </c>
      <c r="M2570" s="310" t="str">
        <f t="shared" si="2788"/>
        <v/>
      </c>
      <c r="N2570" s="311" t="str">
        <f t="shared" si="2789"/>
        <v/>
      </c>
    </row>
    <row r="2571" spans="1:14">
      <c r="A2571" s="290" t="s">
        <v>1495</v>
      </c>
      <c r="B2571" s="291"/>
      <c r="C2571" s="291" t="s">
        <v>1496</v>
      </c>
      <c r="D2571" s="292">
        <v>4</v>
      </c>
      <c r="E2571" s="293">
        <f>((1.68/0.06)+(1.82/0.12))*2</f>
        <v>86</v>
      </c>
      <c r="F2571" s="293">
        <f t="shared" si="2801"/>
        <v>344</v>
      </c>
      <c r="G2571" s="295">
        <f>(0.2*2)+17*0.008*2</f>
        <v>0.67</v>
      </c>
      <c r="H2571" s="310" t="str">
        <f t="shared" si="2783"/>
        <v/>
      </c>
      <c r="I2571" s="311">
        <f t="shared" si="2784"/>
        <v>230.48</v>
      </c>
      <c r="J2571" s="311" t="str">
        <f t="shared" si="2785"/>
        <v/>
      </c>
      <c r="K2571" s="311" t="str">
        <f t="shared" si="2786"/>
        <v/>
      </c>
      <c r="L2571" s="310" t="str">
        <f t="shared" si="2787"/>
        <v/>
      </c>
      <c r="M2571" s="310" t="str">
        <f t="shared" si="2788"/>
        <v/>
      </c>
      <c r="N2571" s="311" t="str">
        <f t="shared" si="2789"/>
        <v/>
      </c>
    </row>
    <row r="2572" spans="1:14">
      <c r="A2572" s="270"/>
      <c r="B2572" s="269"/>
      <c r="C2572" s="271"/>
      <c r="D2572" s="271"/>
      <c r="E2572" s="272"/>
      <c r="F2572" s="272"/>
      <c r="G2572" s="278"/>
      <c r="H2572" s="308" t="str">
        <f t="shared" si="2783"/>
        <v/>
      </c>
      <c r="I2572" s="309" t="str">
        <f t="shared" si="2784"/>
        <v/>
      </c>
      <c r="J2572" s="309" t="str">
        <f t="shared" si="2785"/>
        <v/>
      </c>
      <c r="K2572" s="309" t="str">
        <f t="shared" si="2786"/>
        <v/>
      </c>
      <c r="L2572" s="308" t="str">
        <f t="shared" si="2787"/>
        <v/>
      </c>
      <c r="M2572" s="308" t="str">
        <f t="shared" si="2788"/>
        <v/>
      </c>
      <c r="N2572" s="309" t="str">
        <f t="shared" si="2789"/>
        <v/>
      </c>
    </row>
    <row r="2573" spans="1:14">
      <c r="A2573" s="296" t="s">
        <v>1505</v>
      </c>
      <c r="B2573" s="269"/>
      <c r="C2573" s="271"/>
      <c r="D2573" s="271"/>
      <c r="E2573" s="275"/>
      <c r="F2573" s="275"/>
      <c r="G2573" s="276"/>
      <c r="H2573" s="308" t="str">
        <f t="shared" si="2783"/>
        <v/>
      </c>
      <c r="I2573" s="309" t="str">
        <f t="shared" si="2784"/>
        <v/>
      </c>
      <c r="J2573" s="309" t="str">
        <f t="shared" si="2785"/>
        <v/>
      </c>
      <c r="K2573" s="309" t="str">
        <f t="shared" si="2786"/>
        <v/>
      </c>
      <c r="L2573" s="308" t="str">
        <f t="shared" si="2787"/>
        <v/>
      </c>
      <c r="M2573" s="308" t="str">
        <f t="shared" si="2788"/>
        <v/>
      </c>
      <c r="N2573" s="309" t="str">
        <f t="shared" si="2789"/>
        <v/>
      </c>
    </row>
    <row r="2574" spans="1:14">
      <c r="A2574" s="290" t="s">
        <v>1493</v>
      </c>
      <c r="B2574" s="291"/>
      <c r="C2574" s="291" t="s">
        <v>1492</v>
      </c>
      <c r="D2574" s="292">
        <v>1</v>
      </c>
      <c r="E2574" s="292">
        <v>8</v>
      </c>
      <c r="F2574" s="293">
        <f>E2574*D2574</f>
        <v>8</v>
      </c>
      <c r="G2574" s="295">
        <f>3.5+(52*0.014)</f>
        <v>4.2300000000000004</v>
      </c>
      <c r="H2574" s="310" t="str">
        <f t="shared" si="2783"/>
        <v/>
      </c>
      <c r="I2574" s="311" t="str">
        <f t="shared" si="2784"/>
        <v/>
      </c>
      <c r="J2574" s="311" t="str">
        <f t="shared" si="2785"/>
        <v/>
      </c>
      <c r="K2574" s="311" t="str">
        <f t="shared" si="2786"/>
        <v/>
      </c>
      <c r="L2574" s="310">
        <f t="shared" si="2787"/>
        <v>33.840000000000003</v>
      </c>
      <c r="M2574" s="310" t="str">
        <f t="shared" si="2788"/>
        <v/>
      </c>
      <c r="N2574" s="311" t="str">
        <f t="shared" si="2789"/>
        <v/>
      </c>
    </row>
    <row r="2575" spans="1:14">
      <c r="A2575" s="290" t="s">
        <v>1494</v>
      </c>
      <c r="B2575" s="291"/>
      <c r="C2575" s="291" t="s">
        <v>1496</v>
      </c>
      <c r="D2575" s="292">
        <v>1</v>
      </c>
      <c r="E2575" s="293">
        <f>((1.68/0.06)+(1.82/0.12))</f>
        <v>43</v>
      </c>
      <c r="F2575" s="293">
        <f t="shared" ref="F2575:F2576" si="2802">E2575*D2575</f>
        <v>43</v>
      </c>
      <c r="G2575" s="295">
        <f>(0.2+0.3)*2+17*0.008*2</f>
        <v>1.27</v>
      </c>
      <c r="H2575" s="310" t="str">
        <f t="shared" si="2783"/>
        <v/>
      </c>
      <c r="I2575" s="311">
        <f t="shared" si="2784"/>
        <v>54.61</v>
      </c>
      <c r="J2575" s="311" t="str">
        <f t="shared" si="2785"/>
        <v/>
      </c>
      <c r="K2575" s="311" t="str">
        <f t="shared" si="2786"/>
        <v/>
      </c>
      <c r="L2575" s="310" t="str">
        <f t="shared" si="2787"/>
        <v/>
      </c>
      <c r="M2575" s="310" t="str">
        <f t="shared" si="2788"/>
        <v/>
      </c>
      <c r="N2575" s="311" t="str">
        <f t="shared" si="2789"/>
        <v/>
      </c>
    </row>
    <row r="2576" spans="1:14">
      <c r="A2576" s="290" t="s">
        <v>1495</v>
      </c>
      <c r="B2576" s="291"/>
      <c r="C2576" s="291" t="s">
        <v>1496</v>
      </c>
      <c r="D2576" s="292">
        <v>1</v>
      </c>
      <c r="E2576" s="293">
        <f>((1.68/0.06)+(1.82/0.12))*2</f>
        <v>86</v>
      </c>
      <c r="F2576" s="293">
        <f t="shared" si="2802"/>
        <v>86</v>
      </c>
      <c r="G2576" s="295">
        <f>(0.2*2)+17*0.008*2</f>
        <v>0.67</v>
      </c>
      <c r="H2576" s="310" t="str">
        <f t="shared" si="2783"/>
        <v/>
      </c>
      <c r="I2576" s="311">
        <f t="shared" si="2784"/>
        <v>57.62</v>
      </c>
      <c r="J2576" s="311" t="str">
        <f t="shared" si="2785"/>
        <v/>
      </c>
      <c r="K2576" s="311" t="str">
        <f t="shared" si="2786"/>
        <v/>
      </c>
      <c r="L2576" s="310" t="str">
        <f t="shared" si="2787"/>
        <v/>
      </c>
      <c r="M2576" s="310" t="str">
        <f t="shared" si="2788"/>
        <v/>
      </c>
      <c r="N2576" s="311" t="str">
        <f t="shared" si="2789"/>
        <v/>
      </c>
    </row>
    <row r="2577" spans="1:14">
      <c r="A2577" s="270"/>
      <c r="B2577" s="269"/>
      <c r="C2577" s="271"/>
      <c r="D2577" s="271"/>
      <c r="E2577" s="272"/>
      <c r="F2577" s="272"/>
      <c r="G2577" s="278"/>
      <c r="H2577" s="308"/>
      <c r="I2577" s="309"/>
      <c r="J2577" s="309"/>
      <c r="K2577" s="309"/>
      <c r="L2577" s="308"/>
      <c r="M2577" s="308"/>
      <c r="N2577" s="309"/>
    </row>
    <row r="2578" spans="1:14">
      <c r="A2578" s="296" t="s">
        <v>1510</v>
      </c>
      <c r="B2578" s="269"/>
      <c r="C2578" s="271"/>
      <c r="D2578" s="271"/>
      <c r="E2578" s="275"/>
      <c r="F2578" s="275"/>
      <c r="G2578" s="276"/>
      <c r="H2578" s="308" t="str">
        <f t="shared" ref="H2578:H2580" si="2803">IF(C2578="T6",G2578*F2578,"")</f>
        <v/>
      </c>
      <c r="I2578" s="309" t="str">
        <f t="shared" ref="I2578:I2580" si="2804">IF(C2578="T8",F2578*G2578,"")</f>
        <v/>
      </c>
      <c r="J2578" s="309" t="str">
        <f t="shared" ref="J2578:J2580" si="2805">IF(C2578="T10",F2578*G2578,"")</f>
        <v/>
      </c>
      <c r="K2578" s="309" t="str">
        <f t="shared" ref="K2578:K2580" si="2806">IF(C2578="T12",F2578*G2578,"")</f>
        <v/>
      </c>
      <c r="L2578" s="308" t="str">
        <f t="shared" ref="L2578:L2580" si="2807">IF(C2578="T14",F2578*G2578,"")</f>
        <v/>
      </c>
      <c r="M2578" s="308" t="str">
        <f t="shared" ref="M2578:M2580" si="2808">IF(C2578="T16",G2578*F2578,"")</f>
        <v/>
      </c>
      <c r="N2578" s="309" t="str">
        <f t="shared" ref="N2578:N2580" si="2809">IF(C2578="T20",G2578*F2578,"")</f>
        <v/>
      </c>
    </row>
    <row r="2579" spans="1:14">
      <c r="A2579" s="290" t="s">
        <v>1493</v>
      </c>
      <c r="B2579" s="291"/>
      <c r="C2579" s="291" t="s">
        <v>1498</v>
      </c>
      <c r="D2579" s="292">
        <v>4</v>
      </c>
      <c r="E2579" s="292">
        <v>8</v>
      </c>
      <c r="F2579" s="293">
        <f>E2579*D2579</f>
        <v>32</v>
      </c>
      <c r="G2579" s="295">
        <f>3.5+(52*0.016)</f>
        <v>4.33</v>
      </c>
      <c r="H2579" s="310" t="str">
        <f t="shared" si="2803"/>
        <v/>
      </c>
      <c r="I2579" s="311" t="str">
        <f t="shared" si="2804"/>
        <v/>
      </c>
      <c r="J2579" s="311" t="str">
        <f t="shared" si="2805"/>
        <v/>
      </c>
      <c r="K2579" s="311" t="str">
        <f t="shared" si="2806"/>
        <v/>
      </c>
      <c r="L2579" s="310" t="str">
        <f t="shared" si="2807"/>
        <v/>
      </c>
      <c r="M2579" s="310">
        <f t="shared" si="2808"/>
        <v>138.56</v>
      </c>
      <c r="N2579" s="311" t="str">
        <f t="shared" si="2809"/>
        <v/>
      </c>
    </row>
    <row r="2580" spans="1:14">
      <c r="A2580" s="290" t="s">
        <v>1494</v>
      </c>
      <c r="B2580" s="291"/>
      <c r="C2580" s="291" t="s">
        <v>1496</v>
      </c>
      <c r="D2580" s="292">
        <v>4</v>
      </c>
      <c r="E2580" s="293">
        <f>((1.68/0.06)+(1.82/0.12))*2</f>
        <v>86</v>
      </c>
      <c r="F2580" s="293">
        <f t="shared" ref="F2580" si="2810">E2580*D2580</f>
        <v>344</v>
      </c>
      <c r="G2580" s="295">
        <f>(0.25+0.25)*2+17*0.008*2</f>
        <v>1.27</v>
      </c>
      <c r="H2580" s="310" t="str">
        <f t="shared" si="2803"/>
        <v/>
      </c>
      <c r="I2580" s="311">
        <f t="shared" si="2804"/>
        <v>436.88</v>
      </c>
      <c r="J2580" s="311" t="str">
        <f t="shared" si="2805"/>
        <v/>
      </c>
      <c r="K2580" s="311" t="str">
        <f t="shared" si="2806"/>
        <v/>
      </c>
      <c r="L2580" s="310" t="str">
        <f t="shared" si="2807"/>
        <v/>
      </c>
      <c r="M2580" s="310" t="str">
        <f t="shared" si="2808"/>
        <v/>
      </c>
      <c r="N2580" s="311" t="str">
        <f t="shared" si="2809"/>
        <v/>
      </c>
    </row>
    <row r="2581" spans="1:14">
      <c r="A2581" s="270"/>
      <c r="B2581" s="269"/>
      <c r="C2581" s="271"/>
      <c r="D2581" s="271"/>
      <c r="E2581" s="272"/>
      <c r="F2581" s="272"/>
      <c r="G2581" s="278"/>
      <c r="H2581" s="308"/>
      <c r="I2581" s="309"/>
      <c r="J2581" s="309"/>
      <c r="K2581" s="309"/>
      <c r="L2581" s="308"/>
      <c r="M2581" s="308"/>
      <c r="N2581" s="309"/>
    </row>
    <row r="2582" spans="1:14" ht="18.75" customHeight="1">
      <c r="A2582" s="296" t="s">
        <v>1507</v>
      </c>
      <c r="B2582" s="269"/>
      <c r="C2582" s="271"/>
      <c r="D2582" s="271"/>
      <c r="E2582" s="275"/>
      <c r="F2582" s="275"/>
      <c r="G2582" s="276"/>
      <c r="H2582" s="308" t="str">
        <f t="shared" si="2783"/>
        <v/>
      </c>
      <c r="I2582" s="309" t="str">
        <f t="shared" si="2784"/>
        <v/>
      </c>
      <c r="J2582" s="309" t="str">
        <f t="shared" si="2785"/>
        <v/>
      </c>
      <c r="K2582" s="309" t="str">
        <f t="shared" si="2786"/>
        <v/>
      </c>
      <c r="L2582" s="308" t="str">
        <f t="shared" si="2787"/>
        <v/>
      </c>
      <c r="M2582" s="308" t="str">
        <f t="shared" si="2788"/>
        <v/>
      </c>
      <c r="N2582" s="309" t="str">
        <f t="shared" si="2789"/>
        <v/>
      </c>
    </row>
    <row r="2583" spans="1:14" s="294" customFormat="1">
      <c r="A2583" s="290" t="s">
        <v>1493</v>
      </c>
      <c r="B2583" s="291"/>
      <c r="C2583" s="291" t="s">
        <v>1498</v>
      </c>
      <c r="D2583" s="292">
        <v>6</v>
      </c>
      <c r="E2583" s="292">
        <v>8</v>
      </c>
      <c r="F2583" s="293">
        <f>E2583*D2583</f>
        <v>48</v>
      </c>
      <c r="G2583" s="295">
        <f>3.5+(52*0.016)</f>
        <v>4.33</v>
      </c>
      <c r="H2583" s="310" t="str">
        <f t="shared" si="2783"/>
        <v/>
      </c>
      <c r="I2583" s="311" t="str">
        <f t="shared" si="2784"/>
        <v/>
      </c>
      <c r="J2583" s="311" t="str">
        <f t="shared" si="2785"/>
        <v/>
      </c>
      <c r="K2583" s="311" t="str">
        <f t="shared" si="2786"/>
        <v/>
      </c>
      <c r="L2583" s="310" t="str">
        <f t="shared" si="2787"/>
        <v/>
      </c>
      <c r="M2583" s="310">
        <f t="shared" si="2788"/>
        <v>207.84</v>
      </c>
      <c r="N2583" s="311" t="str">
        <f t="shared" si="2789"/>
        <v/>
      </c>
    </row>
    <row r="2584" spans="1:14" s="294" customFormat="1">
      <c r="A2584" s="290" t="s">
        <v>1494</v>
      </c>
      <c r="B2584" s="291"/>
      <c r="C2584" s="291" t="s">
        <v>1496</v>
      </c>
      <c r="D2584" s="292">
        <v>6</v>
      </c>
      <c r="E2584" s="293">
        <f>((1.68/0.06)+(1.82/0.12))</f>
        <v>43</v>
      </c>
      <c r="F2584" s="293">
        <f t="shared" ref="F2584" si="2811">E2584*D2584</f>
        <v>258</v>
      </c>
      <c r="G2584" s="295">
        <f>(3.14*0.3)+17*0.008*2</f>
        <v>1.21</v>
      </c>
      <c r="H2584" s="310" t="str">
        <f t="shared" si="2783"/>
        <v/>
      </c>
      <c r="I2584" s="311">
        <f t="shared" si="2784"/>
        <v>312.18</v>
      </c>
      <c r="J2584" s="311" t="str">
        <f t="shared" si="2785"/>
        <v/>
      </c>
      <c r="K2584" s="311" t="str">
        <f t="shared" si="2786"/>
        <v/>
      </c>
      <c r="L2584" s="310" t="str">
        <f t="shared" si="2787"/>
        <v/>
      </c>
      <c r="M2584" s="310" t="str">
        <f t="shared" si="2788"/>
        <v/>
      </c>
      <c r="N2584" s="311" t="str">
        <f t="shared" si="2789"/>
        <v/>
      </c>
    </row>
    <row r="2585" spans="1:14">
      <c r="A2585" s="270"/>
      <c r="B2585" s="274"/>
      <c r="C2585" s="271"/>
      <c r="D2585" s="271"/>
      <c r="E2585" s="272"/>
      <c r="F2585" s="272"/>
      <c r="G2585" s="278"/>
      <c r="H2585" s="308" t="str">
        <f t="shared" si="2783"/>
        <v/>
      </c>
      <c r="I2585" s="309" t="str">
        <f t="shared" si="2784"/>
        <v/>
      </c>
      <c r="J2585" s="309" t="str">
        <f t="shared" si="2785"/>
        <v/>
      </c>
      <c r="K2585" s="309" t="str">
        <f t="shared" si="2786"/>
        <v/>
      </c>
      <c r="L2585" s="308" t="str">
        <f t="shared" si="2787"/>
        <v/>
      </c>
      <c r="M2585" s="308" t="str">
        <f t="shared" si="2788"/>
        <v/>
      </c>
      <c r="N2585" s="309" t="str">
        <f t="shared" si="2789"/>
        <v/>
      </c>
    </row>
    <row r="2586" spans="1:14" ht="18.75" customHeight="1">
      <c r="A2586" s="296" t="s">
        <v>1508</v>
      </c>
      <c r="B2586" s="269"/>
      <c r="C2586" s="271"/>
      <c r="D2586" s="271"/>
      <c r="E2586" s="275"/>
      <c r="F2586" s="275"/>
      <c r="G2586" s="276"/>
      <c r="H2586" s="308" t="str">
        <f t="shared" ref="H2586:H2588" si="2812">IF(C2586="T6",G2586*F2586,"")</f>
        <v/>
      </c>
      <c r="I2586" s="309" t="str">
        <f t="shared" ref="I2586:I2588" si="2813">IF(C2586="T8",F2586*G2586,"")</f>
        <v/>
      </c>
      <c r="J2586" s="309" t="str">
        <f t="shared" ref="J2586:J2588" si="2814">IF(C2586="T10",F2586*G2586,"")</f>
        <v/>
      </c>
      <c r="K2586" s="309" t="str">
        <f t="shared" ref="K2586:K2588" si="2815">IF(C2586="T12",F2586*G2586,"")</f>
        <v/>
      </c>
      <c r="L2586" s="308" t="str">
        <f t="shared" ref="L2586:L2588" si="2816">IF(C2586="T14",F2586*G2586,"")</f>
        <v/>
      </c>
      <c r="M2586" s="308" t="str">
        <f t="shared" ref="M2586:M2588" si="2817">IF(C2586="T16",G2586*F2586,"")</f>
        <v/>
      </c>
      <c r="N2586" s="309" t="str">
        <f t="shared" ref="N2586:N2588" si="2818">IF(C2586="T20",G2586*F2586,"")</f>
        <v/>
      </c>
    </row>
    <row r="2587" spans="1:14" s="294" customFormat="1">
      <c r="A2587" s="290" t="s">
        <v>1493</v>
      </c>
      <c r="B2587" s="291"/>
      <c r="C2587" s="291" t="s">
        <v>1498</v>
      </c>
      <c r="D2587" s="292">
        <v>1</v>
      </c>
      <c r="E2587" s="292">
        <v>8</v>
      </c>
      <c r="F2587" s="293">
        <f>E2587*D2587</f>
        <v>8</v>
      </c>
      <c r="G2587" s="295">
        <f>3.5+(52*0.016)</f>
        <v>4.33</v>
      </c>
      <c r="H2587" s="310" t="str">
        <f t="shared" si="2812"/>
        <v/>
      </c>
      <c r="I2587" s="311" t="str">
        <f t="shared" si="2813"/>
        <v/>
      </c>
      <c r="J2587" s="311" t="str">
        <f t="shared" si="2814"/>
        <v/>
      </c>
      <c r="K2587" s="311" t="str">
        <f t="shared" si="2815"/>
        <v/>
      </c>
      <c r="L2587" s="310" t="str">
        <f t="shared" si="2816"/>
        <v/>
      </c>
      <c r="M2587" s="310">
        <f t="shared" si="2817"/>
        <v>34.64</v>
      </c>
      <c r="N2587" s="311" t="str">
        <f t="shared" si="2818"/>
        <v/>
      </c>
    </row>
    <row r="2588" spans="1:14" s="294" customFormat="1">
      <c r="A2588" s="290" t="s">
        <v>1494</v>
      </c>
      <c r="B2588" s="291"/>
      <c r="C2588" s="291" t="s">
        <v>1496</v>
      </c>
      <c r="D2588" s="292">
        <v>1</v>
      </c>
      <c r="E2588" s="293">
        <f>((1.68/0.06)+(1.82/0.12))</f>
        <v>43</v>
      </c>
      <c r="F2588" s="293">
        <f t="shared" ref="F2588" si="2819">E2588*D2588</f>
        <v>43</v>
      </c>
      <c r="G2588" s="295">
        <f>(3.14*0.3)+17*0.008*2</f>
        <v>1.21</v>
      </c>
      <c r="H2588" s="310" t="str">
        <f t="shared" si="2812"/>
        <v/>
      </c>
      <c r="I2588" s="311">
        <f t="shared" si="2813"/>
        <v>52.03</v>
      </c>
      <c r="J2588" s="311" t="str">
        <f t="shared" si="2814"/>
        <v/>
      </c>
      <c r="K2588" s="311" t="str">
        <f t="shared" si="2815"/>
        <v/>
      </c>
      <c r="L2588" s="310" t="str">
        <f t="shared" si="2816"/>
        <v/>
      </c>
      <c r="M2588" s="310" t="str">
        <f t="shared" si="2817"/>
        <v/>
      </c>
      <c r="N2588" s="311" t="str">
        <f t="shared" si="2818"/>
        <v/>
      </c>
    </row>
    <row r="2589" spans="1:14">
      <c r="A2589" s="270"/>
      <c r="B2589" s="269"/>
      <c r="C2589" s="271"/>
      <c r="D2589" s="271"/>
      <c r="E2589" s="272"/>
      <c r="F2589" s="272"/>
      <c r="G2589" s="271"/>
      <c r="H2589" s="308" t="str">
        <f t="shared" si="2783"/>
        <v/>
      </c>
      <c r="I2589" s="309" t="str">
        <f t="shared" si="2784"/>
        <v/>
      </c>
      <c r="J2589" s="309" t="str">
        <f t="shared" si="2785"/>
        <v/>
      </c>
      <c r="K2589" s="309" t="str">
        <f t="shared" si="2786"/>
        <v/>
      </c>
      <c r="L2589" s="308" t="str">
        <f t="shared" si="2787"/>
        <v/>
      </c>
      <c r="M2589" s="308" t="str">
        <f t="shared" si="2788"/>
        <v/>
      </c>
      <c r="N2589" s="309" t="str">
        <f t="shared" si="2789"/>
        <v/>
      </c>
    </row>
    <row r="2590" spans="1:14" ht="18.75" customHeight="1">
      <c r="A2590" s="296" t="s">
        <v>1497</v>
      </c>
      <c r="B2590" s="269"/>
      <c r="C2590" s="271"/>
      <c r="D2590" s="271"/>
      <c r="E2590" s="275"/>
      <c r="F2590" s="275"/>
      <c r="G2590" s="276"/>
      <c r="H2590" s="308" t="str">
        <f t="shared" si="2783"/>
        <v/>
      </c>
      <c r="I2590" s="309" t="str">
        <f t="shared" si="2784"/>
        <v/>
      </c>
      <c r="J2590" s="309" t="str">
        <f t="shared" si="2785"/>
        <v/>
      </c>
      <c r="K2590" s="309" t="str">
        <f t="shared" si="2786"/>
        <v/>
      </c>
      <c r="L2590" s="308" t="str">
        <f t="shared" si="2787"/>
        <v/>
      </c>
      <c r="M2590" s="308" t="str">
        <f t="shared" si="2788"/>
        <v/>
      </c>
      <c r="N2590" s="309" t="str">
        <f t="shared" si="2789"/>
        <v/>
      </c>
    </row>
    <row r="2591" spans="1:14" s="294" customFormat="1">
      <c r="A2591" s="290" t="s">
        <v>1493</v>
      </c>
      <c r="B2591" s="291"/>
      <c r="C2591" s="291" t="s">
        <v>1498</v>
      </c>
      <c r="D2591" s="292">
        <v>1</v>
      </c>
      <c r="E2591" s="292">
        <v>8</v>
      </c>
      <c r="F2591" s="293">
        <f>E2591*D2591</f>
        <v>8</v>
      </c>
      <c r="G2591" s="295">
        <f>3.5+(52*0.016)</f>
        <v>4.33</v>
      </c>
      <c r="H2591" s="310" t="str">
        <f t="shared" si="2783"/>
        <v/>
      </c>
      <c r="I2591" s="311" t="str">
        <f t="shared" si="2784"/>
        <v/>
      </c>
      <c r="J2591" s="311" t="str">
        <f t="shared" si="2785"/>
        <v/>
      </c>
      <c r="K2591" s="311" t="str">
        <f t="shared" si="2786"/>
        <v/>
      </c>
      <c r="L2591" s="310" t="str">
        <f t="shared" si="2787"/>
        <v/>
      </c>
      <c r="M2591" s="310">
        <f t="shared" si="2788"/>
        <v>34.64</v>
      </c>
      <c r="N2591" s="311" t="str">
        <f t="shared" si="2789"/>
        <v/>
      </c>
    </row>
    <row r="2592" spans="1:14" s="294" customFormat="1">
      <c r="A2592" s="290" t="s">
        <v>1494</v>
      </c>
      <c r="B2592" s="291"/>
      <c r="C2592" s="291" t="s">
        <v>1496</v>
      </c>
      <c r="D2592" s="292">
        <v>1</v>
      </c>
      <c r="E2592" s="293">
        <f>((1.68/0.06)+(1.82/0.12))</f>
        <v>43</v>
      </c>
      <c r="F2592" s="293">
        <f t="shared" ref="F2592" si="2820">E2592*D2592</f>
        <v>43</v>
      </c>
      <c r="G2592" s="295">
        <f>(3.14*0.3)+17*0.008*2</f>
        <v>1.21</v>
      </c>
      <c r="H2592" s="310" t="str">
        <f t="shared" si="2783"/>
        <v/>
      </c>
      <c r="I2592" s="311">
        <f t="shared" si="2784"/>
        <v>52.03</v>
      </c>
      <c r="J2592" s="311" t="str">
        <f t="shared" si="2785"/>
        <v/>
      </c>
      <c r="K2592" s="311" t="str">
        <f t="shared" si="2786"/>
        <v/>
      </c>
      <c r="L2592" s="310" t="str">
        <f t="shared" si="2787"/>
        <v/>
      </c>
      <c r="M2592" s="310" t="str">
        <f t="shared" si="2788"/>
        <v/>
      </c>
      <c r="N2592" s="311" t="str">
        <f t="shared" si="2789"/>
        <v/>
      </c>
    </row>
    <row r="2593" spans="1:14">
      <c r="A2593" s="270"/>
      <c r="B2593" s="274"/>
      <c r="C2593" s="271"/>
      <c r="D2593" s="271"/>
      <c r="E2593" s="272"/>
      <c r="F2593" s="272"/>
      <c r="G2593" s="271"/>
      <c r="H2593" s="308" t="str">
        <f t="shared" si="2783"/>
        <v/>
      </c>
      <c r="I2593" s="309" t="str">
        <f t="shared" si="2784"/>
        <v/>
      </c>
      <c r="J2593" s="309" t="str">
        <f t="shared" si="2785"/>
        <v/>
      </c>
      <c r="K2593" s="309" t="str">
        <f t="shared" si="2786"/>
        <v/>
      </c>
      <c r="L2593" s="308" t="str">
        <f t="shared" si="2787"/>
        <v/>
      </c>
      <c r="M2593" s="308" t="str">
        <f t="shared" si="2788"/>
        <v/>
      </c>
      <c r="N2593" s="309" t="str">
        <f t="shared" si="2789"/>
        <v/>
      </c>
    </row>
    <row r="2594" spans="1:14" ht="16.5">
      <c r="A2594" s="326" t="s">
        <v>1382</v>
      </c>
      <c r="B2594" s="274"/>
      <c r="C2594" s="271"/>
      <c r="D2594" s="271"/>
      <c r="E2594" s="272"/>
      <c r="F2594" s="272"/>
      <c r="G2594" s="271"/>
      <c r="H2594" s="308" t="str">
        <f t="shared" si="2783"/>
        <v/>
      </c>
      <c r="I2594" s="309" t="str">
        <f t="shared" si="2784"/>
        <v/>
      </c>
      <c r="J2594" s="309" t="str">
        <f t="shared" si="2785"/>
        <v/>
      </c>
      <c r="K2594" s="309" t="str">
        <f t="shared" si="2786"/>
        <v/>
      </c>
      <c r="L2594" s="308" t="str">
        <f t="shared" si="2787"/>
        <v/>
      </c>
      <c r="M2594" s="308" t="str">
        <f t="shared" si="2788"/>
        <v/>
      </c>
      <c r="N2594" s="309" t="str">
        <f t="shared" si="2789"/>
        <v/>
      </c>
    </row>
    <row r="2595" spans="1:14">
      <c r="A2595" s="296" t="s">
        <v>1510</v>
      </c>
      <c r="B2595" s="269"/>
      <c r="C2595" s="271"/>
      <c r="D2595" s="271"/>
      <c r="E2595" s="275"/>
      <c r="F2595" s="275"/>
      <c r="G2595" s="276"/>
      <c r="H2595" s="308" t="str">
        <f t="shared" si="2783"/>
        <v/>
      </c>
      <c r="I2595" s="309" t="str">
        <f t="shared" si="2784"/>
        <v/>
      </c>
      <c r="J2595" s="309" t="str">
        <f t="shared" si="2785"/>
        <v/>
      </c>
      <c r="K2595" s="309" t="str">
        <f t="shared" si="2786"/>
        <v/>
      </c>
      <c r="L2595" s="308" t="str">
        <f t="shared" si="2787"/>
        <v/>
      </c>
      <c r="M2595" s="308" t="str">
        <f t="shared" si="2788"/>
        <v/>
      </c>
      <c r="N2595" s="309" t="str">
        <f t="shared" si="2789"/>
        <v/>
      </c>
    </row>
    <row r="2596" spans="1:14">
      <c r="A2596" s="290" t="s">
        <v>1493</v>
      </c>
      <c r="B2596" s="291"/>
      <c r="C2596" s="291" t="s">
        <v>1498</v>
      </c>
      <c r="D2596" s="292">
        <v>1</v>
      </c>
      <c r="E2596" s="292">
        <v>8</v>
      </c>
      <c r="F2596" s="293">
        <f>E2596*D2596</f>
        <v>8</v>
      </c>
      <c r="G2596" s="295">
        <f>3.5+(52*0.016)</f>
        <v>4.33</v>
      </c>
      <c r="H2596" s="310" t="str">
        <f t="shared" si="2783"/>
        <v/>
      </c>
      <c r="I2596" s="311" t="str">
        <f t="shared" si="2784"/>
        <v/>
      </c>
      <c r="J2596" s="311" t="str">
        <f t="shared" si="2785"/>
        <v/>
      </c>
      <c r="K2596" s="311" t="str">
        <f t="shared" si="2786"/>
        <v/>
      </c>
      <c r="L2596" s="310" t="str">
        <f t="shared" si="2787"/>
        <v/>
      </c>
      <c r="M2596" s="310">
        <f t="shared" si="2788"/>
        <v>34.64</v>
      </c>
      <c r="N2596" s="311" t="str">
        <f t="shared" si="2789"/>
        <v/>
      </c>
    </row>
    <row r="2597" spans="1:14">
      <c r="A2597" s="290" t="s">
        <v>1494</v>
      </c>
      <c r="B2597" s="291"/>
      <c r="C2597" s="291" t="s">
        <v>1496</v>
      </c>
      <c r="D2597" s="292">
        <v>1</v>
      </c>
      <c r="E2597" s="293">
        <f>((1.68/0.06)+(1.82/0.12))*2</f>
        <v>86</v>
      </c>
      <c r="F2597" s="293">
        <f t="shared" ref="F2597" si="2821">E2597*D2597</f>
        <v>86</v>
      </c>
      <c r="G2597" s="295">
        <f>(0.25+0.25)*2+17*0.008*2</f>
        <v>1.27</v>
      </c>
      <c r="H2597" s="310" t="str">
        <f t="shared" si="2783"/>
        <v/>
      </c>
      <c r="I2597" s="311">
        <f t="shared" si="2784"/>
        <v>109.22</v>
      </c>
      <c r="J2597" s="311" t="str">
        <f t="shared" si="2785"/>
        <v/>
      </c>
      <c r="K2597" s="311" t="str">
        <f t="shared" si="2786"/>
        <v/>
      </c>
      <c r="L2597" s="310" t="str">
        <f t="shared" si="2787"/>
        <v/>
      </c>
      <c r="M2597" s="310" t="str">
        <f t="shared" si="2788"/>
        <v/>
      </c>
      <c r="N2597" s="311" t="str">
        <f t="shared" si="2789"/>
        <v/>
      </c>
    </row>
    <row r="2598" spans="1:14">
      <c r="A2598" s="270"/>
      <c r="B2598" s="269"/>
      <c r="C2598" s="271"/>
      <c r="D2598" s="271"/>
      <c r="E2598" s="272"/>
      <c r="F2598" s="272"/>
      <c r="G2598" s="278"/>
      <c r="H2598" s="308"/>
      <c r="I2598" s="309"/>
      <c r="J2598" s="309"/>
      <c r="K2598" s="309"/>
      <c r="L2598" s="308"/>
      <c r="M2598" s="308"/>
      <c r="N2598" s="309"/>
    </row>
    <row r="2599" spans="1:14" ht="18.75" customHeight="1">
      <c r="A2599" s="296" t="s">
        <v>1507</v>
      </c>
      <c r="B2599" s="269"/>
      <c r="C2599" s="271"/>
      <c r="D2599" s="271"/>
      <c r="E2599" s="275"/>
      <c r="F2599" s="275"/>
      <c r="G2599" s="276"/>
      <c r="H2599" s="308" t="str">
        <f t="shared" ref="H2599:H2601" si="2822">IF(C2599="T6",G2599*F2599,"")</f>
        <v/>
      </c>
      <c r="I2599" s="309" t="str">
        <f t="shared" ref="I2599:I2601" si="2823">IF(C2599="T8",F2599*G2599,"")</f>
        <v/>
      </c>
      <c r="J2599" s="309" t="str">
        <f t="shared" ref="J2599:J2601" si="2824">IF(C2599="T10",F2599*G2599,"")</f>
        <v/>
      </c>
      <c r="K2599" s="309" t="str">
        <f t="shared" ref="K2599:K2601" si="2825">IF(C2599="T12",F2599*G2599,"")</f>
        <v/>
      </c>
      <c r="L2599" s="308" t="str">
        <f t="shared" ref="L2599:L2601" si="2826">IF(C2599="T14",F2599*G2599,"")</f>
        <v/>
      </c>
      <c r="M2599" s="308" t="str">
        <f t="shared" ref="M2599:M2601" si="2827">IF(C2599="T16",G2599*F2599,"")</f>
        <v/>
      </c>
      <c r="N2599" s="309" t="str">
        <f t="shared" ref="N2599:N2601" si="2828">IF(C2599="T20",G2599*F2599,"")</f>
        <v/>
      </c>
    </row>
    <row r="2600" spans="1:14" s="294" customFormat="1">
      <c r="A2600" s="290" t="s">
        <v>1493</v>
      </c>
      <c r="B2600" s="291"/>
      <c r="C2600" s="291" t="s">
        <v>1498</v>
      </c>
      <c r="D2600" s="292">
        <v>2</v>
      </c>
      <c r="E2600" s="292">
        <v>8</v>
      </c>
      <c r="F2600" s="293">
        <f>E2600*D2600</f>
        <v>16</v>
      </c>
      <c r="G2600" s="295">
        <f>3.5+(52*0.016)</f>
        <v>4.33</v>
      </c>
      <c r="H2600" s="310" t="str">
        <f t="shared" si="2822"/>
        <v/>
      </c>
      <c r="I2600" s="311" t="str">
        <f t="shared" si="2823"/>
        <v/>
      </c>
      <c r="J2600" s="311" t="str">
        <f t="shared" si="2824"/>
        <v/>
      </c>
      <c r="K2600" s="311" t="str">
        <f t="shared" si="2825"/>
        <v/>
      </c>
      <c r="L2600" s="310" t="str">
        <f t="shared" si="2826"/>
        <v/>
      </c>
      <c r="M2600" s="310">
        <f t="shared" si="2827"/>
        <v>69.28</v>
      </c>
      <c r="N2600" s="311" t="str">
        <f t="shared" si="2828"/>
        <v/>
      </c>
    </row>
    <row r="2601" spans="1:14" s="294" customFormat="1">
      <c r="A2601" s="290" t="s">
        <v>1494</v>
      </c>
      <c r="B2601" s="291"/>
      <c r="C2601" s="291" t="s">
        <v>1496</v>
      </c>
      <c r="D2601" s="292">
        <v>2</v>
      </c>
      <c r="E2601" s="293">
        <f>((1.68/0.06)+(1.82/0.12))</f>
        <v>43</v>
      </c>
      <c r="F2601" s="293">
        <f t="shared" ref="F2601" si="2829">E2601*D2601</f>
        <v>86</v>
      </c>
      <c r="G2601" s="295">
        <f>(3.14*0.3)+17*0.008*2</f>
        <v>1.21</v>
      </c>
      <c r="H2601" s="310" t="str">
        <f t="shared" si="2822"/>
        <v/>
      </c>
      <c r="I2601" s="311">
        <f t="shared" si="2823"/>
        <v>104.06</v>
      </c>
      <c r="J2601" s="311" t="str">
        <f t="shared" si="2824"/>
        <v/>
      </c>
      <c r="K2601" s="311" t="str">
        <f t="shared" si="2825"/>
        <v/>
      </c>
      <c r="L2601" s="310" t="str">
        <f t="shared" si="2826"/>
        <v/>
      </c>
      <c r="M2601" s="310" t="str">
        <f t="shared" si="2827"/>
        <v/>
      </c>
      <c r="N2601" s="311" t="str">
        <f t="shared" si="2828"/>
        <v/>
      </c>
    </row>
    <row r="2602" spans="1:14" ht="17.25" customHeight="1">
      <c r="A2602" s="261"/>
      <c r="B2602" s="274"/>
      <c r="C2602" s="271"/>
      <c r="D2602" s="271"/>
      <c r="E2602" s="272"/>
      <c r="F2602" s="272"/>
      <c r="G2602" s="271"/>
      <c r="H2602" s="308" t="str">
        <f t="shared" si="2783"/>
        <v/>
      </c>
      <c r="I2602" s="309" t="str">
        <f t="shared" si="2784"/>
        <v/>
      </c>
      <c r="J2602" s="309" t="str">
        <f t="shared" si="2785"/>
        <v/>
      </c>
      <c r="K2602" s="309" t="str">
        <f t="shared" si="2786"/>
        <v/>
      </c>
      <c r="L2602" s="308" t="str">
        <f t="shared" si="2787"/>
        <v/>
      </c>
      <c r="M2602" s="308" t="str">
        <f t="shared" si="2788"/>
        <v/>
      </c>
      <c r="N2602" s="309" t="str">
        <f t="shared" si="2789"/>
        <v/>
      </c>
    </row>
    <row r="2603" spans="1:14">
      <c r="A2603" s="296" t="s">
        <v>1506</v>
      </c>
      <c r="B2603" s="269"/>
      <c r="C2603" s="271"/>
      <c r="D2603" s="271"/>
      <c r="E2603" s="275"/>
      <c r="F2603" s="275"/>
      <c r="G2603" s="276"/>
      <c r="H2603" s="308" t="str">
        <f t="shared" ref="H2603:H2606" si="2830">IF(C2603="T6",G2603*F2603,"")</f>
        <v/>
      </c>
      <c r="I2603" s="309" t="str">
        <f t="shared" ref="I2603:I2606" si="2831">IF(C2603="T8",F2603*G2603,"")</f>
        <v/>
      </c>
      <c r="J2603" s="309" t="str">
        <f t="shared" ref="J2603:J2606" si="2832">IF(C2603="T10",F2603*G2603,"")</f>
        <v/>
      </c>
      <c r="K2603" s="309" t="str">
        <f t="shared" ref="K2603:K2606" si="2833">IF(C2603="T12",F2603*G2603,"")</f>
        <v/>
      </c>
      <c r="L2603" s="308" t="str">
        <f t="shared" ref="L2603:L2606" si="2834">IF(C2603="T14",F2603*G2603,"")</f>
        <v/>
      </c>
      <c r="M2603" s="308" t="str">
        <f t="shared" ref="M2603:M2606" si="2835">IF(C2603="T16",G2603*F2603,"")</f>
        <v/>
      </c>
      <c r="N2603" s="309" t="str">
        <f t="shared" ref="N2603:N2606" si="2836">IF(C2603="T20",G2603*F2603,"")</f>
        <v/>
      </c>
    </row>
    <row r="2604" spans="1:14">
      <c r="A2604" s="290" t="s">
        <v>1493</v>
      </c>
      <c r="B2604" s="291"/>
      <c r="C2604" s="291" t="s">
        <v>1492</v>
      </c>
      <c r="D2604" s="292">
        <v>7</v>
      </c>
      <c r="E2604" s="292">
        <v>8</v>
      </c>
      <c r="F2604" s="293">
        <f>E2604*D2604</f>
        <v>56</v>
      </c>
      <c r="G2604" s="295">
        <f>3.5+(52*0.014)</f>
        <v>4.2300000000000004</v>
      </c>
      <c r="H2604" s="310" t="str">
        <f t="shared" si="2830"/>
        <v/>
      </c>
      <c r="I2604" s="311" t="str">
        <f t="shared" si="2831"/>
        <v/>
      </c>
      <c r="J2604" s="311" t="str">
        <f t="shared" si="2832"/>
        <v/>
      </c>
      <c r="K2604" s="311" t="str">
        <f t="shared" si="2833"/>
        <v/>
      </c>
      <c r="L2604" s="310">
        <f t="shared" si="2834"/>
        <v>236.88</v>
      </c>
      <c r="M2604" s="310" t="str">
        <f t="shared" si="2835"/>
        <v/>
      </c>
      <c r="N2604" s="311" t="str">
        <f t="shared" si="2836"/>
        <v/>
      </c>
    </row>
    <row r="2605" spans="1:14">
      <c r="A2605" s="290" t="s">
        <v>1494</v>
      </c>
      <c r="B2605" s="291"/>
      <c r="C2605" s="291" t="s">
        <v>1496</v>
      </c>
      <c r="D2605" s="292">
        <v>7</v>
      </c>
      <c r="E2605" s="293">
        <f>((1.68/0.06)+(1.82/0.12))</f>
        <v>43</v>
      </c>
      <c r="F2605" s="293">
        <f t="shared" ref="F2605:F2606" si="2837">E2605*D2605</f>
        <v>301</v>
      </c>
      <c r="G2605" s="295">
        <f>(0.2+0.3)*2+17*0.008*2</f>
        <v>1.27</v>
      </c>
      <c r="H2605" s="310" t="str">
        <f t="shared" si="2830"/>
        <v/>
      </c>
      <c r="I2605" s="311">
        <f t="shared" si="2831"/>
        <v>382.27</v>
      </c>
      <c r="J2605" s="311" t="str">
        <f t="shared" si="2832"/>
        <v/>
      </c>
      <c r="K2605" s="311" t="str">
        <f t="shared" si="2833"/>
        <v/>
      </c>
      <c r="L2605" s="310" t="str">
        <f t="shared" si="2834"/>
        <v/>
      </c>
      <c r="M2605" s="310" t="str">
        <f t="shared" si="2835"/>
        <v/>
      </c>
      <c r="N2605" s="311" t="str">
        <f t="shared" si="2836"/>
        <v/>
      </c>
    </row>
    <row r="2606" spans="1:14">
      <c r="A2606" s="290" t="s">
        <v>1495</v>
      </c>
      <c r="B2606" s="291"/>
      <c r="C2606" s="291" t="s">
        <v>1496</v>
      </c>
      <c r="D2606" s="292">
        <v>7</v>
      </c>
      <c r="E2606" s="293">
        <f>((1.68/0.06)+(1.82/0.12))*2</f>
        <v>86</v>
      </c>
      <c r="F2606" s="293">
        <f t="shared" si="2837"/>
        <v>602</v>
      </c>
      <c r="G2606" s="295">
        <f>(0.2*2)+17*0.008*2</f>
        <v>0.67</v>
      </c>
      <c r="H2606" s="310" t="str">
        <f t="shared" si="2830"/>
        <v/>
      </c>
      <c r="I2606" s="311">
        <f t="shared" si="2831"/>
        <v>403.34</v>
      </c>
      <c r="J2606" s="311" t="str">
        <f t="shared" si="2832"/>
        <v/>
      </c>
      <c r="K2606" s="311" t="str">
        <f t="shared" si="2833"/>
        <v/>
      </c>
      <c r="L2606" s="310" t="str">
        <f t="shared" si="2834"/>
        <v/>
      </c>
      <c r="M2606" s="310" t="str">
        <f t="shared" si="2835"/>
        <v/>
      </c>
      <c r="N2606" s="311" t="str">
        <f t="shared" si="2836"/>
        <v/>
      </c>
    </row>
    <row r="2607" spans="1:14">
      <c r="A2607" s="279"/>
      <c r="B2607" s="288"/>
      <c r="C2607" s="280"/>
      <c r="D2607" s="280"/>
      <c r="E2607" s="287"/>
      <c r="F2607" s="287"/>
      <c r="G2607" s="280"/>
      <c r="H2607" s="308" t="str">
        <f t="shared" si="2783"/>
        <v/>
      </c>
      <c r="I2607" s="309" t="str">
        <f t="shared" si="2784"/>
        <v/>
      </c>
      <c r="J2607" s="309" t="str">
        <f t="shared" si="2785"/>
        <v/>
      </c>
      <c r="K2607" s="309" t="str">
        <f t="shared" si="2786"/>
        <v/>
      </c>
      <c r="L2607" s="308" t="str">
        <f t="shared" si="2787"/>
        <v/>
      </c>
      <c r="M2607" s="308" t="str">
        <f t="shared" si="2788"/>
        <v/>
      </c>
      <c r="N2607" s="309" t="str">
        <f t="shared" si="2789"/>
        <v/>
      </c>
    </row>
    <row r="2608" spans="1:14" ht="18.75" customHeight="1">
      <c r="A2608" s="296" t="s">
        <v>1511</v>
      </c>
      <c r="B2608" s="269"/>
      <c r="C2608" s="271"/>
      <c r="D2608" s="271"/>
      <c r="E2608" s="275"/>
      <c r="F2608" s="275"/>
      <c r="G2608" s="276"/>
      <c r="H2608" s="308" t="str">
        <f t="shared" si="2783"/>
        <v/>
      </c>
      <c r="I2608" s="309" t="str">
        <f t="shared" si="2784"/>
        <v/>
      </c>
      <c r="J2608" s="309" t="str">
        <f t="shared" si="2785"/>
        <v/>
      </c>
      <c r="K2608" s="309" t="str">
        <f t="shared" si="2786"/>
        <v/>
      </c>
      <c r="L2608" s="308" t="str">
        <f t="shared" si="2787"/>
        <v/>
      </c>
      <c r="M2608" s="308" t="str">
        <f t="shared" si="2788"/>
        <v/>
      </c>
      <c r="N2608" s="309" t="str">
        <f t="shared" si="2789"/>
        <v/>
      </c>
    </row>
    <row r="2609" spans="1:14" s="294" customFormat="1">
      <c r="A2609" s="290" t="s">
        <v>1493</v>
      </c>
      <c r="B2609" s="291"/>
      <c r="C2609" s="291" t="s">
        <v>1498</v>
      </c>
      <c r="D2609" s="292">
        <v>3</v>
      </c>
      <c r="E2609" s="292">
        <v>8</v>
      </c>
      <c r="F2609" s="293">
        <f>E2609*D2609</f>
        <v>24</v>
      </c>
      <c r="G2609" s="295">
        <f>3.5+(52*0.016)</f>
        <v>4.33</v>
      </c>
      <c r="H2609" s="310" t="str">
        <f t="shared" si="2783"/>
        <v/>
      </c>
      <c r="I2609" s="311" t="str">
        <f t="shared" si="2784"/>
        <v/>
      </c>
      <c r="J2609" s="311" t="str">
        <f t="shared" si="2785"/>
        <v/>
      </c>
      <c r="K2609" s="311" t="str">
        <f t="shared" si="2786"/>
        <v/>
      </c>
      <c r="L2609" s="310" t="str">
        <f t="shared" si="2787"/>
        <v/>
      </c>
      <c r="M2609" s="310">
        <f t="shared" si="2788"/>
        <v>103.92</v>
      </c>
      <c r="N2609" s="311" t="str">
        <f t="shared" si="2789"/>
        <v/>
      </c>
    </row>
    <row r="2610" spans="1:14" s="294" customFormat="1">
      <c r="A2610" s="290" t="s">
        <v>1494</v>
      </c>
      <c r="B2610" s="291"/>
      <c r="C2610" s="291" t="s">
        <v>1496</v>
      </c>
      <c r="D2610" s="292">
        <v>3</v>
      </c>
      <c r="E2610" s="293">
        <f>((1.68/0.06)+(1.82/0.12))</f>
        <v>43</v>
      </c>
      <c r="F2610" s="293">
        <f t="shared" ref="F2610" si="2838">E2610*D2610</f>
        <v>129</v>
      </c>
      <c r="G2610" s="295">
        <f>(3.14*0.3)+17*0.008*2</f>
        <v>1.21</v>
      </c>
      <c r="H2610" s="310" t="str">
        <f t="shared" si="2783"/>
        <v/>
      </c>
      <c r="I2610" s="311">
        <f t="shared" si="2784"/>
        <v>156.09</v>
      </c>
      <c r="J2610" s="311" t="str">
        <f t="shared" si="2785"/>
        <v/>
      </c>
      <c r="K2610" s="311" t="str">
        <f t="shared" si="2786"/>
        <v/>
      </c>
      <c r="L2610" s="310" t="str">
        <f t="shared" si="2787"/>
        <v/>
      </c>
      <c r="M2610" s="310" t="str">
        <f t="shared" si="2788"/>
        <v/>
      </c>
      <c r="N2610" s="311" t="str">
        <f t="shared" si="2789"/>
        <v/>
      </c>
    </row>
    <row r="2611" spans="1:14">
      <c r="A2611" s="251"/>
      <c r="B2611" s="274"/>
      <c r="C2611" s="271"/>
      <c r="D2611" s="271"/>
      <c r="E2611" s="272"/>
      <c r="F2611" s="272"/>
      <c r="G2611" s="271"/>
      <c r="H2611" s="308" t="str">
        <f t="shared" si="2783"/>
        <v/>
      </c>
      <c r="I2611" s="309" t="str">
        <f t="shared" si="2784"/>
        <v/>
      </c>
      <c r="J2611" s="309" t="str">
        <f t="shared" si="2785"/>
        <v/>
      </c>
      <c r="K2611" s="309" t="str">
        <f t="shared" si="2786"/>
        <v/>
      </c>
      <c r="L2611" s="308" t="str">
        <f t="shared" si="2787"/>
        <v/>
      </c>
      <c r="M2611" s="308" t="str">
        <f t="shared" si="2788"/>
        <v/>
      </c>
      <c r="N2611" s="309" t="str">
        <f t="shared" si="2789"/>
        <v/>
      </c>
    </row>
    <row r="2612" spans="1:14">
      <c r="A2612" s="296" t="s">
        <v>1505</v>
      </c>
      <c r="B2612" s="269"/>
      <c r="C2612" s="271"/>
      <c r="D2612" s="271"/>
      <c r="E2612" s="275"/>
      <c r="F2612" s="275"/>
      <c r="G2612" s="276"/>
      <c r="H2612" s="308" t="str">
        <f t="shared" ref="H2612:H2615" si="2839">IF(C2612="T6",G2612*F2612,"")</f>
        <v/>
      </c>
      <c r="I2612" s="309" t="str">
        <f t="shared" ref="I2612:I2615" si="2840">IF(C2612="T8",F2612*G2612,"")</f>
        <v/>
      </c>
      <c r="J2612" s="309" t="str">
        <f t="shared" ref="J2612:J2615" si="2841">IF(C2612="T10",F2612*G2612,"")</f>
        <v/>
      </c>
      <c r="K2612" s="309" t="str">
        <f t="shared" ref="K2612:K2615" si="2842">IF(C2612="T12",F2612*G2612,"")</f>
        <v/>
      </c>
      <c r="L2612" s="308" t="str">
        <f t="shared" ref="L2612:L2615" si="2843">IF(C2612="T14",F2612*G2612,"")</f>
        <v/>
      </c>
      <c r="M2612" s="308" t="str">
        <f t="shared" ref="M2612:M2615" si="2844">IF(C2612="T16",G2612*F2612,"")</f>
        <v/>
      </c>
      <c r="N2612" s="309" t="str">
        <f t="shared" ref="N2612:N2615" si="2845">IF(C2612="T20",G2612*F2612,"")</f>
        <v/>
      </c>
    </row>
    <row r="2613" spans="1:14">
      <c r="A2613" s="290" t="s">
        <v>1493</v>
      </c>
      <c r="B2613" s="291"/>
      <c r="C2613" s="291" t="s">
        <v>1492</v>
      </c>
      <c r="D2613" s="292">
        <v>3</v>
      </c>
      <c r="E2613" s="292">
        <v>8</v>
      </c>
      <c r="F2613" s="293">
        <f>E2613*D2613</f>
        <v>24</v>
      </c>
      <c r="G2613" s="295">
        <f>3.5+(52*0.014)</f>
        <v>4.2300000000000004</v>
      </c>
      <c r="H2613" s="310" t="str">
        <f t="shared" si="2839"/>
        <v/>
      </c>
      <c r="I2613" s="311" t="str">
        <f t="shared" si="2840"/>
        <v/>
      </c>
      <c r="J2613" s="311" t="str">
        <f t="shared" si="2841"/>
        <v/>
      </c>
      <c r="K2613" s="311" t="str">
        <f t="shared" si="2842"/>
        <v/>
      </c>
      <c r="L2613" s="310">
        <f t="shared" si="2843"/>
        <v>101.52</v>
      </c>
      <c r="M2613" s="310" t="str">
        <f t="shared" si="2844"/>
        <v/>
      </c>
      <c r="N2613" s="311" t="str">
        <f t="shared" si="2845"/>
        <v/>
      </c>
    </row>
    <row r="2614" spans="1:14">
      <c r="A2614" s="290" t="s">
        <v>1494</v>
      </c>
      <c r="B2614" s="291"/>
      <c r="C2614" s="291" t="s">
        <v>1496</v>
      </c>
      <c r="D2614" s="292">
        <v>3</v>
      </c>
      <c r="E2614" s="293">
        <f>((1.68/0.06)+(1.82/0.12))</f>
        <v>43</v>
      </c>
      <c r="F2614" s="293">
        <f t="shared" ref="F2614:F2615" si="2846">E2614*D2614</f>
        <v>129</v>
      </c>
      <c r="G2614" s="295">
        <f>(0.2+0.3)*2+17*0.008*2</f>
        <v>1.27</v>
      </c>
      <c r="H2614" s="310" t="str">
        <f t="shared" si="2839"/>
        <v/>
      </c>
      <c r="I2614" s="311">
        <f t="shared" si="2840"/>
        <v>163.83000000000001</v>
      </c>
      <c r="J2614" s="311" t="str">
        <f t="shared" si="2841"/>
        <v/>
      </c>
      <c r="K2614" s="311" t="str">
        <f t="shared" si="2842"/>
        <v/>
      </c>
      <c r="L2614" s="310" t="str">
        <f t="shared" si="2843"/>
        <v/>
      </c>
      <c r="M2614" s="310" t="str">
        <f t="shared" si="2844"/>
        <v/>
      </c>
      <c r="N2614" s="311" t="str">
        <f t="shared" si="2845"/>
        <v/>
      </c>
    </row>
    <row r="2615" spans="1:14">
      <c r="A2615" s="290" t="s">
        <v>1495</v>
      </c>
      <c r="B2615" s="291"/>
      <c r="C2615" s="291" t="s">
        <v>1496</v>
      </c>
      <c r="D2615" s="292">
        <v>3</v>
      </c>
      <c r="E2615" s="293">
        <f>((1.68/0.06)+(1.82/0.12))*2</f>
        <v>86</v>
      </c>
      <c r="F2615" s="293">
        <f t="shared" si="2846"/>
        <v>258</v>
      </c>
      <c r="G2615" s="295">
        <f>(0.2*2)+17*0.008*2</f>
        <v>0.67</v>
      </c>
      <c r="H2615" s="310" t="str">
        <f t="shared" si="2839"/>
        <v/>
      </c>
      <c r="I2615" s="311">
        <f t="shared" si="2840"/>
        <v>172.86</v>
      </c>
      <c r="J2615" s="311" t="str">
        <f t="shared" si="2841"/>
        <v/>
      </c>
      <c r="K2615" s="311" t="str">
        <f t="shared" si="2842"/>
        <v/>
      </c>
      <c r="L2615" s="310" t="str">
        <f t="shared" si="2843"/>
        <v/>
      </c>
      <c r="M2615" s="310" t="str">
        <f t="shared" si="2844"/>
        <v/>
      </c>
      <c r="N2615" s="311" t="str">
        <f t="shared" si="2845"/>
        <v/>
      </c>
    </row>
    <row r="2616" spans="1:14" ht="17.25">
      <c r="A2616" s="261"/>
      <c r="B2616" s="269"/>
      <c r="C2616" s="271"/>
      <c r="D2616" s="271"/>
      <c r="E2616" s="272"/>
      <c r="F2616" s="272"/>
      <c r="G2616" s="271"/>
      <c r="H2616" s="308" t="str">
        <f t="shared" si="2783"/>
        <v/>
      </c>
      <c r="I2616" s="309" t="str">
        <f t="shared" si="2784"/>
        <v/>
      </c>
      <c r="J2616" s="309" t="str">
        <f t="shared" si="2785"/>
        <v/>
      </c>
      <c r="K2616" s="309" t="str">
        <f t="shared" si="2786"/>
        <v/>
      </c>
      <c r="L2616" s="308" t="str">
        <f t="shared" si="2787"/>
        <v/>
      </c>
      <c r="M2616" s="308" t="str">
        <f t="shared" si="2788"/>
        <v/>
      </c>
      <c r="N2616" s="309" t="str">
        <f t="shared" si="2789"/>
        <v/>
      </c>
    </row>
    <row r="2617" spans="1:14">
      <c r="A2617" s="296" t="s">
        <v>1504</v>
      </c>
      <c r="B2617" s="269"/>
      <c r="C2617" s="271"/>
      <c r="D2617" s="271"/>
      <c r="E2617" s="275"/>
      <c r="F2617" s="275"/>
      <c r="G2617" s="276"/>
      <c r="H2617" s="308" t="str">
        <f t="shared" ref="H2617:H2620" si="2847">IF(C2617="T6",G2617*F2617,"")</f>
        <v/>
      </c>
      <c r="I2617" s="309" t="str">
        <f t="shared" ref="I2617:I2620" si="2848">IF(C2617="T8",F2617*G2617,"")</f>
        <v/>
      </c>
      <c r="J2617" s="309" t="str">
        <f t="shared" ref="J2617:J2620" si="2849">IF(C2617="T10",F2617*G2617,"")</f>
        <v/>
      </c>
      <c r="K2617" s="309" t="str">
        <f t="shared" ref="K2617:K2620" si="2850">IF(C2617="T12",F2617*G2617,"")</f>
        <v/>
      </c>
      <c r="L2617" s="308" t="str">
        <f t="shared" ref="L2617:L2620" si="2851">IF(C2617="T14",F2617*G2617,"")</f>
        <v/>
      </c>
      <c r="M2617" s="308" t="str">
        <f t="shared" ref="M2617:M2620" si="2852">IF(C2617="T16",G2617*F2617,"")</f>
        <v/>
      </c>
      <c r="N2617" s="309" t="str">
        <f t="shared" ref="N2617:N2620" si="2853">IF(C2617="T20",G2617*F2617,"")</f>
        <v/>
      </c>
    </row>
    <row r="2618" spans="1:14">
      <c r="A2618" s="290" t="s">
        <v>1493</v>
      </c>
      <c r="B2618" s="291"/>
      <c r="C2618" s="291" t="s">
        <v>1492</v>
      </c>
      <c r="D2618" s="292">
        <v>8</v>
      </c>
      <c r="E2618" s="292">
        <v>10</v>
      </c>
      <c r="F2618" s="293">
        <f>E2618*D2618</f>
        <v>80</v>
      </c>
      <c r="G2618" s="295">
        <f>3.5+(52*0.014)</f>
        <v>4.2300000000000004</v>
      </c>
      <c r="H2618" s="310" t="str">
        <f t="shared" si="2847"/>
        <v/>
      </c>
      <c r="I2618" s="311" t="str">
        <f t="shared" si="2848"/>
        <v/>
      </c>
      <c r="J2618" s="311" t="str">
        <f t="shared" si="2849"/>
        <v/>
      </c>
      <c r="K2618" s="311" t="str">
        <f t="shared" si="2850"/>
        <v/>
      </c>
      <c r="L2618" s="310">
        <f t="shared" si="2851"/>
        <v>338.4</v>
      </c>
      <c r="M2618" s="310" t="str">
        <f t="shared" si="2852"/>
        <v/>
      </c>
      <c r="N2618" s="311" t="str">
        <f t="shared" si="2853"/>
        <v/>
      </c>
    </row>
    <row r="2619" spans="1:14">
      <c r="A2619" s="290" t="s">
        <v>1494</v>
      </c>
      <c r="B2619" s="291"/>
      <c r="C2619" s="291" t="s">
        <v>1496</v>
      </c>
      <c r="D2619" s="292">
        <v>8</v>
      </c>
      <c r="E2619" s="293">
        <f>((1.68/0.06)+(1.82/0.12))</f>
        <v>43</v>
      </c>
      <c r="F2619" s="293">
        <f t="shared" ref="F2619:F2620" si="2854">E2619*D2619</f>
        <v>344</v>
      </c>
      <c r="G2619" s="295">
        <f>(0.2+0.4)*2+17*0.008*2</f>
        <v>1.47</v>
      </c>
      <c r="H2619" s="310" t="str">
        <f t="shared" si="2847"/>
        <v/>
      </c>
      <c r="I2619" s="311">
        <f t="shared" si="2848"/>
        <v>505.68</v>
      </c>
      <c r="J2619" s="311" t="str">
        <f t="shared" si="2849"/>
        <v/>
      </c>
      <c r="K2619" s="311" t="str">
        <f t="shared" si="2850"/>
        <v/>
      </c>
      <c r="L2619" s="310" t="str">
        <f t="shared" si="2851"/>
        <v/>
      </c>
      <c r="M2619" s="310" t="str">
        <f t="shared" si="2852"/>
        <v/>
      </c>
      <c r="N2619" s="311" t="str">
        <f t="shared" si="2853"/>
        <v/>
      </c>
    </row>
    <row r="2620" spans="1:14">
      <c r="A2620" s="290" t="s">
        <v>1495</v>
      </c>
      <c r="B2620" s="291"/>
      <c r="C2620" s="291" t="s">
        <v>1496</v>
      </c>
      <c r="D2620" s="292">
        <v>8</v>
      </c>
      <c r="E2620" s="293">
        <f>((1.68/0.06)+(1.82/0.12))*3</f>
        <v>130</v>
      </c>
      <c r="F2620" s="293">
        <f t="shared" si="2854"/>
        <v>1040</v>
      </c>
      <c r="G2620" s="295">
        <f>(0.2*2)+17*0.008*2</f>
        <v>0.67</v>
      </c>
      <c r="H2620" s="310" t="str">
        <f t="shared" si="2847"/>
        <v/>
      </c>
      <c r="I2620" s="311">
        <f t="shared" si="2848"/>
        <v>696.8</v>
      </c>
      <c r="J2620" s="311" t="str">
        <f t="shared" si="2849"/>
        <v/>
      </c>
      <c r="K2620" s="311" t="str">
        <f t="shared" si="2850"/>
        <v/>
      </c>
      <c r="L2620" s="310" t="str">
        <f t="shared" si="2851"/>
        <v/>
      </c>
      <c r="M2620" s="310" t="str">
        <f t="shared" si="2852"/>
        <v/>
      </c>
      <c r="N2620" s="311" t="str">
        <f t="shared" si="2853"/>
        <v/>
      </c>
    </row>
    <row r="2621" spans="1:14" ht="17.25">
      <c r="A2621" s="261"/>
      <c r="B2621" s="274"/>
      <c r="C2621" s="271"/>
      <c r="D2621" s="271"/>
      <c r="E2621" s="272"/>
      <c r="F2621" s="272"/>
      <c r="G2621" s="271"/>
      <c r="H2621" s="308" t="str">
        <f t="shared" ref="H2621:H2670" si="2855">IF(C2621="T6",G2621*F2621,"")</f>
        <v/>
      </c>
      <c r="I2621" s="309" t="str">
        <f t="shared" ref="I2621:I2670" si="2856">IF(C2621="T8",F2621*G2621,"")</f>
        <v/>
      </c>
      <c r="J2621" s="309" t="str">
        <f t="shared" ref="J2621:J2670" si="2857">IF(C2621="T10",F2621*G2621,"")</f>
        <v/>
      </c>
      <c r="K2621" s="309" t="str">
        <f t="shared" ref="K2621:K2670" si="2858">IF(C2621="T12",F2621*G2621,"")</f>
        <v/>
      </c>
      <c r="L2621" s="308" t="str">
        <f t="shared" ref="L2621:L2670" si="2859">IF(C2621="T14",F2621*G2621,"")</f>
        <v/>
      </c>
      <c r="M2621" s="308" t="str">
        <f t="shared" ref="M2621:M2670" si="2860">IF(C2621="T16",G2621*F2621,"")</f>
        <v/>
      </c>
      <c r="N2621" s="309" t="str">
        <f t="shared" ref="N2621:N2670" si="2861">IF(C2621="T20",G2621*F2621,"")</f>
        <v/>
      </c>
    </row>
    <row r="2622" spans="1:14" ht="18.75" customHeight="1">
      <c r="A2622" s="296" t="s">
        <v>1501</v>
      </c>
      <c r="B2622" s="269"/>
      <c r="C2622" s="271"/>
      <c r="D2622" s="271"/>
      <c r="E2622" s="275"/>
      <c r="F2622" s="275"/>
      <c r="G2622" s="276"/>
      <c r="H2622" s="308" t="str">
        <f t="shared" si="2855"/>
        <v/>
      </c>
      <c r="I2622" s="309" t="str">
        <f t="shared" si="2856"/>
        <v/>
      </c>
      <c r="J2622" s="309" t="str">
        <f t="shared" si="2857"/>
        <v/>
      </c>
      <c r="K2622" s="309" t="str">
        <f t="shared" si="2858"/>
        <v/>
      </c>
      <c r="L2622" s="308" t="str">
        <f t="shared" si="2859"/>
        <v/>
      </c>
      <c r="M2622" s="308" t="str">
        <f t="shared" si="2860"/>
        <v/>
      </c>
      <c r="N2622" s="309" t="str">
        <f t="shared" si="2861"/>
        <v/>
      </c>
    </row>
    <row r="2623" spans="1:14" s="294" customFormat="1">
      <c r="A2623" s="290" t="s">
        <v>1493</v>
      </c>
      <c r="B2623" s="291"/>
      <c r="C2623" s="291" t="s">
        <v>1492</v>
      </c>
      <c r="D2623" s="292">
        <v>2</v>
      </c>
      <c r="E2623" s="292">
        <v>8</v>
      </c>
      <c r="F2623" s="293">
        <f>E2623*D2623</f>
        <v>16</v>
      </c>
      <c r="G2623" s="295">
        <f>3.5+(52*0.014)</f>
        <v>4.2300000000000004</v>
      </c>
      <c r="H2623" s="310" t="str">
        <f t="shared" si="2855"/>
        <v/>
      </c>
      <c r="I2623" s="311" t="str">
        <f t="shared" si="2856"/>
        <v/>
      </c>
      <c r="J2623" s="311" t="str">
        <f t="shared" si="2857"/>
        <v/>
      </c>
      <c r="K2623" s="311" t="str">
        <f t="shared" si="2858"/>
        <v/>
      </c>
      <c r="L2623" s="310">
        <f t="shared" si="2859"/>
        <v>67.680000000000007</v>
      </c>
      <c r="M2623" s="310" t="str">
        <f t="shared" si="2860"/>
        <v/>
      </c>
      <c r="N2623" s="311" t="str">
        <f t="shared" si="2861"/>
        <v/>
      </c>
    </row>
    <row r="2624" spans="1:14" s="294" customFormat="1">
      <c r="A2624" s="290" t="s">
        <v>1494</v>
      </c>
      <c r="B2624" s="291"/>
      <c r="C2624" s="291" t="s">
        <v>1496</v>
      </c>
      <c r="D2624" s="292">
        <v>2</v>
      </c>
      <c r="E2624" s="293">
        <f>((1.68/0.06)+(1.82/0.12))</f>
        <v>43</v>
      </c>
      <c r="F2624" s="293">
        <f t="shared" ref="F2624:F2625" si="2862">E2624*D2624</f>
        <v>86</v>
      </c>
      <c r="G2624" s="295">
        <f>((0.2+0.3)*2)+17*0.008*2</f>
        <v>1.27</v>
      </c>
      <c r="H2624" s="310" t="str">
        <f t="shared" si="2855"/>
        <v/>
      </c>
      <c r="I2624" s="311">
        <f t="shared" si="2856"/>
        <v>109.22</v>
      </c>
      <c r="J2624" s="311" t="str">
        <f t="shared" si="2857"/>
        <v/>
      </c>
      <c r="K2624" s="311" t="str">
        <f t="shared" si="2858"/>
        <v/>
      </c>
      <c r="L2624" s="310" t="str">
        <f t="shared" si="2859"/>
        <v/>
      </c>
      <c r="M2624" s="310" t="str">
        <f t="shared" si="2860"/>
        <v/>
      </c>
      <c r="N2624" s="311" t="str">
        <f t="shared" si="2861"/>
        <v/>
      </c>
    </row>
    <row r="2625" spans="1:14" s="294" customFormat="1">
      <c r="A2625" s="290" t="s">
        <v>1495</v>
      </c>
      <c r="B2625" s="291"/>
      <c r="C2625" s="291" t="s">
        <v>1496</v>
      </c>
      <c r="D2625" s="292">
        <v>2</v>
      </c>
      <c r="E2625" s="293">
        <f>((1.68/0.06)+(1.82/0.12))*2</f>
        <v>86</v>
      </c>
      <c r="F2625" s="293">
        <f t="shared" si="2862"/>
        <v>172</v>
      </c>
      <c r="G2625" s="295">
        <f>(0.2*2)+17*0.008*2</f>
        <v>0.67</v>
      </c>
      <c r="H2625" s="310" t="str">
        <f t="shared" si="2855"/>
        <v/>
      </c>
      <c r="I2625" s="311">
        <f t="shared" si="2856"/>
        <v>115.24</v>
      </c>
      <c r="J2625" s="311" t="str">
        <f t="shared" si="2857"/>
        <v/>
      </c>
      <c r="K2625" s="311" t="str">
        <f t="shared" si="2858"/>
        <v/>
      </c>
      <c r="L2625" s="310" t="str">
        <f t="shared" si="2859"/>
        <v/>
      </c>
      <c r="M2625" s="310" t="str">
        <f t="shared" si="2860"/>
        <v/>
      </c>
      <c r="N2625" s="311" t="str">
        <f t="shared" si="2861"/>
        <v/>
      </c>
    </row>
    <row r="2626" spans="1:14">
      <c r="A2626" s="270"/>
      <c r="B2626" s="269"/>
      <c r="C2626" s="271"/>
      <c r="D2626" s="271"/>
      <c r="E2626" s="272"/>
      <c r="F2626" s="272"/>
      <c r="G2626" s="273"/>
      <c r="H2626" s="308" t="str">
        <f t="shared" si="2855"/>
        <v/>
      </c>
      <c r="I2626" s="309" t="str">
        <f t="shared" si="2856"/>
        <v/>
      </c>
      <c r="J2626" s="309" t="str">
        <f t="shared" si="2857"/>
        <v/>
      </c>
      <c r="K2626" s="309" t="str">
        <f t="shared" si="2858"/>
        <v/>
      </c>
      <c r="L2626" s="308" t="str">
        <f t="shared" si="2859"/>
        <v/>
      </c>
      <c r="M2626" s="308" t="str">
        <f t="shared" si="2860"/>
        <v/>
      </c>
      <c r="N2626" s="309" t="str">
        <f t="shared" si="2861"/>
        <v/>
      </c>
    </row>
    <row r="2627" spans="1:14" ht="18.75" customHeight="1">
      <c r="A2627" s="296" t="s">
        <v>1508</v>
      </c>
      <c r="B2627" s="269"/>
      <c r="C2627" s="271"/>
      <c r="D2627" s="271"/>
      <c r="E2627" s="275"/>
      <c r="F2627" s="275"/>
      <c r="G2627" s="276"/>
      <c r="H2627" s="308" t="str">
        <f t="shared" si="2855"/>
        <v/>
      </c>
      <c r="I2627" s="309" t="str">
        <f t="shared" si="2856"/>
        <v/>
      </c>
      <c r="J2627" s="309" t="str">
        <f t="shared" si="2857"/>
        <v/>
      </c>
      <c r="K2627" s="309" t="str">
        <f t="shared" si="2858"/>
        <v/>
      </c>
      <c r="L2627" s="308" t="str">
        <f t="shared" si="2859"/>
        <v/>
      </c>
      <c r="M2627" s="308" t="str">
        <f t="shared" si="2860"/>
        <v/>
      </c>
      <c r="N2627" s="309" t="str">
        <f t="shared" si="2861"/>
        <v/>
      </c>
    </row>
    <row r="2628" spans="1:14" s="294" customFormat="1">
      <c r="A2628" s="290" t="s">
        <v>1493</v>
      </c>
      <c r="B2628" s="291"/>
      <c r="C2628" s="291" t="s">
        <v>1498</v>
      </c>
      <c r="D2628" s="292">
        <v>1</v>
      </c>
      <c r="E2628" s="292">
        <v>8</v>
      </c>
      <c r="F2628" s="293">
        <f>E2628*D2628</f>
        <v>8</v>
      </c>
      <c r="G2628" s="295">
        <f>3.5+(52*0.016)</f>
        <v>4.33</v>
      </c>
      <c r="H2628" s="310" t="str">
        <f t="shared" si="2855"/>
        <v/>
      </c>
      <c r="I2628" s="311" t="str">
        <f t="shared" si="2856"/>
        <v/>
      </c>
      <c r="J2628" s="311" t="str">
        <f t="shared" si="2857"/>
        <v/>
      </c>
      <c r="K2628" s="311" t="str">
        <f t="shared" si="2858"/>
        <v/>
      </c>
      <c r="L2628" s="310" t="str">
        <f t="shared" si="2859"/>
        <v/>
      </c>
      <c r="M2628" s="310">
        <f t="shared" si="2860"/>
        <v>34.64</v>
      </c>
      <c r="N2628" s="311" t="str">
        <f t="shared" si="2861"/>
        <v/>
      </c>
    </row>
    <row r="2629" spans="1:14" s="294" customFormat="1">
      <c r="A2629" s="290" t="s">
        <v>1494</v>
      </c>
      <c r="B2629" s="291"/>
      <c r="C2629" s="291" t="s">
        <v>1496</v>
      </c>
      <c r="D2629" s="292">
        <v>1</v>
      </c>
      <c r="E2629" s="293">
        <f>((1.68/0.06)+(1.82/0.12))</f>
        <v>43</v>
      </c>
      <c r="F2629" s="293">
        <f t="shared" ref="F2629" si="2863">E2629*D2629</f>
        <v>43</v>
      </c>
      <c r="G2629" s="295">
        <f>(3.14*0.3)+17*0.008*2</f>
        <v>1.21</v>
      </c>
      <c r="H2629" s="310" t="str">
        <f t="shared" si="2855"/>
        <v/>
      </c>
      <c r="I2629" s="311">
        <f t="shared" si="2856"/>
        <v>52.03</v>
      </c>
      <c r="J2629" s="311" t="str">
        <f t="shared" si="2857"/>
        <v/>
      </c>
      <c r="K2629" s="311" t="str">
        <f t="shared" si="2858"/>
        <v/>
      </c>
      <c r="L2629" s="310" t="str">
        <f t="shared" si="2859"/>
        <v/>
      </c>
      <c r="M2629" s="310" t="str">
        <f t="shared" si="2860"/>
        <v/>
      </c>
      <c r="N2629" s="311" t="str">
        <f t="shared" si="2861"/>
        <v/>
      </c>
    </row>
    <row r="2630" spans="1:14">
      <c r="A2630" s="270"/>
      <c r="B2630" s="269"/>
      <c r="C2630" s="271"/>
      <c r="D2630" s="271"/>
      <c r="E2630" s="272"/>
      <c r="F2630" s="272"/>
      <c r="G2630" s="273"/>
      <c r="H2630" s="308" t="str">
        <f t="shared" si="2855"/>
        <v/>
      </c>
      <c r="I2630" s="309" t="str">
        <f t="shared" si="2856"/>
        <v/>
      </c>
      <c r="J2630" s="309" t="str">
        <f t="shared" si="2857"/>
        <v/>
      </c>
      <c r="K2630" s="309" t="str">
        <f t="shared" si="2858"/>
        <v/>
      </c>
      <c r="L2630" s="308" t="str">
        <f t="shared" si="2859"/>
        <v/>
      </c>
      <c r="M2630" s="308" t="str">
        <f t="shared" si="2860"/>
        <v/>
      </c>
      <c r="N2630" s="309" t="str">
        <f t="shared" si="2861"/>
        <v/>
      </c>
    </row>
    <row r="2631" spans="1:14" ht="16.5">
      <c r="A2631" s="326" t="s">
        <v>1419</v>
      </c>
      <c r="B2631" s="274"/>
      <c r="C2631" s="271"/>
      <c r="D2631" s="271"/>
      <c r="E2631" s="272"/>
      <c r="F2631" s="272"/>
      <c r="G2631" s="271"/>
      <c r="H2631" s="308" t="str">
        <f t="shared" si="2855"/>
        <v/>
      </c>
      <c r="I2631" s="309" t="str">
        <f t="shared" si="2856"/>
        <v/>
      </c>
      <c r="J2631" s="309" t="str">
        <f t="shared" si="2857"/>
        <v/>
      </c>
      <c r="K2631" s="309" t="str">
        <f t="shared" si="2858"/>
        <v/>
      </c>
      <c r="L2631" s="308" t="str">
        <f t="shared" si="2859"/>
        <v/>
      </c>
      <c r="M2631" s="308" t="str">
        <f t="shared" si="2860"/>
        <v/>
      </c>
      <c r="N2631" s="309" t="str">
        <f t="shared" si="2861"/>
        <v/>
      </c>
    </row>
    <row r="2632" spans="1:14">
      <c r="A2632" s="270"/>
      <c r="B2632" s="274"/>
      <c r="C2632" s="271"/>
      <c r="D2632" s="271"/>
      <c r="E2632" s="272"/>
      <c r="F2632" s="272"/>
      <c r="G2632" s="271"/>
      <c r="H2632" s="308" t="str">
        <f t="shared" si="2855"/>
        <v/>
      </c>
      <c r="I2632" s="309" t="str">
        <f t="shared" si="2856"/>
        <v/>
      </c>
      <c r="J2632" s="309" t="str">
        <f t="shared" si="2857"/>
        <v/>
      </c>
      <c r="K2632" s="309" t="str">
        <f t="shared" si="2858"/>
        <v/>
      </c>
      <c r="L2632" s="308" t="str">
        <f t="shared" si="2859"/>
        <v/>
      </c>
      <c r="M2632" s="308" t="str">
        <f t="shared" si="2860"/>
        <v/>
      </c>
      <c r="N2632" s="309" t="str">
        <f t="shared" si="2861"/>
        <v/>
      </c>
    </row>
    <row r="2633" spans="1:14" ht="18.75" customHeight="1">
      <c r="A2633" s="296" t="s">
        <v>1501</v>
      </c>
      <c r="B2633" s="269"/>
      <c r="C2633" s="271"/>
      <c r="D2633" s="271"/>
      <c r="E2633" s="275"/>
      <c r="F2633" s="275"/>
      <c r="G2633" s="276"/>
      <c r="H2633" s="308" t="str">
        <f t="shared" ref="H2633:H2636" si="2864">IF(C2633="T6",G2633*F2633,"")</f>
        <v/>
      </c>
      <c r="I2633" s="309" t="str">
        <f t="shared" ref="I2633:I2636" si="2865">IF(C2633="T8",F2633*G2633,"")</f>
        <v/>
      </c>
      <c r="J2633" s="309" t="str">
        <f t="shared" ref="J2633:J2636" si="2866">IF(C2633="T10",F2633*G2633,"")</f>
        <v/>
      </c>
      <c r="K2633" s="309" t="str">
        <f t="shared" ref="K2633:K2636" si="2867">IF(C2633="T12",F2633*G2633,"")</f>
        <v/>
      </c>
      <c r="L2633" s="308" t="str">
        <f t="shared" ref="L2633:L2636" si="2868">IF(C2633="T14",F2633*G2633,"")</f>
        <v/>
      </c>
      <c r="M2633" s="308" t="str">
        <f t="shared" ref="M2633:M2636" si="2869">IF(C2633="T16",G2633*F2633,"")</f>
        <v/>
      </c>
      <c r="N2633" s="309" t="str">
        <f t="shared" ref="N2633:N2636" si="2870">IF(C2633="T20",G2633*F2633,"")</f>
        <v/>
      </c>
    </row>
    <row r="2634" spans="1:14" s="294" customFormat="1">
      <c r="A2634" s="290" t="s">
        <v>1493</v>
      </c>
      <c r="B2634" s="291"/>
      <c r="C2634" s="291" t="s">
        <v>1492</v>
      </c>
      <c r="D2634" s="292">
        <v>2</v>
      </c>
      <c r="E2634" s="292">
        <v>8</v>
      </c>
      <c r="F2634" s="293">
        <f>E2634*D2634</f>
        <v>16</v>
      </c>
      <c r="G2634" s="295">
        <f>3.5+(52*0.014)</f>
        <v>4.2300000000000004</v>
      </c>
      <c r="H2634" s="310" t="str">
        <f t="shared" si="2864"/>
        <v/>
      </c>
      <c r="I2634" s="311" t="str">
        <f t="shared" si="2865"/>
        <v/>
      </c>
      <c r="J2634" s="311" t="str">
        <f t="shared" si="2866"/>
        <v/>
      </c>
      <c r="K2634" s="311" t="str">
        <f t="shared" si="2867"/>
        <v/>
      </c>
      <c r="L2634" s="310">
        <f t="shared" si="2868"/>
        <v>67.680000000000007</v>
      </c>
      <c r="M2634" s="310" t="str">
        <f t="shared" si="2869"/>
        <v/>
      </c>
      <c r="N2634" s="311" t="str">
        <f t="shared" si="2870"/>
        <v/>
      </c>
    </row>
    <row r="2635" spans="1:14" s="294" customFormat="1">
      <c r="A2635" s="290" t="s">
        <v>1494</v>
      </c>
      <c r="B2635" s="291"/>
      <c r="C2635" s="291" t="s">
        <v>1496</v>
      </c>
      <c r="D2635" s="292">
        <v>2</v>
      </c>
      <c r="E2635" s="293">
        <f>((1.68/0.06)+(1.82/0.12))</f>
        <v>43</v>
      </c>
      <c r="F2635" s="293">
        <f t="shared" ref="F2635:F2636" si="2871">E2635*D2635</f>
        <v>86</v>
      </c>
      <c r="G2635" s="295">
        <f>((0.2+0.3)*2)+17*0.008*2</f>
        <v>1.27</v>
      </c>
      <c r="H2635" s="310" t="str">
        <f t="shared" si="2864"/>
        <v/>
      </c>
      <c r="I2635" s="311">
        <f t="shared" si="2865"/>
        <v>109.22</v>
      </c>
      <c r="J2635" s="311" t="str">
        <f t="shared" si="2866"/>
        <v/>
      </c>
      <c r="K2635" s="311" t="str">
        <f t="shared" si="2867"/>
        <v/>
      </c>
      <c r="L2635" s="310" t="str">
        <f t="shared" si="2868"/>
        <v/>
      </c>
      <c r="M2635" s="310" t="str">
        <f t="shared" si="2869"/>
        <v/>
      </c>
      <c r="N2635" s="311" t="str">
        <f t="shared" si="2870"/>
        <v/>
      </c>
    </row>
    <row r="2636" spans="1:14" s="294" customFormat="1">
      <c r="A2636" s="290" t="s">
        <v>1495</v>
      </c>
      <c r="B2636" s="291"/>
      <c r="C2636" s="291" t="s">
        <v>1496</v>
      </c>
      <c r="D2636" s="292">
        <v>2</v>
      </c>
      <c r="E2636" s="293">
        <f>((1.68/0.06)+(1.82/0.12))*2</f>
        <v>86</v>
      </c>
      <c r="F2636" s="293">
        <f t="shared" si="2871"/>
        <v>172</v>
      </c>
      <c r="G2636" s="295">
        <f>(0.2*2)+17*0.008*2</f>
        <v>0.67</v>
      </c>
      <c r="H2636" s="310" t="str">
        <f t="shared" si="2864"/>
        <v/>
      </c>
      <c r="I2636" s="311">
        <f t="shared" si="2865"/>
        <v>115.24</v>
      </c>
      <c r="J2636" s="311" t="str">
        <f t="shared" si="2866"/>
        <v/>
      </c>
      <c r="K2636" s="311" t="str">
        <f t="shared" si="2867"/>
        <v/>
      </c>
      <c r="L2636" s="310" t="str">
        <f t="shared" si="2868"/>
        <v/>
      </c>
      <c r="M2636" s="310" t="str">
        <f t="shared" si="2869"/>
        <v/>
      </c>
      <c r="N2636" s="311" t="str">
        <f t="shared" si="2870"/>
        <v/>
      </c>
    </row>
    <row r="2637" spans="1:14">
      <c r="A2637" s="270"/>
      <c r="B2637" s="269"/>
      <c r="C2637" s="271"/>
      <c r="D2637" s="271"/>
      <c r="E2637" s="272"/>
      <c r="F2637" s="272"/>
      <c r="G2637" s="273"/>
      <c r="H2637" s="308" t="str">
        <f t="shared" si="2855"/>
        <v/>
      </c>
      <c r="I2637" s="309" t="str">
        <f t="shared" si="2856"/>
        <v/>
      </c>
      <c r="J2637" s="309" t="str">
        <f t="shared" si="2857"/>
        <v/>
      </c>
      <c r="K2637" s="309" t="str">
        <f t="shared" si="2858"/>
        <v/>
      </c>
      <c r="L2637" s="308" t="str">
        <f t="shared" si="2859"/>
        <v/>
      </c>
      <c r="M2637" s="308" t="str">
        <f t="shared" si="2860"/>
        <v/>
      </c>
      <c r="N2637" s="309" t="str">
        <f t="shared" si="2861"/>
        <v/>
      </c>
    </row>
    <row r="2638" spans="1:14">
      <c r="A2638" s="296" t="s">
        <v>1506</v>
      </c>
      <c r="B2638" s="269"/>
      <c r="C2638" s="271"/>
      <c r="D2638" s="271"/>
      <c r="E2638" s="275"/>
      <c r="F2638" s="275"/>
      <c r="G2638" s="276"/>
      <c r="H2638" s="308" t="str">
        <f t="shared" si="2855"/>
        <v/>
      </c>
      <c r="I2638" s="309" t="str">
        <f t="shared" si="2856"/>
        <v/>
      </c>
      <c r="J2638" s="309" t="str">
        <f t="shared" si="2857"/>
        <v/>
      </c>
      <c r="K2638" s="309" t="str">
        <f t="shared" si="2858"/>
        <v/>
      </c>
      <c r="L2638" s="308" t="str">
        <f t="shared" si="2859"/>
        <v/>
      </c>
      <c r="M2638" s="308" t="str">
        <f t="shared" si="2860"/>
        <v/>
      </c>
      <c r="N2638" s="309" t="str">
        <f t="shared" si="2861"/>
        <v/>
      </c>
    </row>
    <row r="2639" spans="1:14">
      <c r="A2639" s="290" t="s">
        <v>1493</v>
      </c>
      <c r="B2639" s="291"/>
      <c r="C2639" s="291" t="s">
        <v>1492</v>
      </c>
      <c r="D2639" s="292">
        <v>2</v>
      </c>
      <c r="E2639" s="292">
        <v>8</v>
      </c>
      <c r="F2639" s="293">
        <f>E2639*D2639</f>
        <v>16</v>
      </c>
      <c r="G2639" s="295">
        <f>3.5+(52*0.014)</f>
        <v>4.2300000000000004</v>
      </c>
      <c r="H2639" s="310" t="str">
        <f t="shared" si="2855"/>
        <v/>
      </c>
      <c r="I2639" s="311" t="str">
        <f t="shared" si="2856"/>
        <v/>
      </c>
      <c r="J2639" s="311" t="str">
        <f t="shared" si="2857"/>
        <v/>
      </c>
      <c r="K2639" s="311" t="str">
        <f t="shared" si="2858"/>
        <v/>
      </c>
      <c r="L2639" s="310">
        <f t="shared" si="2859"/>
        <v>67.680000000000007</v>
      </c>
      <c r="M2639" s="310" t="str">
        <f t="shared" si="2860"/>
        <v/>
      </c>
      <c r="N2639" s="311" t="str">
        <f t="shared" si="2861"/>
        <v/>
      </c>
    </row>
    <row r="2640" spans="1:14">
      <c r="A2640" s="290" t="s">
        <v>1494</v>
      </c>
      <c r="B2640" s="291"/>
      <c r="C2640" s="291" t="s">
        <v>1496</v>
      </c>
      <c r="D2640" s="292">
        <v>2</v>
      </c>
      <c r="E2640" s="293">
        <f>((1.68/0.06)+(1.82/0.12))</f>
        <v>43</v>
      </c>
      <c r="F2640" s="293">
        <f t="shared" ref="F2640:F2641" si="2872">E2640*D2640</f>
        <v>86</v>
      </c>
      <c r="G2640" s="295">
        <f>(0.2+0.3)*2+17*0.008*2</f>
        <v>1.27</v>
      </c>
      <c r="H2640" s="310" t="str">
        <f t="shared" si="2855"/>
        <v/>
      </c>
      <c r="I2640" s="311">
        <f t="shared" si="2856"/>
        <v>109.22</v>
      </c>
      <c r="J2640" s="311" t="str">
        <f t="shared" si="2857"/>
        <v/>
      </c>
      <c r="K2640" s="311" t="str">
        <f t="shared" si="2858"/>
        <v/>
      </c>
      <c r="L2640" s="310" t="str">
        <f t="shared" si="2859"/>
        <v/>
      </c>
      <c r="M2640" s="310" t="str">
        <f t="shared" si="2860"/>
        <v/>
      </c>
      <c r="N2640" s="311" t="str">
        <f t="shared" si="2861"/>
        <v/>
      </c>
    </row>
    <row r="2641" spans="1:14">
      <c r="A2641" s="290" t="s">
        <v>1495</v>
      </c>
      <c r="B2641" s="291"/>
      <c r="C2641" s="291" t="s">
        <v>1496</v>
      </c>
      <c r="D2641" s="292">
        <v>2</v>
      </c>
      <c r="E2641" s="293">
        <f>((1.68/0.06)+(1.82/0.12))*2</f>
        <v>86</v>
      </c>
      <c r="F2641" s="293">
        <f t="shared" si="2872"/>
        <v>172</v>
      </c>
      <c r="G2641" s="295">
        <f>(0.2*2)+17*0.008*2</f>
        <v>0.67</v>
      </c>
      <c r="H2641" s="310" t="str">
        <f t="shared" si="2855"/>
        <v/>
      </c>
      <c r="I2641" s="311">
        <f t="shared" si="2856"/>
        <v>115.24</v>
      </c>
      <c r="J2641" s="311" t="str">
        <f t="shared" si="2857"/>
        <v/>
      </c>
      <c r="K2641" s="311" t="str">
        <f t="shared" si="2858"/>
        <v/>
      </c>
      <c r="L2641" s="310" t="str">
        <f t="shared" si="2859"/>
        <v/>
      </c>
      <c r="M2641" s="310" t="str">
        <f t="shared" si="2860"/>
        <v/>
      </c>
      <c r="N2641" s="311" t="str">
        <f t="shared" si="2861"/>
        <v/>
      </c>
    </row>
    <row r="2642" spans="1:14">
      <c r="A2642" s="270"/>
      <c r="B2642" s="269"/>
      <c r="C2642" s="271"/>
      <c r="D2642" s="271"/>
      <c r="E2642" s="272"/>
      <c r="F2642" s="272"/>
      <c r="G2642" s="278"/>
      <c r="H2642" s="308" t="str">
        <f t="shared" si="2855"/>
        <v/>
      </c>
      <c r="I2642" s="309" t="str">
        <f t="shared" si="2856"/>
        <v/>
      </c>
      <c r="J2642" s="309" t="str">
        <f t="shared" si="2857"/>
        <v/>
      </c>
      <c r="K2642" s="309" t="str">
        <f t="shared" si="2858"/>
        <v/>
      </c>
      <c r="L2642" s="308" t="str">
        <f t="shared" si="2859"/>
        <v/>
      </c>
      <c r="M2642" s="308" t="str">
        <f t="shared" si="2860"/>
        <v/>
      </c>
      <c r="N2642" s="309" t="str">
        <f t="shared" si="2861"/>
        <v/>
      </c>
    </row>
    <row r="2643" spans="1:14" ht="18" customHeight="1">
      <c r="A2643" s="296" t="s">
        <v>1502</v>
      </c>
      <c r="B2643" s="269"/>
      <c r="C2643" s="271"/>
      <c r="D2643" s="271"/>
      <c r="E2643" s="275"/>
      <c r="F2643" s="275"/>
      <c r="G2643" s="276"/>
      <c r="H2643" s="308" t="str">
        <f t="shared" si="2855"/>
        <v/>
      </c>
      <c r="I2643" s="309" t="str">
        <f t="shared" si="2856"/>
        <v/>
      </c>
      <c r="J2643" s="309" t="str">
        <f t="shared" si="2857"/>
        <v/>
      </c>
      <c r="K2643" s="309" t="str">
        <f t="shared" si="2858"/>
        <v/>
      </c>
      <c r="L2643" s="308" t="str">
        <f t="shared" si="2859"/>
        <v/>
      </c>
      <c r="M2643" s="308" t="str">
        <f t="shared" si="2860"/>
        <v/>
      </c>
      <c r="N2643" s="309" t="str">
        <f t="shared" si="2861"/>
        <v/>
      </c>
    </row>
    <row r="2644" spans="1:14" s="294" customFormat="1">
      <c r="A2644" s="290" t="s">
        <v>1493</v>
      </c>
      <c r="B2644" s="291"/>
      <c r="C2644" s="291" t="s">
        <v>1492</v>
      </c>
      <c r="D2644" s="292">
        <v>1</v>
      </c>
      <c r="E2644" s="292">
        <v>8</v>
      </c>
      <c r="F2644" s="293">
        <f>E2644*D2644</f>
        <v>8</v>
      </c>
      <c r="G2644" s="295">
        <f>3.5+(52*0.014)</f>
        <v>4.2300000000000004</v>
      </c>
      <c r="H2644" s="310" t="str">
        <f t="shared" si="2855"/>
        <v/>
      </c>
      <c r="I2644" s="311" t="str">
        <f t="shared" si="2856"/>
        <v/>
      </c>
      <c r="J2644" s="311" t="str">
        <f t="shared" si="2857"/>
        <v/>
      </c>
      <c r="K2644" s="311" t="str">
        <f t="shared" si="2858"/>
        <v/>
      </c>
      <c r="L2644" s="310">
        <f t="shared" si="2859"/>
        <v>33.840000000000003</v>
      </c>
      <c r="M2644" s="310" t="str">
        <f t="shared" si="2860"/>
        <v/>
      </c>
      <c r="N2644" s="311" t="str">
        <f t="shared" si="2861"/>
        <v/>
      </c>
    </row>
    <row r="2645" spans="1:14" s="294" customFormat="1">
      <c r="A2645" s="290" t="s">
        <v>1494</v>
      </c>
      <c r="B2645" s="291"/>
      <c r="C2645" s="291" t="s">
        <v>1496</v>
      </c>
      <c r="D2645" s="292">
        <v>1</v>
      </c>
      <c r="E2645" s="293">
        <f>((1.68/0.06)+(1.82/0.12))</f>
        <v>43</v>
      </c>
      <c r="F2645" s="293">
        <f t="shared" ref="F2645:F2646" si="2873">E2645*D2645</f>
        <v>43</v>
      </c>
      <c r="G2645" s="295">
        <f>((0.2+0.3)*2)+17*0.008*2</f>
        <v>1.27</v>
      </c>
      <c r="H2645" s="310" t="str">
        <f t="shared" si="2855"/>
        <v/>
      </c>
      <c r="I2645" s="311">
        <f t="shared" si="2856"/>
        <v>54.61</v>
      </c>
      <c r="J2645" s="311" t="str">
        <f t="shared" si="2857"/>
        <v/>
      </c>
      <c r="K2645" s="311" t="str">
        <f t="shared" si="2858"/>
        <v/>
      </c>
      <c r="L2645" s="310" t="str">
        <f t="shared" si="2859"/>
        <v/>
      </c>
      <c r="M2645" s="310" t="str">
        <f t="shared" si="2860"/>
        <v/>
      </c>
      <c r="N2645" s="311" t="str">
        <f t="shared" si="2861"/>
        <v/>
      </c>
    </row>
    <row r="2646" spans="1:14" s="294" customFormat="1">
      <c r="A2646" s="290" t="s">
        <v>1495</v>
      </c>
      <c r="B2646" s="291"/>
      <c r="C2646" s="291" t="s">
        <v>1496</v>
      </c>
      <c r="D2646" s="292">
        <v>1</v>
      </c>
      <c r="E2646" s="293">
        <f>((1.68/0.06)+(1.82/0.12))*2</f>
        <v>86</v>
      </c>
      <c r="F2646" s="293">
        <f t="shared" si="2873"/>
        <v>86</v>
      </c>
      <c r="G2646" s="295">
        <f>(0.2*2)+17*0.008*2</f>
        <v>0.67</v>
      </c>
      <c r="H2646" s="310" t="str">
        <f t="shared" si="2855"/>
        <v/>
      </c>
      <c r="I2646" s="311">
        <f t="shared" si="2856"/>
        <v>57.62</v>
      </c>
      <c r="J2646" s="311" t="str">
        <f t="shared" si="2857"/>
        <v/>
      </c>
      <c r="K2646" s="311" t="str">
        <f t="shared" si="2858"/>
        <v/>
      </c>
      <c r="L2646" s="310" t="str">
        <f t="shared" si="2859"/>
        <v/>
      </c>
      <c r="M2646" s="310" t="str">
        <f t="shared" si="2860"/>
        <v/>
      </c>
      <c r="N2646" s="311" t="str">
        <f t="shared" si="2861"/>
        <v/>
      </c>
    </row>
    <row r="2647" spans="1:14">
      <c r="A2647" s="270"/>
      <c r="B2647" s="269"/>
      <c r="C2647" s="271"/>
      <c r="D2647" s="271"/>
      <c r="E2647" s="272"/>
      <c r="F2647" s="272"/>
      <c r="G2647" s="278"/>
      <c r="H2647" s="308" t="str">
        <f t="shared" si="2855"/>
        <v/>
      </c>
      <c r="I2647" s="309" t="str">
        <f t="shared" si="2856"/>
        <v/>
      </c>
      <c r="J2647" s="309" t="str">
        <f t="shared" si="2857"/>
        <v/>
      </c>
      <c r="K2647" s="309" t="str">
        <f t="shared" si="2858"/>
        <v/>
      </c>
      <c r="L2647" s="308" t="str">
        <f t="shared" si="2859"/>
        <v/>
      </c>
      <c r="M2647" s="308" t="str">
        <f t="shared" si="2860"/>
        <v/>
      </c>
      <c r="N2647" s="309" t="str">
        <f t="shared" si="2861"/>
        <v/>
      </c>
    </row>
    <row r="2648" spans="1:14">
      <c r="A2648" s="296" t="s">
        <v>1504</v>
      </c>
      <c r="B2648" s="269"/>
      <c r="C2648" s="271"/>
      <c r="D2648" s="271"/>
      <c r="E2648" s="275"/>
      <c r="F2648" s="275"/>
      <c r="G2648" s="276"/>
      <c r="H2648" s="308" t="str">
        <f t="shared" si="2855"/>
        <v/>
      </c>
      <c r="I2648" s="309" t="str">
        <f t="shared" si="2856"/>
        <v/>
      </c>
      <c r="J2648" s="309" t="str">
        <f t="shared" si="2857"/>
        <v/>
      </c>
      <c r="K2648" s="309" t="str">
        <f t="shared" si="2858"/>
        <v/>
      </c>
      <c r="L2648" s="308" t="str">
        <f t="shared" si="2859"/>
        <v/>
      </c>
      <c r="M2648" s="308" t="str">
        <f t="shared" si="2860"/>
        <v/>
      </c>
      <c r="N2648" s="309" t="str">
        <f t="shared" si="2861"/>
        <v/>
      </c>
    </row>
    <row r="2649" spans="1:14">
      <c r="A2649" s="290" t="s">
        <v>1493</v>
      </c>
      <c r="B2649" s="291"/>
      <c r="C2649" s="291" t="s">
        <v>1492</v>
      </c>
      <c r="D2649" s="292">
        <v>2</v>
      </c>
      <c r="E2649" s="292">
        <v>10</v>
      </c>
      <c r="F2649" s="293">
        <f>E2649*D2649</f>
        <v>20</v>
      </c>
      <c r="G2649" s="295">
        <f>3.5+(52*0.014)</f>
        <v>4.2300000000000004</v>
      </c>
      <c r="H2649" s="310" t="str">
        <f t="shared" si="2855"/>
        <v/>
      </c>
      <c r="I2649" s="311" t="str">
        <f t="shared" si="2856"/>
        <v/>
      </c>
      <c r="J2649" s="311" t="str">
        <f t="shared" si="2857"/>
        <v/>
      </c>
      <c r="K2649" s="311" t="str">
        <f t="shared" si="2858"/>
        <v/>
      </c>
      <c r="L2649" s="310">
        <f t="shared" si="2859"/>
        <v>84.6</v>
      </c>
      <c r="M2649" s="310" t="str">
        <f t="shared" si="2860"/>
        <v/>
      </c>
      <c r="N2649" s="311" t="str">
        <f t="shared" si="2861"/>
        <v/>
      </c>
    </row>
    <row r="2650" spans="1:14">
      <c r="A2650" s="290" t="s">
        <v>1494</v>
      </c>
      <c r="B2650" s="291"/>
      <c r="C2650" s="291" t="s">
        <v>1496</v>
      </c>
      <c r="D2650" s="292">
        <v>2</v>
      </c>
      <c r="E2650" s="293">
        <f>((1.68/0.06)+(1.82/0.12))</f>
        <v>43</v>
      </c>
      <c r="F2650" s="293">
        <f t="shared" ref="F2650:F2651" si="2874">E2650*D2650</f>
        <v>86</v>
      </c>
      <c r="G2650" s="295">
        <f>(0.2+0.4)*2+(17*0.008*2)</f>
        <v>1.47</v>
      </c>
      <c r="H2650" s="310" t="str">
        <f t="shared" si="2855"/>
        <v/>
      </c>
      <c r="I2650" s="311">
        <f t="shared" si="2856"/>
        <v>126.42</v>
      </c>
      <c r="J2650" s="311" t="str">
        <f t="shared" si="2857"/>
        <v/>
      </c>
      <c r="K2650" s="311" t="str">
        <f t="shared" si="2858"/>
        <v/>
      </c>
      <c r="L2650" s="310" t="str">
        <f t="shared" si="2859"/>
        <v/>
      </c>
      <c r="M2650" s="310" t="str">
        <f t="shared" si="2860"/>
        <v/>
      </c>
      <c r="N2650" s="311" t="str">
        <f t="shared" si="2861"/>
        <v/>
      </c>
    </row>
    <row r="2651" spans="1:14">
      <c r="A2651" s="290" t="s">
        <v>1495</v>
      </c>
      <c r="B2651" s="291"/>
      <c r="C2651" s="291" t="s">
        <v>1496</v>
      </c>
      <c r="D2651" s="292">
        <v>2</v>
      </c>
      <c r="E2651" s="293">
        <f>((1.68/0.06)+(1.82/0.12))*3</f>
        <v>130</v>
      </c>
      <c r="F2651" s="293">
        <f t="shared" si="2874"/>
        <v>260</v>
      </c>
      <c r="G2651" s="295">
        <f>(0.2*2)+(17*0.008*2)</f>
        <v>0.67</v>
      </c>
      <c r="H2651" s="310" t="str">
        <f t="shared" si="2855"/>
        <v/>
      </c>
      <c r="I2651" s="311">
        <f t="shared" si="2856"/>
        <v>174.2</v>
      </c>
      <c r="J2651" s="311" t="str">
        <f t="shared" si="2857"/>
        <v/>
      </c>
      <c r="K2651" s="311" t="str">
        <f t="shared" si="2858"/>
        <v/>
      </c>
      <c r="L2651" s="310" t="str">
        <f t="shared" si="2859"/>
        <v/>
      </c>
      <c r="M2651" s="310" t="str">
        <f t="shared" si="2860"/>
        <v/>
      </c>
      <c r="N2651" s="311" t="str">
        <f t="shared" si="2861"/>
        <v/>
      </c>
    </row>
    <row r="2652" spans="1:14">
      <c r="A2652" s="279"/>
      <c r="B2652" s="288"/>
      <c r="C2652" s="280"/>
      <c r="D2652" s="280"/>
      <c r="E2652" s="287"/>
      <c r="F2652" s="287"/>
      <c r="G2652" s="283"/>
      <c r="H2652" s="308" t="str">
        <f t="shared" si="2855"/>
        <v/>
      </c>
      <c r="I2652" s="309" t="str">
        <f t="shared" si="2856"/>
        <v/>
      </c>
      <c r="J2652" s="309" t="str">
        <f t="shared" si="2857"/>
        <v/>
      </c>
      <c r="K2652" s="309" t="str">
        <f t="shared" si="2858"/>
        <v/>
      </c>
      <c r="L2652" s="308" t="str">
        <f t="shared" si="2859"/>
        <v/>
      </c>
      <c r="M2652" s="308" t="str">
        <f t="shared" si="2860"/>
        <v/>
      </c>
      <c r="N2652" s="309" t="str">
        <f t="shared" si="2861"/>
        <v/>
      </c>
    </row>
    <row r="2653" spans="1:14">
      <c r="A2653" s="296" t="s">
        <v>1509</v>
      </c>
      <c r="B2653" s="269"/>
      <c r="C2653" s="271"/>
      <c r="D2653" s="271"/>
      <c r="E2653" s="275"/>
      <c r="F2653" s="275"/>
      <c r="G2653" s="276"/>
      <c r="H2653" s="308" t="str">
        <f t="shared" si="2855"/>
        <v/>
      </c>
      <c r="I2653" s="309" t="str">
        <f t="shared" si="2856"/>
        <v/>
      </c>
      <c r="J2653" s="309" t="str">
        <f t="shared" si="2857"/>
        <v/>
      </c>
      <c r="K2653" s="309" t="str">
        <f t="shared" si="2858"/>
        <v/>
      </c>
      <c r="L2653" s="308" t="str">
        <f t="shared" si="2859"/>
        <v/>
      </c>
      <c r="M2653" s="308" t="str">
        <f t="shared" si="2860"/>
        <v/>
      </c>
      <c r="N2653" s="309" t="str">
        <f t="shared" si="2861"/>
        <v/>
      </c>
    </row>
    <row r="2654" spans="1:14">
      <c r="A2654" s="290" t="s">
        <v>1493</v>
      </c>
      <c r="B2654" s="291"/>
      <c r="C2654" s="291" t="s">
        <v>1492</v>
      </c>
      <c r="D2654" s="292">
        <v>1</v>
      </c>
      <c r="E2654" s="292">
        <v>18</v>
      </c>
      <c r="F2654" s="293">
        <f>E2654*D2654</f>
        <v>18</v>
      </c>
      <c r="G2654" s="295">
        <f>3.5+(52*0.014)</f>
        <v>4.2300000000000004</v>
      </c>
      <c r="H2654" s="310" t="str">
        <f t="shared" si="2855"/>
        <v/>
      </c>
      <c r="I2654" s="311" t="str">
        <f t="shared" si="2856"/>
        <v/>
      </c>
      <c r="J2654" s="311" t="str">
        <f t="shared" si="2857"/>
        <v/>
      </c>
      <c r="K2654" s="311" t="str">
        <f t="shared" si="2858"/>
        <v/>
      </c>
      <c r="L2654" s="310">
        <f t="shared" si="2859"/>
        <v>76.14</v>
      </c>
      <c r="M2654" s="310" t="str">
        <f t="shared" si="2860"/>
        <v/>
      </c>
      <c r="N2654" s="311" t="str">
        <f t="shared" si="2861"/>
        <v/>
      </c>
    </row>
    <row r="2655" spans="1:14">
      <c r="A2655" s="290" t="s">
        <v>1494</v>
      </c>
      <c r="B2655" s="291"/>
      <c r="C2655" s="291" t="s">
        <v>1496</v>
      </c>
      <c r="D2655" s="292">
        <v>1</v>
      </c>
      <c r="E2655" s="293">
        <f>((1.68/0.06)+(1.82/0.12))</f>
        <v>43</v>
      </c>
      <c r="F2655" s="293">
        <f t="shared" ref="F2655:F2656" si="2875">E2655*D2655</f>
        <v>43</v>
      </c>
      <c r="G2655" s="295">
        <f>(0.2+0.45)*2+(17*0.008*2)</f>
        <v>1.57</v>
      </c>
      <c r="H2655" s="310" t="str">
        <f t="shared" si="2855"/>
        <v/>
      </c>
      <c r="I2655" s="311">
        <f t="shared" si="2856"/>
        <v>67.510000000000005</v>
      </c>
      <c r="J2655" s="311" t="str">
        <f t="shared" si="2857"/>
        <v/>
      </c>
      <c r="K2655" s="311" t="str">
        <f t="shared" si="2858"/>
        <v/>
      </c>
      <c r="L2655" s="310" t="str">
        <f t="shared" si="2859"/>
        <v/>
      </c>
      <c r="M2655" s="310" t="str">
        <f t="shared" si="2860"/>
        <v/>
      </c>
      <c r="N2655" s="311" t="str">
        <f t="shared" si="2861"/>
        <v/>
      </c>
    </row>
    <row r="2656" spans="1:14">
      <c r="A2656" s="290" t="s">
        <v>1495</v>
      </c>
      <c r="B2656" s="291"/>
      <c r="C2656" s="291" t="s">
        <v>1496</v>
      </c>
      <c r="D2656" s="292">
        <v>1</v>
      </c>
      <c r="E2656" s="293">
        <f>((1.68/0.06)+(1.82/0.12))*7</f>
        <v>302</v>
      </c>
      <c r="F2656" s="293">
        <f t="shared" si="2875"/>
        <v>302</v>
      </c>
      <c r="G2656" s="295">
        <f>(0.2*2)+(17*0.008*2)</f>
        <v>0.67</v>
      </c>
      <c r="H2656" s="310" t="str">
        <f t="shared" si="2855"/>
        <v/>
      </c>
      <c r="I2656" s="311">
        <f t="shared" si="2856"/>
        <v>202.34</v>
      </c>
      <c r="J2656" s="311" t="str">
        <f t="shared" si="2857"/>
        <v/>
      </c>
      <c r="K2656" s="311" t="str">
        <f t="shared" si="2858"/>
        <v/>
      </c>
      <c r="L2656" s="310" t="str">
        <f t="shared" si="2859"/>
        <v/>
      </c>
      <c r="M2656" s="310" t="str">
        <f t="shared" si="2860"/>
        <v/>
      </c>
      <c r="N2656" s="311" t="str">
        <f t="shared" si="2861"/>
        <v/>
      </c>
    </row>
    <row r="2657" spans="1:14">
      <c r="A2657" s="270"/>
      <c r="B2657" s="269"/>
      <c r="C2657" s="271"/>
      <c r="D2657" s="271"/>
      <c r="E2657" s="272"/>
      <c r="F2657" s="272"/>
      <c r="G2657" s="278"/>
      <c r="H2657" s="308" t="str">
        <f t="shared" si="2855"/>
        <v/>
      </c>
      <c r="I2657" s="309" t="str">
        <f t="shared" si="2856"/>
        <v/>
      </c>
      <c r="J2657" s="309" t="str">
        <f t="shared" si="2857"/>
        <v/>
      </c>
      <c r="K2657" s="309" t="str">
        <f t="shared" si="2858"/>
        <v/>
      </c>
      <c r="L2657" s="308" t="str">
        <f t="shared" si="2859"/>
        <v/>
      </c>
      <c r="M2657" s="308" t="str">
        <f t="shared" si="2860"/>
        <v/>
      </c>
      <c r="N2657" s="309" t="str">
        <f t="shared" si="2861"/>
        <v/>
      </c>
    </row>
    <row r="2658" spans="1:14">
      <c r="A2658" s="296" t="s">
        <v>1503</v>
      </c>
      <c r="B2658" s="269"/>
      <c r="C2658" s="271"/>
      <c r="D2658" s="271"/>
      <c r="E2658" s="275"/>
      <c r="F2658" s="275"/>
      <c r="G2658" s="276"/>
      <c r="H2658" s="308" t="str">
        <f t="shared" si="2855"/>
        <v/>
      </c>
      <c r="I2658" s="309" t="str">
        <f t="shared" si="2856"/>
        <v/>
      </c>
      <c r="J2658" s="309" t="str">
        <f t="shared" si="2857"/>
        <v/>
      </c>
      <c r="K2658" s="309" t="str">
        <f t="shared" si="2858"/>
        <v/>
      </c>
      <c r="L2658" s="308" t="str">
        <f t="shared" si="2859"/>
        <v/>
      </c>
      <c r="M2658" s="308" t="str">
        <f t="shared" si="2860"/>
        <v/>
      </c>
      <c r="N2658" s="309" t="str">
        <f t="shared" si="2861"/>
        <v/>
      </c>
    </row>
    <row r="2659" spans="1:14">
      <c r="A2659" s="290" t="s">
        <v>1493</v>
      </c>
      <c r="B2659" s="291"/>
      <c r="C2659" s="291" t="s">
        <v>1492</v>
      </c>
      <c r="D2659" s="292">
        <v>4</v>
      </c>
      <c r="E2659" s="292">
        <v>20</v>
      </c>
      <c r="F2659" s="293">
        <f>E2659*D2659</f>
        <v>80</v>
      </c>
      <c r="G2659" s="295">
        <f>3.5+(52*0.014)</f>
        <v>4.2300000000000004</v>
      </c>
      <c r="H2659" s="310" t="str">
        <f t="shared" si="2855"/>
        <v/>
      </c>
      <c r="I2659" s="311" t="str">
        <f t="shared" si="2856"/>
        <v/>
      </c>
      <c r="J2659" s="311" t="str">
        <f t="shared" si="2857"/>
        <v/>
      </c>
      <c r="K2659" s="311" t="str">
        <f t="shared" si="2858"/>
        <v/>
      </c>
      <c r="L2659" s="310">
        <f t="shared" si="2859"/>
        <v>338.4</v>
      </c>
      <c r="M2659" s="310" t="str">
        <f t="shared" si="2860"/>
        <v/>
      </c>
      <c r="N2659" s="311" t="str">
        <f t="shared" si="2861"/>
        <v/>
      </c>
    </row>
    <row r="2660" spans="1:14">
      <c r="A2660" s="290" t="s">
        <v>1494</v>
      </c>
      <c r="B2660" s="291"/>
      <c r="C2660" s="291" t="s">
        <v>1496</v>
      </c>
      <c r="D2660" s="292">
        <v>4</v>
      </c>
      <c r="E2660" s="293">
        <f>((1.68/0.06)+(1.82/0.12))</f>
        <v>43</v>
      </c>
      <c r="F2660" s="293">
        <f t="shared" ref="F2660:F2662" si="2876">E2660*D2660</f>
        <v>172</v>
      </c>
      <c r="G2660" s="295">
        <f>(0.2+0.45)*2+(17*0.008*2)</f>
        <v>1.57</v>
      </c>
      <c r="H2660" s="310" t="str">
        <f t="shared" si="2855"/>
        <v/>
      </c>
      <c r="I2660" s="311">
        <f t="shared" si="2856"/>
        <v>270.04000000000002</v>
      </c>
      <c r="J2660" s="311" t="str">
        <f t="shared" si="2857"/>
        <v/>
      </c>
      <c r="K2660" s="311" t="str">
        <f t="shared" si="2858"/>
        <v/>
      </c>
      <c r="L2660" s="310" t="str">
        <f t="shared" si="2859"/>
        <v/>
      </c>
      <c r="M2660" s="310" t="str">
        <f t="shared" si="2860"/>
        <v/>
      </c>
      <c r="N2660" s="311" t="str">
        <f t="shared" si="2861"/>
        <v/>
      </c>
    </row>
    <row r="2661" spans="1:14">
      <c r="A2661" s="290" t="s">
        <v>1499</v>
      </c>
      <c r="B2661" s="291"/>
      <c r="C2661" s="291" t="s">
        <v>1496</v>
      </c>
      <c r="D2661" s="292">
        <v>4</v>
      </c>
      <c r="E2661" s="293">
        <f>((1.68/0.06)+(1.82/0.12))*7</f>
        <v>302</v>
      </c>
      <c r="F2661" s="293">
        <f t="shared" si="2876"/>
        <v>1208</v>
      </c>
      <c r="G2661" s="295">
        <f>(0.2*2)+(17*0.008*2)</f>
        <v>0.67</v>
      </c>
      <c r="H2661" s="310" t="str">
        <f t="shared" si="2855"/>
        <v/>
      </c>
      <c r="I2661" s="311">
        <f t="shared" si="2856"/>
        <v>809.36</v>
      </c>
      <c r="J2661" s="311" t="str">
        <f t="shared" si="2857"/>
        <v/>
      </c>
      <c r="K2661" s="311" t="str">
        <f t="shared" si="2858"/>
        <v/>
      </c>
      <c r="L2661" s="310" t="str">
        <f t="shared" si="2859"/>
        <v/>
      </c>
      <c r="M2661" s="310" t="str">
        <f t="shared" si="2860"/>
        <v/>
      </c>
      <c r="N2661" s="311" t="str">
        <f t="shared" si="2861"/>
        <v/>
      </c>
    </row>
    <row r="2662" spans="1:14">
      <c r="A2662" s="290" t="s">
        <v>1500</v>
      </c>
      <c r="B2662" s="291"/>
      <c r="C2662" s="291" t="s">
        <v>1496</v>
      </c>
      <c r="D2662" s="292">
        <v>4</v>
      </c>
      <c r="E2662" s="293">
        <f>((1.68/0.06)+(1.82/0.12))</f>
        <v>43</v>
      </c>
      <c r="F2662" s="293">
        <f t="shared" si="2876"/>
        <v>172</v>
      </c>
      <c r="G2662" s="295">
        <f>(0.45*2)+(17*0.008*2)</f>
        <v>1.17</v>
      </c>
      <c r="H2662" s="310" t="str">
        <f t="shared" si="2855"/>
        <v/>
      </c>
      <c r="I2662" s="311">
        <f t="shared" si="2856"/>
        <v>201.24</v>
      </c>
      <c r="J2662" s="311" t="str">
        <f t="shared" si="2857"/>
        <v/>
      </c>
      <c r="K2662" s="311" t="str">
        <f t="shared" si="2858"/>
        <v/>
      </c>
      <c r="L2662" s="310" t="str">
        <f t="shared" si="2859"/>
        <v/>
      </c>
      <c r="M2662" s="310" t="str">
        <f t="shared" si="2860"/>
        <v/>
      </c>
      <c r="N2662" s="311" t="str">
        <f t="shared" si="2861"/>
        <v/>
      </c>
    </row>
    <row r="2663" spans="1:14" ht="17.25">
      <c r="A2663" s="261"/>
      <c r="B2663" s="274"/>
      <c r="C2663" s="271"/>
      <c r="D2663" s="271"/>
      <c r="E2663" s="272"/>
      <c r="F2663" s="272"/>
      <c r="G2663" s="278"/>
      <c r="H2663" s="308" t="str">
        <f t="shared" si="2855"/>
        <v/>
      </c>
      <c r="I2663" s="309" t="str">
        <f t="shared" si="2856"/>
        <v/>
      </c>
      <c r="J2663" s="309" t="str">
        <f t="shared" si="2857"/>
        <v/>
      </c>
      <c r="K2663" s="309" t="str">
        <f t="shared" si="2858"/>
        <v/>
      </c>
      <c r="L2663" s="308" t="str">
        <f t="shared" si="2859"/>
        <v/>
      </c>
      <c r="M2663" s="308" t="str">
        <f t="shared" si="2860"/>
        <v/>
      </c>
      <c r="N2663" s="309" t="str">
        <f t="shared" si="2861"/>
        <v/>
      </c>
    </row>
    <row r="2664" spans="1:14">
      <c r="A2664" s="296" t="s">
        <v>1512</v>
      </c>
      <c r="B2664" s="269"/>
      <c r="C2664" s="271"/>
      <c r="D2664" s="271"/>
      <c r="E2664" s="275"/>
      <c r="F2664" s="275"/>
      <c r="G2664" s="276"/>
      <c r="H2664" s="308" t="str">
        <f t="shared" ref="H2664:H2668" si="2877">IF(C2664="T6",G2664*F2664,"")</f>
        <v/>
      </c>
      <c r="I2664" s="309" t="str">
        <f t="shared" ref="I2664:I2668" si="2878">IF(C2664="T8",F2664*G2664,"")</f>
        <v/>
      </c>
      <c r="J2664" s="309" t="str">
        <f t="shared" ref="J2664:J2668" si="2879">IF(C2664="T10",F2664*G2664,"")</f>
        <v/>
      </c>
      <c r="K2664" s="309" t="str">
        <f t="shared" ref="K2664:K2668" si="2880">IF(C2664="T12",F2664*G2664,"")</f>
        <v/>
      </c>
      <c r="L2664" s="308" t="str">
        <f t="shared" ref="L2664:L2668" si="2881">IF(C2664="T14",F2664*G2664,"")</f>
        <v/>
      </c>
      <c r="M2664" s="308" t="str">
        <f t="shared" ref="M2664:M2668" si="2882">IF(C2664="T16",G2664*F2664,"")</f>
        <v/>
      </c>
      <c r="N2664" s="309" t="str">
        <f t="shared" ref="N2664:N2668" si="2883">IF(C2664="T20",G2664*F2664,"")</f>
        <v/>
      </c>
    </row>
    <row r="2665" spans="1:14">
      <c r="A2665" s="290" t="s">
        <v>1493</v>
      </c>
      <c r="B2665" s="291"/>
      <c r="C2665" s="291" t="s">
        <v>1492</v>
      </c>
      <c r="D2665" s="292">
        <v>2</v>
      </c>
      <c r="E2665" s="292">
        <v>24</v>
      </c>
      <c r="F2665" s="293">
        <f>E2665*D2665</f>
        <v>48</v>
      </c>
      <c r="G2665" s="295">
        <f>3.5+(52*0.014)</f>
        <v>4.2300000000000004</v>
      </c>
      <c r="H2665" s="310" t="str">
        <f t="shared" si="2877"/>
        <v/>
      </c>
      <c r="I2665" s="311" t="str">
        <f t="shared" si="2878"/>
        <v/>
      </c>
      <c r="J2665" s="311" t="str">
        <f t="shared" si="2879"/>
        <v/>
      </c>
      <c r="K2665" s="311" t="str">
        <f t="shared" si="2880"/>
        <v/>
      </c>
      <c r="L2665" s="310">
        <f t="shared" si="2881"/>
        <v>203.04</v>
      </c>
      <c r="M2665" s="310" t="str">
        <f t="shared" si="2882"/>
        <v/>
      </c>
      <c r="N2665" s="311" t="str">
        <f t="shared" si="2883"/>
        <v/>
      </c>
    </row>
    <row r="2666" spans="1:14">
      <c r="A2666" s="290" t="s">
        <v>1494</v>
      </c>
      <c r="B2666" s="291"/>
      <c r="C2666" s="291" t="s">
        <v>1496</v>
      </c>
      <c r="D2666" s="292">
        <v>2</v>
      </c>
      <c r="E2666" s="293">
        <f>((1.68/0.06)+(1.82/0.12))</f>
        <v>43</v>
      </c>
      <c r="F2666" s="293">
        <f t="shared" ref="F2666:F2668" si="2884">E2666*D2666</f>
        <v>86</v>
      </c>
      <c r="G2666" s="295">
        <f>(0.25+0.6)*2+17*0.008*2</f>
        <v>1.97</v>
      </c>
      <c r="H2666" s="310" t="str">
        <f t="shared" si="2877"/>
        <v/>
      </c>
      <c r="I2666" s="311">
        <f t="shared" si="2878"/>
        <v>169.42</v>
      </c>
      <c r="J2666" s="311" t="str">
        <f t="shared" si="2879"/>
        <v/>
      </c>
      <c r="K2666" s="311" t="str">
        <f t="shared" si="2880"/>
        <v/>
      </c>
      <c r="L2666" s="310" t="str">
        <f t="shared" si="2881"/>
        <v/>
      </c>
      <c r="M2666" s="310" t="str">
        <f t="shared" si="2882"/>
        <v/>
      </c>
      <c r="N2666" s="311" t="str">
        <f t="shared" si="2883"/>
        <v/>
      </c>
    </row>
    <row r="2667" spans="1:14">
      <c r="A2667" s="290" t="s">
        <v>1499</v>
      </c>
      <c r="B2667" s="291"/>
      <c r="C2667" s="291" t="s">
        <v>1496</v>
      </c>
      <c r="D2667" s="292">
        <v>2</v>
      </c>
      <c r="E2667" s="293">
        <f>((1.68/0.06)+(1.82/0.12))*7</f>
        <v>302</v>
      </c>
      <c r="F2667" s="293">
        <f t="shared" si="2884"/>
        <v>604</v>
      </c>
      <c r="G2667" s="295">
        <f>(0.25*2)+17*0.008*2</f>
        <v>0.77</v>
      </c>
      <c r="H2667" s="310" t="str">
        <f t="shared" si="2877"/>
        <v/>
      </c>
      <c r="I2667" s="311">
        <f t="shared" si="2878"/>
        <v>465.08</v>
      </c>
      <c r="J2667" s="311" t="str">
        <f t="shared" si="2879"/>
        <v/>
      </c>
      <c r="K2667" s="311" t="str">
        <f t="shared" si="2880"/>
        <v/>
      </c>
      <c r="L2667" s="310" t="str">
        <f t="shared" si="2881"/>
        <v/>
      </c>
      <c r="M2667" s="310" t="str">
        <f t="shared" si="2882"/>
        <v/>
      </c>
      <c r="N2667" s="311" t="str">
        <f t="shared" si="2883"/>
        <v/>
      </c>
    </row>
    <row r="2668" spans="1:14">
      <c r="A2668" s="290" t="s">
        <v>1500</v>
      </c>
      <c r="B2668" s="291"/>
      <c r="C2668" s="291" t="s">
        <v>1496</v>
      </c>
      <c r="D2668" s="292">
        <v>2</v>
      </c>
      <c r="E2668" s="293">
        <f>((1.68/0.06)+(1.82/0.12))</f>
        <v>43</v>
      </c>
      <c r="F2668" s="293">
        <f t="shared" si="2884"/>
        <v>86</v>
      </c>
      <c r="G2668" s="295">
        <f>(0.6*2)+17*0.008*2</f>
        <v>1.47</v>
      </c>
      <c r="H2668" s="310" t="str">
        <f t="shared" si="2877"/>
        <v/>
      </c>
      <c r="I2668" s="311">
        <f t="shared" si="2878"/>
        <v>126.42</v>
      </c>
      <c r="J2668" s="311" t="str">
        <f t="shared" si="2879"/>
        <v/>
      </c>
      <c r="K2668" s="311" t="str">
        <f t="shared" si="2880"/>
        <v/>
      </c>
      <c r="L2668" s="310" t="str">
        <f t="shared" si="2881"/>
        <v/>
      </c>
      <c r="M2668" s="310" t="str">
        <f t="shared" si="2882"/>
        <v/>
      </c>
      <c r="N2668" s="311" t="str">
        <f t="shared" si="2883"/>
        <v/>
      </c>
    </row>
    <row r="2669" spans="1:14">
      <c r="A2669" s="251"/>
      <c r="B2669" s="274"/>
      <c r="C2669" s="271"/>
      <c r="D2669" s="271"/>
      <c r="E2669" s="272"/>
      <c r="F2669" s="272"/>
      <c r="G2669" s="271"/>
      <c r="H2669" s="308" t="str">
        <f t="shared" si="2855"/>
        <v/>
      </c>
      <c r="I2669" s="309" t="str">
        <f t="shared" si="2856"/>
        <v/>
      </c>
      <c r="J2669" s="309" t="str">
        <f t="shared" si="2857"/>
        <v/>
      </c>
      <c r="K2669" s="309" t="str">
        <f t="shared" si="2858"/>
        <v/>
      </c>
      <c r="L2669" s="308" t="str">
        <f t="shared" si="2859"/>
        <v/>
      </c>
      <c r="M2669" s="308" t="str">
        <f t="shared" si="2860"/>
        <v/>
      </c>
      <c r="N2669" s="309" t="str">
        <f t="shared" si="2861"/>
        <v/>
      </c>
    </row>
    <row r="2670" spans="1:14" ht="16.5">
      <c r="A2670" s="326" t="s">
        <v>1442</v>
      </c>
      <c r="B2670" s="269"/>
      <c r="C2670" s="271"/>
      <c r="D2670" s="271"/>
      <c r="E2670" s="272"/>
      <c r="F2670" s="272"/>
      <c r="G2670" s="278"/>
      <c r="H2670" s="308" t="str">
        <f t="shared" si="2855"/>
        <v/>
      </c>
      <c r="I2670" s="309" t="str">
        <f t="shared" si="2856"/>
        <v/>
      </c>
      <c r="J2670" s="309" t="str">
        <f t="shared" si="2857"/>
        <v/>
      </c>
      <c r="K2670" s="309" t="str">
        <f t="shared" si="2858"/>
        <v/>
      </c>
      <c r="L2670" s="308" t="str">
        <f t="shared" si="2859"/>
        <v/>
      </c>
      <c r="M2670" s="308" t="str">
        <f t="shared" si="2860"/>
        <v/>
      </c>
      <c r="N2670" s="309" t="str">
        <f t="shared" si="2861"/>
        <v/>
      </c>
    </row>
    <row r="2671" spans="1:14">
      <c r="A2671" s="296" t="s">
        <v>1506</v>
      </c>
      <c r="B2671" s="269"/>
      <c r="C2671" s="271"/>
      <c r="D2671" s="271"/>
      <c r="E2671" s="275"/>
      <c r="F2671" s="275"/>
      <c r="G2671" s="276"/>
      <c r="H2671" s="308" t="str">
        <f t="shared" ref="H2671:H2695" si="2885">IF(C2671="T6",G2671*F2671,"")</f>
        <v/>
      </c>
      <c r="I2671" s="309" t="str">
        <f t="shared" ref="I2671:I2695" si="2886">IF(C2671="T8",F2671*G2671,"")</f>
        <v/>
      </c>
      <c r="J2671" s="309" t="str">
        <f t="shared" ref="J2671:J2695" si="2887">IF(C2671="T10",F2671*G2671,"")</f>
        <v/>
      </c>
      <c r="K2671" s="309" t="str">
        <f t="shared" ref="K2671:K2695" si="2888">IF(C2671="T12",F2671*G2671,"")</f>
        <v/>
      </c>
      <c r="L2671" s="308" t="str">
        <f t="shared" ref="L2671:L2695" si="2889">IF(C2671="T14",F2671*G2671,"")</f>
        <v/>
      </c>
      <c r="M2671" s="308" t="str">
        <f t="shared" ref="M2671:M2695" si="2890">IF(C2671="T16",G2671*F2671,"")</f>
        <v/>
      </c>
      <c r="N2671" s="309" t="str">
        <f t="shared" ref="N2671:N2695" si="2891">IF(C2671="T20",G2671*F2671,"")</f>
        <v/>
      </c>
    </row>
    <row r="2672" spans="1:14">
      <c r="A2672" s="290" t="s">
        <v>1493</v>
      </c>
      <c r="B2672" s="291"/>
      <c r="C2672" s="291" t="s">
        <v>1492</v>
      </c>
      <c r="D2672" s="292">
        <v>6</v>
      </c>
      <c r="E2672" s="292">
        <v>8</v>
      </c>
      <c r="F2672" s="293">
        <f>E2672*D2672</f>
        <v>48</v>
      </c>
      <c r="G2672" s="295">
        <f>3.5+(52*0.014)</f>
        <v>4.2300000000000004</v>
      </c>
      <c r="H2672" s="310" t="str">
        <f t="shared" si="2885"/>
        <v/>
      </c>
      <c r="I2672" s="311" t="str">
        <f t="shared" si="2886"/>
        <v/>
      </c>
      <c r="J2672" s="311" t="str">
        <f t="shared" si="2887"/>
        <v/>
      </c>
      <c r="K2672" s="311" t="str">
        <f t="shared" si="2888"/>
        <v/>
      </c>
      <c r="L2672" s="310">
        <f t="shared" si="2889"/>
        <v>203.04</v>
      </c>
      <c r="M2672" s="310" t="str">
        <f t="shared" si="2890"/>
        <v/>
      </c>
      <c r="N2672" s="311" t="str">
        <f t="shared" si="2891"/>
        <v/>
      </c>
    </row>
    <row r="2673" spans="1:14">
      <c r="A2673" s="290" t="s">
        <v>1494</v>
      </c>
      <c r="B2673" s="291"/>
      <c r="C2673" s="291" t="s">
        <v>1496</v>
      </c>
      <c r="D2673" s="292">
        <v>6</v>
      </c>
      <c r="E2673" s="293">
        <f>((1.68/0.06)+(1.82/0.12))</f>
        <v>43</v>
      </c>
      <c r="F2673" s="293">
        <f t="shared" ref="F2673:F2674" si="2892">E2673*D2673</f>
        <v>258</v>
      </c>
      <c r="G2673" s="295">
        <f>(0.2+0.3)*2+17*0.008*2</f>
        <v>1.27</v>
      </c>
      <c r="H2673" s="310" t="str">
        <f t="shared" si="2885"/>
        <v/>
      </c>
      <c r="I2673" s="311">
        <f t="shared" si="2886"/>
        <v>327.66000000000003</v>
      </c>
      <c r="J2673" s="311" t="str">
        <f t="shared" si="2887"/>
        <v/>
      </c>
      <c r="K2673" s="311" t="str">
        <f t="shared" si="2888"/>
        <v/>
      </c>
      <c r="L2673" s="310" t="str">
        <f t="shared" si="2889"/>
        <v/>
      </c>
      <c r="M2673" s="310" t="str">
        <f t="shared" si="2890"/>
        <v/>
      </c>
      <c r="N2673" s="311" t="str">
        <f t="shared" si="2891"/>
        <v/>
      </c>
    </row>
    <row r="2674" spans="1:14">
      <c r="A2674" s="290" t="s">
        <v>1495</v>
      </c>
      <c r="B2674" s="291"/>
      <c r="C2674" s="291" t="s">
        <v>1496</v>
      </c>
      <c r="D2674" s="292">
        <v>6</v>
      </c>
      <c r="E2674" s="293">
        <f>((1.68/0.06)+(1.82/0.12))*2</f>
        <v>86</v>
      </c>
      <c r="F2674" s="293">
        <f t="shared" si="2892"/>
        <v>516</v>
      </c>
      <c r="G2674" s="295">
        <f>(0.2*2)+17*0.008*2</f>
        <v>0.67</v>
      </c>
      <c r="H2674" s="310" t="str">
        <f t="shared" si="2885"/>
        <v/>
      </c>
      <c r="I2674" s="311">
        <f t="shared" si="2886"/>
        <v>345.72</v>
      </c>
      <c r="J2674" s="311" t="str">
        <f t="shared" si="2887"/>
        <v/>
      </c>
      <c r="K2674" s="311" t="str">
        <f t="shared" si="2888"/>
        <v/>
      </c>
      <c r="L2674" s="310" t="str">
        <f t="shared" si="2889"/>
        <v/>
      </c>
      <c r="M2674" s="310" t="str">
        <f t="shared" si="2890"/>
        <v/>
      </c>
      <c r="N2674" s="311" t="str">
        <f t="shared" si="2891"/>
        <v/>
      </c>
    </row>
    <row r="2675" spans="1:14">
      <c r="A2675" s="270"/>
      <c r="B2675" s="269"/>
      <c r="C2675" s="271"/>
      <c r="D2675" s="271"/>
      <c r="E2675" s="272"/>
      <c r="F2675" s="272"/>
      <c r="G2675" s="278"/>
      <c r="H2675" s="308" t="str">
        <f t="shared" si="2885"/>
        <v/>
      </c>
      <c r="I2675" s="309" t="str">
        <f t="shared" si="2886"/>
        <v/>
      </c>
      <c r="J2675" s="309" t="str">
        <f t="shared" si="2887"/>
        <v/>
      </c>
      <c r="K2675" s="309" t="str">
        <f t="shared" si="2888"/>
        <v/>
      </c>
      <c r="L2675" s="308" t="str">
        <f t="shared" si="2889"/>
        <v/>
      </c>
      <c r="M2675" s="308" t="str">
        <f t="shared" si="2890"/>
        <v/>
      </c>
      <c r="N2675" s="309" t="str">
        <f t="shared" si="2891"/>
        <v/>
      </c>
    </row>
    <row r="2676" spans="1:14" ht="18.75" customHeight="1">
      <c r="A2676" s="296" t="s">
        <v>1502</v>
      </c>
      <c r="B2676" s="269"/>
      <c r="C2676" s="271"/>
      <c r="D2676" s="271"/>
      <c r="E2676" s="275"/>
      <c r="F2676" s="275"/>
      <c r="G2676" s="276"/>
      <c r="H2676" s="308" t="str">
        <f t="shared" si="2885"/>
        <v/>
      </c>
      <c r="I2676" s="309" t="str">
        <f t="shared" si="2886"/>
        <v/>
      </c>
      <c r="J2676" s="309" t="str">
        <f t="shared" si="2887"/>
        <v/>
      </c>
      <c r="K2676" s="309" t="str">
        <f t="shared" si="2888"/>
        <v/>
      </c>
      <c r="L2676" s="308" t="str">
        <f t="shared" si="2889"/>
        <v/>
      </c>
      <c r="M2676" s="308" t="str">
        <f t="shared" si="2890"/>
        <v/>
      </c>
      <c r="N2676" s="309" t="str">
        <f t="shared" si="2891"/>
        <v/>
      </c>
    </row>
    <row r="2677" spans="1:14" s="294" customFormat="1">
      <c r="A2677" s="290" t="s">
        <v>1493</v>
      </c>
      <c r="B2677" s="291"/>
      <c r="C2677" s="291" t="s">
        <v>1492</v>
      </c>
      <c r="D2677" s="292">
        <v>10</v>
      </c>
      <c r="E2677" s="292">
        <v>8</v>
      </c>
      <c r="F2677" s="293">
        <f>E2677*D2677</f>
        <v>80</v>
      </c>
      <c r="G2677" s="295">
        <f>3.5+(52*0.014)</f>
        <v>4.2300000000000004</v>
      </c>
      <c r="H2677" s="310" t="str">
        <f t="shared" si="2885"/>
        <v/>
      </c>
      <c r="I2677" s="311" t="str">
        <f t="shared" si="2886"/>
        <v/>
      </c>
      <c r="J2677" s="311" t="str">
        <f t="shared" si="2887"/>
        <v/>
      </c>
      <c r="K2677" s="311" t="str">
        <f t="shared" si="2888"/>
        <v/>
      </c>
      <c r="L2677" s="310">
        <f t="shared" si="2889"/>
        <v>338.4</v>
      </c>
      <c r="M2677" s="310" t="str">
        <f t="shared" si="2890"/>
        <v/>
      </c>
      <c r="N2677" s="311" t="str">
        <f t="shared" si="2891"/>
        <v/>
      </c>
    </row>
    <row r="2678" spans="1:14" s="294" customFormat="1">
      <c r="A2678" s="290" t="s">
        <v>1494</v>
      </c>
      <c r="B2678" s="291"/>
      <c r="C2678" s="291" t="s">
        <v>1496</v>
      </c>
      <c r="D2678" s="292">
        <v>10</v>
      </c>
      <c r="E2678" s="293">
        <f>((1.68/0.06)+(1.82/0.12))</f>
        <v>43</v>
      </c>
      <c r="F2678" s="293">
        <f t="shared" ref="F2678:F2679" si="2893">E2678*D2678</f>
        <v>430</v>
      </c>
      <c r="G2678" s="295">
        <f>((0.2+0.3)*2)+17*0.008*2</f>
        <v>1.27</v>
      </c>
      <c r="H2678" s="310" t="str">
        <f t="shared" si="2885"/>
        <v/>
      </c>
      <c r="I2678" s="311">
        <f t="shared" si="2886"/>
        <v>546.1</v>
      </c>
      <c r="J2678" s="311" t="str">
        <f t="shared" si="2887"/>
        <v/>
      </c>
      <c r="K2678" s="311" t="str">
        <f t="shared" si="2888"/>
        <v/>
      </c>
      <c r="L2678" s="310" t="str">
        <f t="shared" si="2889"/>
        <v/>
      </c>
      <c r="M2678" s="310" t="str">
        <f t="shared" si="2890"/>
        <v/>
      </c>
      <c r="N2678" s="311" t="str">
        <f t="shared" si="2891"/>
        <v/>
      </c>
    </row>
    <row r="2679" spans="1:14" s="294" customFormat="1">
      <c r="A2679" s="290" t="s">
        <v>1495</v>
      </c>
      <c r="B2679" s="291"/>
      <c r="C2679" s="291" t="s">
        <v>1496</v>
      </c>
      <c r="D2679" s="292">
        <v>10</v>
      </c>
      <c r="E2679" s="293">
        <f>((1.68/0.06)+(1.82/0.12))*2</f>
        <v>86</v>
      </c>
      <c r="F2679" s="293">
        <f t="shared" si="2893"/>
        <v>860</v>
      </c>
      <c r="G2679" s="295">
        <f>(0.2*2)+17*0.008*2</f>
        <v>0.67</v>
      </c>
      <c r="H2679" s="310" t="str">
        <f t="shared" si="2885"/>
        <v/>
      </c>
      <c r="I2679" s="311">
        <f t="shared" si="2886"/>
        <v>576.20000000000005</v>
      </c>
      <c r="J2679" s="311" t="str">
        <f t="shared" si="2887"/>
        <v/>
      </c>
      <c r="K2679" s="311" t="str">
        <f t="shared" si="2888"/>
        <v/>
      </c>
      <c r="L2679" s="310" t="str">
        <f t="shared" si="2889"/>
        <v/>
      </c>
      <c r="M2679" s="310" t="str">
        <f t="shared" si="2890"/>
        <v/>
      </c>
      <c r="N2679" s="311" t="str">
        <f t="shared" si="2891"/>
        <v/>
      </c>
    </row>
    <row r="2680" spans="1:14">
      <c r="A2680" s="270"/>
      <c r="B2680" s="269"/>
      <c r="C2680" s="271"/>
      <c r="D2680" s="271"/>
      <c r="E2680" s="272"/>
      <c r="F2680" s="272"/>
      <c r="G2680" s="278"/>
      <c r="H2680" s="308" t="str">
        <f t="shared" si="2885"/>
        <v/>
      </c>
      <c r="I2680" s="309" t="str">
        <f t="shared" si="2886"/>
        <v/>
      </c>
      <c r="J2680" s="309" t="str">
        <f t="shared" si="2887"/>
        <v/>
      </c>
      <c r="K2680" s="309" t="str">
        <f t="shared" si="2888"/>
        <v/>
      </c>
      <c r="L2680" s="308" t="str">
        <f t="shared" si="2889"/>
        <v/>
      </c>
      <c r="M2680" s="308" t="str">
        <f t="shared" si="2890"/>
        <v/>
      </c>
      <c r="N2680" s="309" t="str">
        <f t="shared" si="2891"/>
        <v/>
      </c>
    </row>
    <row r="2681" spans="1:14">
      <c r="A2681" s="296" t="s">
        <v>1504</v>
      </c>
      <c r="B2681" s="269"/>
      <c r="C2681" s="271"/>
      <c r="D2681" s="271"/>
      <c r="E2681" s="275"/>
      <c r="F2681" s="275"/>
      <c r="G2681" s="276"/>
      <c r="H2681" s="308" t="str">
        <f t="shared" si="2885"/>
        <v/>
      </c>
      <c r="I2681" s="309" t="str">
        <f t="shared" si="2886"/>
        <v/>
      </c>
      <c r="J2681" s="309" t="str">
        <f t="shared" si="2887"/>
        <v/>
      </c>
      <c r="K2681" s="309" t="str">
        <f t="shared" si="2888"/>
        <v/>
      </c>
      <c r="L2681" s="308" t="str">
        <f t="shared" si="2889"/>
        <v/>
      </c>
      <c r="M2681" s="308" t="str">
        <f t="shared" si="2890"/>
        <v/>
      </c>
      <c r="N2681" s="309" t="str">
        <f t="shared" si="2891"/>
        <v/>
      </c>
    </row>
    <row r="2682" spans="1:14">
      <c r="A2682" s="290" t="s">
        <v>1493</v>
      </c>
      <c r="B2682" s="291"/>
      <c r="C2682" s="291" t="s">
        <v>1492</v>
      </c>
      <c r="D2682" s="292">
        <v>3</v>
      </c>
      <c r="E2682" s="292">
        <v>10</v>
      </c>
      <c r="F2682" s="293">
        <f>E2682*D2682</f>
        <v>30</v>
      </c>
      <c r="G2682" s="295">
        <f>3.5+(52*0.014)</f>
        <v>4.2300000000000004</v>
      </c>
      <c r="H2682" s="310" t="str">
        <f t="shared" si="2885"/>
        <v/>
      </c>
      <c r="I2682" s="311" t="str">
        <f t="shared" si="2886"/>
        <v/>
      </c>
      <c r="J2682" s="311" t="str">
        <f t="shared" si="2887"/>
        <v/>
      </c>
      <c r="K2682" s="311" t="str">
        <f t="shared" si="2888"/>
        <v/>
      </c>
      <c r="L2682" s="310">
        <f t="shared" si="2889"/>
        <v>126.9</v>
      </c>
      <c r="M2682" s="310" t="str">
        <f t="shared" si="2890"/>
        <v/>
      </c>
      <c r="N2682" s="311" t="str">
        <f t="shared" si="2891"/>
        <v/>
      </c>
    </row>
    <row r="2683" spans="1:14">
      <c r="A2683" s="290" t="s">
        <v>1494</v>
      </c>
      <c r="B2683" s="291"/>
      <c r="C2683" s="291" t="s">
        <v>1496</v>
      </c>
      <c r="D2683" s="292">
        <v>3</v>
      </c>
      <c r="E2683" s="293">
        <f>((1.68/0.06)+(1.82/0.12))</f>
        <v>43</v>
      </c>
      <c r="F2683" s="293">
        <f t="shared" ref="F2683:F2684" si="2894">E2683*D2683</f>
        <v>129</v>
      </c>
      <c r="G2683" s="295">
        <f>(0.2+0.4)*2+17*0.008*2</f>
        <v>1.47</v>
      </c>
      <c r="H2683" s="310" t="str">
        <f t="shared" si="2885"/>
        <v/>
      </c>
      <c r="I2683" s="311">
        <f t="shared" si="2886"/>
        <v>189.63</v>
      </c>
      <c r="J2683" s="311" t="str">
        <f t="shared" si="2887"/>
        <v/>
      </c>
      <c r="K2683" s="311" t="str">
        <f t="shared" si="2888"/>
        <v/>
      </c>
      <c r="L2683" s="310" t="str">
        <f t="shared" si="2889"/>
        <v/>
      </c>
      <c r="M2683" s="310" t="str">
        <f t="shared" si="2890"/>
        <v/>
      </c>
      <c r="N2683" s="311" t="str">
        <f t="shared" si="2891"/>
        <v/>
      </c>
    </row>
    <row r="2684" spans="1:14">
      <c r="A2684" s="290" t="s">
        <v>1495</v>
      </c>
      <c r="B2684" s="291"/>
      <c r="C2684" s="291" t="s">
        <v>1496</v>
      </c>
      <c r="D2684" s="292">
        <v>3</v>
      </c>
      <c r="E2684" s="293">
        <f>((1.68/0.06)+(1.82/0.12))*3</f>
        <v>130</v>
      </c>
      <c r="F2684" s="293">
        <f t="shared" si="2894"/>
        <v>390</v>
      </c>
      <c r="G2684" s="295">
        <f>(0.2*2)+17*0.008*2</f>
        <v>0.67</v>
      </c>
      <c r="H2684" s="310" t="str">
        <f t="shared" si="2885"/>
        <v/>
      </c>
      <c r="I2684" s="311">
        <f t="shared" si="2886"/>
        <v>261.3</v>
      </c>
      <c r="J2684" s="311" t="str">
        <f t="shared" si="2887"/>
        <v/>
      </c>
      <c r="K2684" s="311" t="str">
        <f t="shared" si="2888"/>
        <v/>
      </c>
      <c r="L2684" s="310" t="str">
        <f t="shared" si="2889"/>
        <v/>
      </c>
      <c r="M2684" s="310" t="str">
        <f t="shared" si="2890"/>
        <v/>
      </c>
      <c r="N2684" s="311" t="str">
        <f t="shared" si="2891"/>
        <v/>
      </c>
    </row>
    <row r="2685" spans="1:14">
      <c r="A2685" s="279"/>
      <c r="B2685" s="288"/>
      <c r="C2685" s="280"/>
      <c r="D2685" s="280"/>
      <c r="E2685" s="287"/>
      <c r="F2685" s="287"/>
      <c r="G2685" s="283"/>
      <c r="H2685" s="308" t="str">
        <f t="shared" si="2885"/>
        <v/>
      </c>
      <c r="I2685" s="309" t="str">
        <f t="shared" si="2886"/>
        <v/>
      </c>
      <c r="J2685" s="309" t="str">
        <f t="shared" si="2887"/>
        <v/>
      </c>
      <c r="K2685" s="309" t="str">
        <f t="shared" si="2888"/>
        <v/>
      </c>
      <c r="L2685" s="308" t="str">
        <f t="shared" si="2889"/>
        <v/>
      </c>
      <c r="M2685" s="308" t="str">
        <f t="shared" si="2890"/>
        <v/>
      </c>
      <c r="N2685" s="309" t="str">
        <f t="shared" si="2891"/>
        <v/>
      </c>
    </row>
    <row r="2686" spans="1:14">
      <c r="A2686" s="296" t="s">
        <v>1509</v>
      </c>
      <c r="B2686" s="269"/>
      <c r="C2686" s="271"/>
      <c r="D2686" s="271"/>
      <c r="E2686" s="275"/>
      <c r="F2686" s="275"/>
      <c r="G2686" s="276"/>
      <c r="H2686" s="308" t="str">
        <f t="shared" si="2885"/>
        <v/>
      </c>
      <c r="I2686" s="309" t="str">
        <f t="shared" si="2886"/>
        <v/>
      </c>
      <c r="J2686" s="309" t="str">
        <f t="shared" si="2887"/>
        <v/>
      </c>
      <c r="K2686" s="309" t="str">
        <f t="shared" si="2888"/>
        <v/>
      </c>
      <c r="L2686" s="308" t="str">
        <f t="shared" si="2889"/>
        <v/>
      </c>
      <c r="M2686" s="308" t="str">
        <f t="shared" si="2890"/>
        <v/>
      </c>
      <c r="N2686" s="309" t="str">
        <f t="shared" si="2891"/>
        <v/>
      </c>
    </row>
    <row r="2687" spans="1:14">
      <c r="A2687" s="290" t="s">
        <v>1493</v>
      </c>
      <c r="B2687" s="291"/>
      <c r="C2687" s="291" t="s">
        <v>1492</v>
      </c>
      <c r="D2687" s="292">
        <v>1</v>
      </c>
      <c r="E2687" s="292">
        <v>18</v>
      </c>
      <c r="F2687" s="293">
        <f>E2687*D2687</f>
        <v>18</v>
      </c>
      <c r="G2687" s="295">
        <f>3.5+(52*0.014)</f>
        <v>4.2300000000000004</v>
      </c>
      <c r="H2687" s="310" t="str">
        <f t="shared" si="2885"/>
        <v/>
      </c>
      <c r="I2687" s="311" t="str">
        <f t="shared" si="2886"/>
        <v/>
      </c>
      <c r="J2687" s="311" t="str">
        <f t="shared" si="2887"/>
        <v/>
      </c>
      <c r="K2687" s="311" t="str">
        <f t="shared" si="2888"/>
        <v/>
      </c>
      <c r="L2687" s="310">
        <f t="shared" si="2889"/>
        <v>76.14</v>
      </c>
      <c r="M2687" s="310" t="str">
        <f t="shared" si="2890"/>
        <v/>
      </c>
      <c r="N2687" s="311" t="str">
        <f t="shared" si="2891"/>
        <v/>
      </c>
    </row>
    <row r="2688" spans="1:14">
      <c r="A2688" s="290" t="s">
        <v>1494</v>
      </c>
      <c r="B2688" s="291"/>
      <c r="C2688" s="291" t="s">
        <v>1496</v>
      </c>
      <c r="D2688" s="292">
        <v>1</v>
      </c>
      <c r="E2688" s="293">
        <f>((1.68/0.06)+(1.82/0.12))</f>
        <v>43</v>
      </c>
      <c r="F2688" s="293">
        <f t="shared" ref="F2688:F2689" si="2895">E2688*D2688</f>
        <v>43</v>
      </c>
      <c r="G2688" s="295">
        <f>(0.2+0.45)*2+17*0.008*2</f>
        <v>1.57</v>
      </c>
      <c r="H2688" s="310" t="str">
        <f t="shared" si="2885"/>
        <v/>
      </c>
      <c r="I2688" s="311">
        <f t="shared" si="2886"/>
        <v>67.510000000000005</v>
      </c>
      <c r="J2688" s="311" t="str">
        <f t="shared" si="2887"/>
        <v/>
      </c>
      <c r="K2688" s="311" t="str">
        <f t="shared" si="2888"/>
        <v/>
      </c>
      <c r="L2688" s="310" t="str">
        <f t="shared" si="2889"/>
        <v/>
      </c>
      <c r="M2688" s="310" t="str">
        <f t="shared" si="2890"/>
        <v/>
      </c>
      <c r="N2688" s="311" t="str">
        <f t="shared" si="2891"/>
        <v/>
      </c>
    </row>
    <row r="2689" spans="1:14">
      <c r="A2689" s="290" t="s">
        <v>1495</v>
      </c>
      <c r="B2689" s="291"/>
      <c r="C2689" s="291" t="s">
        <v>1496</v>
      </c>
      <c r="D2689" s="292">
        <v>1</v>
      </c>
      <c r="E2689" s="293">
        <f>((1.68/0.06)+(1.82/0.12))*7</f>
        <v>302</v>
      </c>
      <c r="F2689" s="293">
        <f t="shared" si="2895"/>
        <v>302</v>
      </c>
      <c r="G2689" s="295">
        <f>(0.2*2)+17*0.008*2</f>
        <v>0.67</v>
      </c>
      <c r="H2689" s="310" t="str">
        <f t="shared" si="2885"/>
        <v/>
      </c>
      <c r="I2689" s="311">
        <f t="shared" si="2886"/>
        <v>202.34</v>
      </c>
      <c r="J2689" s="311" t="str">
        <f t="shared" si="2887"/>
        <v/>
      </c>
      <c r="K2689" s="311" t="str">
        <f t="shared" si="2888"/>
        <v/>
      </c>
      <c r="L2689" s="310" t="str">
        <f t="shared" si="2889"/>
        <v/>
      </c>
      <c r="M2689" s="310" t="str">
        <f t="shared" si="2890"/>
        <v/>
      </c>
      <c r="N2689" s="311" t="str">
        <f t="shared" si="2891"/>
        <v/>
      </c>
    </row>
    <row r="2690" spans="1:14">
      <c r="A2690" s="270"/>
      <c r="B2690" s="269"/>
      <c r="C2690" s="271"/>
      <c r="D2690" s="271"/>
      <c r="E2690" s="272"/>
      <c r="F2690" s="272"/>
      <c r="G2690" s="278"/>
      <c r="H2690" s="308" t="str">
        <f t="shared" si="2885"/>
        <v/>
      </c>
      <c r="I2690" s="309" t="str">
        <f t="shared" si="2886"/>
        <v/>
      </c>
      <c r="J2690" s="309" t="str">
        <f t="shared" si="2887"/>
        <v/>
      </c>
      <c r="K2690" s="309" t="str">
        <f t="shared" si="2888"/>
        <v/>
      </c>
      <c r="L2690" s="308" t="str">
        <f t="shared" si="2889"/>
        <v/>
      </c>
      <c r="M2690" s="308" t="str">
        <f t="shared" si="2890"/>
        <v/>
      </c>
      <c r="N2690" s="309" t="str">
        <f t="shared" si="2891"/>
        <v/>
      </c>
    </row>
    <row r="2691" spans="1:14">
      <c r="A2691" s="296" t="s">
        <v>1503</v>
      </c>
      <c r="B2691" s="269"/>
      <c r="C2691" s="271"/>
      <c r="D2691" s="271"/>
      <c r="E2691" s="275"/>
      <c r="F2691" s="275"/>
      <c r="G2691" s="276"/>
      <c r="H2691" s="308" t="str">
        <f t="shared" si="2885"/>
        <v/>
      </c>
      <c r="I2691" s="309" t="str">
        <f t="shared" si="2886"/>
        <v/>
      </c>
      <c r="J2691" s="309" t="str">
        <f t="shared" si="2887"/>
        <v/>
      </c>
      <c r="K2691" s="309" t="str">
        <f t="shared" si="2888"/>
        <v/>
      </c>
      <c r="L2691" s="308" t="str">
        <f t="shared" si="2889"/>
        <v/>
      </c>
      <c r="M2691" s="308" t="str">
        <f t="shared" si="2890"/>
        <v/>
      </c>
      <c r="N2691" s="309" t="str">
        <f t="shared" si="2891"/>
        <v/>
      </c>
    </row>
    <row r="2692" spans="1:14">
      <c r="A2692" s="290" t="s">
        <v>1493</v>
      </c>
      <c r="B2692" s="291"/>
      <c r="C2692" s="291" t="s">
        <v>1492</v>
      </c>
      <c r="D2692" s="292">
        <v>5</v>
      </c>
      <c r="E2692" s="292">
        <v>20</v>
      </c>
      <c r="F2692" s="293">
        <f>E2692*D2692</f>
        <v>100</v>
      </c>
      <c r="G2692" s="295">
        <f>3.5+(52*0.014)</f>
        <v>4.2300000000000004</v>
      </c>
      <c r="H2692" s="310" t="str">
        <f t="shared" si="2885"/>
        <v/>
      </c>
      <c r="I2692" s="311" t="str">
        <f t="shared" si="2886"/>
        <v/>
      </c>
      <c r="J2692" s="311" t="str">
        <f t="shared" si="2887"/>
        <v/>
      </c>
      <c r="K2692" s="311" t="str">
        <f t="shared" si="2888"/>
        <v/>
      </c>
      <c r="L2692" s="310">
        <f t="shared" si="2889"/>
        <v>423</v>
      </c>
      <c r="M2692" s="310" t="str">
        <f t="shared" si="2890"/>
        <v/>
      </c>
      <c r="N2692" s="311" t="str">
        <f t="shared" si="2891"/>
        <v/>
      </c>
    </row>
    <row r="2693" spans="1:14">
      <c r="A2693" s="290" t="s">
        <v>1494</v>
      </c>
      <c r="B2693" s="291"/>
      <c r="C2693" s="291" t="s">
        <v>1496</v>
      </c>
      <c r="D2693" s="292">
        <v>5</v>
      </c>
      <c r="E2693" s="293">
        <f>((1.68/0.06)+(1.82/0.12))</f>
        <v>43</v>
      </c>
      <c r="F2693" s="293">
        <f t="shared" ref="F2693:F2695" si="2896">E2693*D2693</f>
        <v>215</v>
      </c>
      <c r="G2693" s="295">
        <f>(0.2+0.45)*2+17*0.008*2</f>
        <v>1.57</v>
      </c>
      <c r="H2693" s="310" t="str">
        <f t="shared" si="2885"/>
        <v/>
      </c>
      <c r="I2693" s="311">
        <f t="shared" si="2886"/>
        <v>337.55</v>
      </c>
      <c r="J2693" s="311" t="str">
        <f t="shared" si="2887"/>
        <v/>
      </c>
      <c r="K2693" s="311" t="str">
        <f t="shared" si="2888"/>
        <v/>
      </c>
      <c r="L2693" s="310" t="str">
        <f t="shared" si="2889"/>
        <v/>
      </c>
      <c r="M2693" s="310" t="str">
        <f t="shared" si="2890"/>
        <v/>
      </c>
      <c r="N2693" s="311" t="str">
        <f t="shared" si="2891"/>
        <v/>
      </c>
    </row>
    <row r="2694" spans="1:14">
      <c r="A2694" s="290" t="s">
        <v>1499</v>
      </c>
      <c r="B2694" s="291"/>
      <c r="C2694" s="291" t="s">
        <v>1496</v>
      </c>
      <c r="D2694" s="292">
        <v>5</v>
      </c>
      <c r="E2694" s="293">
        <f>((1.68/0.06)+(1.82/0.12))*7</f>
        <v>302</v>
      </c>
      <c r="F2694" s="293">
        <f t="shared" si="2896"/>
        <v>1510</v>
      </c>
      <c r="G2694" s="295">
        <f>(0.2*2)+17*0.008*2</f>
        <v>0.67</v>
      </c>
      <c r="H2694" s="310" t="str">
        <f t="shared" si="2885"/>
        <v/>
      </c>
      <c r="I2694" s="311">
        <f t="shared" si="2886"/>
        <v>1011.7</v>
      </c>
      <c r="J2694" s="311" t="str">
        <f t="shared" si="2887"/>
        <v/>
      </c>
      <c r="K2694" s="311" t="str">
        <f t="shared" si="2888"/>
        <v/>
      </c>
      <c r="L2694" s="310" t="str">
        <f t="shared" si="2889"/>
        <v/>
      </c>
      <c r="M2694" s="310" t="str">
        <f t="shared" si="2890"/>
        <v/>
      </c>
      <c r="N2694" s="311" t="str">
        <f t="shared" si="2891"/>
        <v/>
      </c>
    </row>
    <row r="2695" spans="1:14">
      <c r="A2695" s="290" t="s">
        <v>1500</v>
      </c>
      <c r="B2695" s="291"/>
      <c r="C2695" s="291" t="s">
        <v>1496</v>
      </c>
      <c r="D2695" s="292">
        <v>5</v>
      </c>
      <c r="E2695" s="293">
        <f>((1.68/0.06)+(1.82/0.12))</f>
        <v>43</v>
      </c>
      <c r="F2695" s="293">
        <f t="shared" si="2896"/>
        <v>215</v>
      </c>
      <c r="G2695" s="295">
        <f>(0.45*2)+17*0.008*2</f>
        <v>1.17</v>
      </c>
      <c r="H2695" s="310" t="str">
        <f t="shared" si="2885"/>
        <v/>
      </c>
      <c r="I2695" s="311">
        <f t="shared" si="2886"/>
        <v>251.55</v>
      </c>
      <c r="J2695" s="311" t="str">
        <f t="shared" si="2887"/>
        <v/>
      </c>
      <c r="K2695" s="311" t="str">
        <f t="shared" si="2888"/>
        <v/>
      </c>
      <c r="L2695" s="310" t="str">
        <f t="shared" si="2889"/>
        <v/>
      </c>
      <c r="M2695" s="310" t="str">
        <f t="shared" si="2890"/>
        <v/>
      </c>
      <c r="N2695" s="311" t="str">
        <f t="shared" si="2891"/>
        <v/>
      </c>
    </row>
    <row r="2696" spans="1:14">
      <c r="A2696" s="270"/>
      <c r="B2696" s="269"/>
      <c r="C2696" s="271"/>
      <c r="D2696" s="271"/>
      <c r="E2696" s="272"/>
      <c r="F2696" s="272"/>
      <c r="G2696" s="271"/>
      <c r="H2696" s="308" t="str">
        <f t="shared" ref="H2696:H2702" si="2897">IF(C2696="T6",G2696*F2696,"")</f>
        <v/>
      </c>
      <c r="I2696" s="309" t="str">
        <f t="shared" ref="I2696:I2702" si="2898">IF(C2696="T8",F2696*G2696,"")</f>
        <v/>
      </c>
      <c r="J2696" s="309" t="str">
        <f t="shared" ref="J2696:J2702" si="2899">IF(C2696="T10",F2696*G2696,"")</f>
        <v/>
      </c>
      <c r="K2696" s="309" t="str">
        <f t="shared" ref="K2696:K2702" si="2900">IF(C2696="T12",F2696*G2696,"")</f>
        <v/>
      </c>
      <c r="L2696" s="308" t="str">
        <f t="shared" ref="L2696:L2702" si="2901">IF(C2696="T14",F2696*G2696,"")</f>
        <v/>
      </c>
      <c r="M2696" s="308" t="str">
        <f t="shared" ref="M2696:M2702" si="2902">IF(C2696="T16",G2696*F2696,"")</f>
        <v/>
      </c>
      <c r="N2696" s="309" t="str">
        <f t="shared" ref="N2696:N2702" si="2903">IF(C2696="T20",G2696*F2696,"")</f>
        <v/>
      </c>
    </row>
    <row r="2697" spans="1:14">
      <c r="A2697" s="296" t="s">
        <v>1513</v>
      </c>
      <c r="B2697" s="269"/>
      <c r="C2697" s="271"/>
      <c r="D2697" s="271"/>
      <c r="E2697" s="275"/>
      <c r="F2697" s="275"/>
      <c r="G2697" s="276"/>
      <c r="H2697" s="308" t="str">
        <f t="shared" si="2897"/>
        <v/>
      </c>
      <c r="I2697" s="309" t="str">
        <f t="shared" si="2898"/>
        <v/>
      </c>
      <c r="J2697" s="309" t="str">
        <f t="shared" si="2899"/>
        <v/>
      </c>
      <c r="K2697" s="309" t="str">
        <f t="shared" si="2900"/>
        <v/>
      </c>
      <c r="L2697" s="308" t="str">
        <f t="shared" si="2901"/>
        <v/>
      </c>
      <c r="M2697" s="308" t="str">
        <f t="shared" si="2902"/>
        <v/>
      </c>
      <c r="N2697" s="309" t="str">
        <f t="shared" si="2903"/>
        <v/>
      </c>
    </row>
    <row r="2698" spans="1:14">
      <c r="A2698" s="290" t="s">
        <v>1493</v>
      </c>
      <c r="B2698" s="291"/>
      <c r="C2698" s="291" t="s">
        <v>1492</v>
      </c>
      <c r="D2698" s="292">
        <v>6</v>
      </c>
      <c r="E2698" s="292">
        <v>12</v>
      </c>
      <c r="F2698" s="293">
        <f>E2698*D2698</f>
        <v>72</v>
      </c>
      <c r="G2698" s="295">
        <f>3.5+(52*0.014)</f>
        <v>4.2300000000000004</v>
      </c>
      <c r="H2698" s="310" t="str">
        <f t="shared" si="2897"/>
        <v/>
      </c>
      <c r="I2698" s="311" t="str">
        <f t="shared" si="2898"/>
        <v/>
      </c>
      <c r="J2698" s="311" t="str">
        <f t="shared" si="2899"/>
        <v/>
      </c>
      <c r="K2698" s="311" t="str">
        <f t="shared" si="2900"/>
        <v/>
      </c>
      <c r="L2698" s="310">
        <f t="shared" si="2901"/>
        <v>304.56</v>
      </c>
      <c r="M2698" s="310" t="str">
        <f t="shared" si="2902"/>
        <v/>
      </c>
      <c r="N2698" s="311" t="str">
        <f t="shared" si="2903"/>
        <v/>
      </c>
    </row>
    <row r="2699" spans="1:14">
      <c r="A2699" s="290" t="s">
        <v>1494</v>
      </c>
      <c r="B2699" s="291"/>
      <c r="C2699" s="291" t="s">
        <v>1496</v>
      </c>
      <c r="D2699" s="292">
        <v>6</v>
      </c>
      <c r="E2699" s="293">
        <f>((1.68/0.06)+(1.82/0.12))</f>
        <v>43</v>
      </c>
      <c r="F2699" s="293">
        <f t="shared" ref="F2699:F2701" si="2904">E2699*D2699</f>
        <v>258</v>
      </c>
      <c r="G2699" s="295">
        <f>(0.25+0.4)*2+17*0.008*2</f>
        <v>1.57</v>
      </c>
      <c r="H2699" s="310" t="str">
        <f t="shared" si="2897"/>
        <v/>
      </c>
      <c r="I2699" s="311">
        <f t="shared" si="2898"/>
        <v>405.06</v>
      </c>
      <c r="J2699" s="311" t="str">
        <f t="shared" si="2899"/>
        <v/>
      </c>
      <c r="K2699" s="311" t="str">
        <f t="shared" si="2900"/>
        <v/>
      </c>
      <c r="L2699" s="310" t="str">
        <f t="shared" si="2901"/>
        <v/>
      </c>
      <c r="M2699" s="310" t="str">
        <f t="shared" si="2902"/>
        <v/>
      </c>
      <c r="N2699" s="311" t="str">
        <f t="shared" si="2903"/>
        <v/>
      </c>
    </row>
    <row r="2700" spans="1:14">
      <c r="A2700" s="290" t="s">
        <v>1499</v>
      </c>
      <c r="B2700" s="291"/>
      <c r="C2700" s="291" t="s">
        <v>1496</v>
      </c>
      <c r="D2700" s="292">
        <v>6</v>
      </c>
      <c r="E2700" s="293">
        <f>((1.68/0.06)+(1.82/0.12))*3</f>
        <v>130</v>
      </c>
      <c r="F2700" s="293">
        <f t="shared" si="2904"/>
        <v>780</v>
      </c>
      <c r="G2700" s="295">
        <f>(0.25*2)+17*0.008*2</f>
        <v>0.77</v>
      </c>
      <c r="H2700" s="310" t="str">
        <f t="shared" si="2897"/>
        <v/>
      </c>
      <c r="I2700" s="311">
        <f t="shared" si="2898"/>
        <v>600.6</v>
      </c>
      <c r="J2700" s="311" t="str">
        <f t="shared" si="2899"/>
        <v/>
      </c>
      <c r="K2700" s="311" t="str">
        <f t="shared" si="2900"/>
        <v/>
      </c>
      <c r="L2700" s="310" t="str">
        <f t="shared" si="2901"/>
        <v/>
      </c>
      <c r="M2700" s="310" t="str">
        <f t="shared" si="2902"/>
        <v/>
      </c>
      <c r="N2700" s="311" t="str">
        <f t="shared" si="2903"/>
        <v/>
      </c>
    </row>
    <row r="2701" spans="1:14">
      <c r="A2701" s="290" t="s">
        <v>1500</v>
      </c>
      <c r="B2701" s="291"/>
      <c r="C2701" s="291" t="s">
        <v>1496</v>
      </c>
      <c r="D2701" s="292">
        <v>6</v>
      </c>
      <c r="E2701" s="293">
        <f>((1.68/0.06)+(1.82/0.12))</f>
        <v>43</v>
      </c>
      <c r="F2701" s="293">
        <f t="shared" si="2904"/>
        <v>258</v>
      </c>
      <c r="G2701" s="295">
        <f>(0.4*2)+17*0.008*2</f>
        <v>1.07</v>
      </c>
      <c r="H2701" s="310" t="str">
        <f t="shared" si="2897"/>
        <v/>
      </c>
      <c r="I2701" s="311">
        <f t="shared" si="2898"/>
        <v>276.06</v>
      </c>
      <c r="J2701" s="311" t="str">
        <f t="shared" si="2899"/>
        <v/>
      </c>
      <c r="K2701" s="311" t="str">
        <f t="shared" si="2900"/>
        <v/>
      </c>
      <c r="L2701" s="310" t="str">
        <f t="shared" si="2901"/>
        <v/>
      </c>
      <c r="M2701" s="310" t="str">
        <f t="shared" si="2902"/>
        <v/>
      </c>
      <c r="N2701" s="311" t="str">
        <f t="shared" si="2903"/>
        <v/>
      </c>
    </row>
    <row r="2702" spans="1:14">
      <c r="A2702" s="270"/>
      <c r="B2702" s="269"/>
      <c r="C2702" s="271"/>
      <c r="D2702" s="271"/>
      <c r="E2702" s="272"/>
      <c r="F2702" s="272"/>
      <c r="G2702" s="271"/>
      <c r="H2702" s="308" t="str">
        <f t="shared" si="2897"/>
        <v/>
      </c>
      <c r="I2702" s="309" t="str">
        <f t="shared" si="2898"/>
        <v/>
      </c>
      <c r="J2702" s="309" t="str">
        <f t="shared" si="2899"/>
        <v/>
      </c>
      <c r="K2702" s="309" t="str">
        <f t="shared" si="2900"/>
        <v/>
      </c>
      <c r="L2702" s="308" t="str">
        <f t="shared" si="2901"/>
        <v/>
      </c>
      <c r="M2702" s="308" t="str">
        <f t="shared" si="2902"/>
        <v/>
      </c>
      <c r="N2702" s="309" t="str">
        <f t="shared" si="2903"/>
        <v/>
      </c>
    </row>
    <row r="2703" spans="1:14" s="262" customFormat="1" ht="16.5" thickBot="1">
      <c r="A2703" s="279"/>
      <c r="B2703" s="288"/>
      <c r="C2703" s="280"/>
      <c r="D2703" s="280"/>
      <c r="E2703" s="287"/>
      <c r="F2703" s="287"/>
      <c r="G2703" s="289"/>
      <c r="H2703" s="314" t="str">
        <f t="shared" ref="H2703" si="2905">IF(C2703="T6",G2703*F2703,"")</f>
        <v/>
      </c>
      <c r="I2703" s="315" t="str">
        <f t="shared" ref="I2703" si="2906">IF(C2703="T8",F2703*G2703,"")</f>
        <v/>
      </c>
      <c r="J2703" s="315" t="str">
        <f t="shared" ref="J2703" si="2907">IF(C2703="T10",F2703*G2703,"")</f>
        <v/>
      </c>
      <c r="K2703" s="315" t="str">
        <f t="shared" ref="K2703" si="2908">IF(C2703="T12",F2703*G2703,"")</f>
        <v/>
      </c>
      <c r="L2703" s="314" t="str">
        <f t="shared" ref="L2703" si="2909">IF(C2703="T14",F2703*G2703,"")</f>
        <v/>
      </c>
      <c r="M2703" s="314" t="str">
        <f t="shared" ref="M2703" si="2910">IF(C2703="T16",G2703*F2703,"")</f>
        <v/>
      </c>
      <c r="N2703" s="315" t="str">
        <f t="shared" ref="N2703" si="2911">IF(C2703="T20",G2703*F2703,"")</f>
        <v/>
      </c>
    </row>
    <row r="2704" spans="1:14" ht="15" customHeight="1" thickBot="1">
      <c r="A2704" s="651" t="s">
        <v>1366</v>
      </c>
      <c r="B2704" s="652"/>
      <c r="C2704" s="642" t="s">
        <v>1367</v>
      </c>
      <c r="D2704" s="643"/>
      <c r="E2704" s="643"/>
      <c r="F2704" s="643"/>
      <c r="G2704" s="644"/>
      <c r="H2704" s="316">
        <f t="shared" ref="H2704:N2704" si="2912">SUM(H10:H2703)</f>
        <v>0</v>
      </c>
      <c r="I2704" s="316">
        <f t="shared" si="2912"/>
        <v>53810.79</v>
      </c>
      <c r="J2704" s="316">
        <f t="shared" si="2912"/>
        <v>4356.16</v>
      </c>
      <c r="K2704" s="316">
        <f t="shared" si="2912"/>
        <v>4927.6499999999996</v>
      </c>
      <c r="L2704" s="316">
        <f t="shared" si="2912"/>
        <v>13119.43</v>
      </c>
      <c r="M2704" s="316">
        <f t="shared" si="2912"/>
        <v>3248.67</v>
      </c>
      <c r="N2704" s="317">
        <f t="shared" si="2912"/>
        <v>555.17999999999995</v>
      </c>
    </row>
    <row r="2705" spans="1:16" ht="15" customHeight="1" thickBot="1">
      <c r="A2705" s="653"/>
      <c r="B2705" s="654"/>
      <c r="C2705" s="642" t="s">
        <v>1368</v>
      </c>
      <c r="D2705" s="643"/>
      <c r="E2705" s="643"/>
      <c r="F2705" s="643"/>
      <c r="G2705" s="644"/>
      <c r="H2705" s="318">
        <v>0.222</v>
      </c>
      <c r="I2705" s="319">
        <v>0.39500000000000002</v>
      </c>
      <c r="J2705" s="318">
        <v>0.61699999999999999</v>
      </c>
      <c r="K2705" s="318">
        <v>0.88800000000000001</v>
      </c>
      <c r="L2705" s="319">
        <v>1.208</v>
      </c>
      <c r="M2705" s="318">
        <v>1.5780000000000001</v>
      </c>
      <c r="N2705" s="320">
        <v>2.4660000000000002</v>
      </c>
    </row>
    <row r="2706" spans="1:16" ht="15" customHeight="1" thickBot="1">
      <c r="A2706" s="653"/>
      <c r="B2706" s="654"/>
      <c r="C2706" s="642" t="s">
        <v>1369</v>
      </c>
      <c r="D2706" s="643"/>
      <c r="E2706" s="643"/>
      <c r="F2706" s="643"/>
      <c r="G2706" s="644"/>
      <c r="H2706" s="321">
        <f t="shared" ref="H2706:N2706" si="2913">H2705*H2704</f>
        <v>0</v>
      </c>
      <c r="I2706" s="321">
        <f t="shared" si="2913"/>
        <v>21255.26</v>
      </c>
      <c r="J2706" s="321">
        <f t="shared" si="2913"/>
        <v>2687.75</v>
      </c>
      <c r="K2706" s="321">
        <f t="shared" si="2913"/>
        <v>4375.75</v>
      </c>
      <c r="L2706" s="321">
        <f>L2705*L2704</f>
        <v>15848.27</v>
      </c>
      <c r="M2706" s="321">
        <f t="shared" si="2913"/>
        <v>5126.3999999999996</v>
      </c>
      <c r="N2706" s="322">
        <f t="shared" si="2913"/>
        <v>1369.07</v>
      </c>
    </row>
    <row r="2707" spans="1:16" ht="21.75" customHeight="1" thickBot="1">
      <c r="A2707" s="653"/>
      <c r="B2707" s="654"/>
      <c r="C2707" s="645" t="s">
        <v>1370</v>
      </c>
      <c r="D2707" s="646"/>
      <c r="E2707" s="646"/>
      <c r="F2707" s="646"/>
      <c r="G2707" s="647"/>
      <c r="H2707" s="648">
        <f>SUM(H2706:N2706)</f>
        <v>50662.5</v>
      </c>
      <c r="I2707" s="649"/>
      <c r="J2707" s="649"/>
      <c r="K2707" s="649"/>
      <c r="L2707" s="649"/>
      <c r="M2707" s="649"/>
      <c r="N2707" s="650"/>
      <c r="P2707" s="250"/>
    </row>
    <row r="2708" spans="1:16" ht="21" customHeight="1">
      <c r="A2708" s="653"/>
      <c r="B2708" s="654"/>
      <c r="C2708" s="655" t="s">
        <v>1371</v>
      </c>
      <c r="D2708" s="656"/>
      <c r="E2708" s="656"/>
      <c r="F2708" s="656"/>
      <c r="G2708" s="657"/>
      <c r="H2708" s="658" t="s">
        <v>1679</v>
      </c>
      <c r="I2708" s="659"/>
      <c r="J2708" s="659"/>
      <c r="K2708" s="659"/>
      <c r="L2708" s="659"/>
      <c r="M2708" s="659"/>
      <c r="N2708" s="660"/>
    </row>
    <row r="2709" spans="1:16">
      <c r="A2709" s="263"/>
      <c r="B2709" s="263"/>
      <c r="C2709" s="263"/>
      <c r="D2709" s="263"/>
      <c r="E2709" s="264"/>
      <c r="F2709" s="264"/>
      <c r="G2709" s="263"/>
      <c r="H2709" s="323"/>
      <c r="I2709" s="323"/>
      <c r="J2709" s="323"/>
      <c r="K2709" s="323"/>
      <c r="L2709" s="323"/>
      <c r="M2709" s="323"/>
      <c r="N2709" s="323"/>
      <c r="P2709" s="250"/>
    </row>
    <row r="2710" spans="1:16">
      <c r="A2710" s="263"/>
      <c r="B2710" s="263"/>
      <c r="C2710" s="263"/>
      <c r="D2710" s="263"/>
      <c r="E2710" s="264"/>
      <c r="F2710" s="264"/>
      <c r="G2710" s="263"/>
      <c r="H2710" s="323"/>
      <c r="I2710" s="323"/>
      <c r="J2710" s="323"/>
      <c r="K2710" s="323"/>
      <c r="L2710" s="323"/>
      <c r="M2710" s="323"/>
      <c r="N2710" s="323"/>
    </row>
    <row r="2711" spans="1:16">
      <c r="A2711" s="263"/>
      <c r="B2711" s="263"/>
      <c r="C2711" s="263"/>
      <c r="D2711" s="263"/>
      <c r="E2711" s="264"/>
      <c r="F2711" s="264"/>
      <c r="G2711" s="263"/>
      <c r="H2711" s="323"/>
      <c r="I2711" s="323"/>
      <c r="J2711" s="323"/>
      <c r="K2711" s="323"/>
      <c r="L2711" s="323"/>
      <c r="M2711" s="323"/>
      <c r="N2711" s="323"/>
    </row>
    <row r="2712" spans="1:16">
      <c r="A2712" s="263"/>
      <c r="B2712" s="263"/>
      <c r="C2712" s="263"/>
      <c r="D2712" s="263"/>
      <c r="E2712" s="264"/>
      <c r="F2712" s="264"/>
      <c r="G2712" s="263"/>
      <c r="H2712" s="323"/>
      <c r="I2712" s="323"/>
      <c r="J2712" s="323"/>
      <c r="K2712" s="323"/>
      <c r="L2712" s="323"/>
      <c r="M2712" s="323"/>
      <c r="N2712" s="323"/>
    </row>
    <row r="2713" spans="1:16">
      <c r="A2713" s="263"/>
      <c r="B2713" s="263"/>
      <c r="C2713" s="263"/>
      <c r="D2713" s="263"/>
      <c r="E2713" s="264"/>
      <c r="F2713" s="264"/>
      <c r="G2713" s="263"/>
      <c r="H2713" s="323"/>
      <c r="I2713" s="323"/>
      <c r="J2713" s="323"/>
      <c r="K2713" s="323"/>
      <c r="L2713" s="323"/>
      <c r="M2713" s="323"/>
      <c r="N2713" s="323"/>
    </row>
    <row r="2714" spans="1:16">
      <c r="A2714" s="263"/>
      <c r="B2714" s="263"/>
      <c r="C2714" s="263"/>
      <c r="D2714" s="263"/>
      <c r="E2714" s="264"/>
      <c r="F2714" s="264"/>
      <c r="G2714" s="263"/>
      <c r="H2714" s="323"/>
      <c r="I2714" s="323"/>
      <c r="J2714" s="323"/>
      <c r="K2714" s="323"/>
      <c r="L2714" s="323"/>
      <c r="M2714" s="323"/>
      <c r="N2714" s="323"/>
    </row>
    <row r="2715" spans="1:16">
      <c r="A2715" s="263"/>
      <c r="B2715" s="263"/>
      <c r="C2715" s="263"/>
      <c r="D2715" s="263"/>
      <c r="E2715" s="264"/>
      <c r="F2715" s="264"/>
      <c r="G2715" s="263"/>
      <c r="H2715" s="323"/>
      <c r="I2715" s="323"/>
      <c r="J2715" s="323"/>
      <c r="K2715" s="323"/>
      <c r="L2715" s="323"/>
      <c r="M2715" s="323"/>
      <c r="N2715" s="323"/>
    </row>
    <row r="2716" spans="1:16">
      <c r="A2716" s="263"/>
      <c r="B2716" s="263"/>
      <c r="C2716" s="263"/>
      <c r="D2716" s="263"/>
      <c r="E2716" s="264"/>
      <c r="F2716" s="264"/>
      <c r="G2716" s="263"/>
      <c r="H2716" s="323"/>
      <c r="I2716" s="323"/>
      <c r="J2716" s="323"/>
      <c r="K2716" s="323"/>
      <c r="L2716" s="323"/>
      <c r="M2716" s="323"/>
      <c r="N2716" s="323"/>
    </row>
    <row r="2717" spans="1:16">
      <c r="A2717" s="263"/>
      <c r="B2717" s="263"/>
      <c r="C2717" s="263"/>
      <c r="D2717" s="263"/>
      <c r="E2717" s="264"/>
      <c r="F2717" s="264"/>
      <c r="G2717" s="263"/>
      <c r="H2717" s="323"/>
      <c r="I2717" s="323"/>
      <c r="J2717" s="323"/>
      <c r="K2717" s="323"/>
      <c r="L2717" s="323"/>
      <c r="M2717" s="323"/>
      <c r="N2717" s="323"/>
    </row>
    <row r="2718" spans="1:16">
      <c r="A2718" s="263"/>
      <c r="B2718" s="263"/>
      <c r="C2718" s="263"/>
      <c r="D2718" s="263"/>
      <c r="E2718" s="264"/>
      <c r="F2718" s="264"/>
      <c r="G2718" s="263"/>
      <c r="H2718" s="323"/>
      <c r="I2718" s="323"/>
      <c r="J2718" s="323"/>
      <c r="K2718" s="323"/>
      <c r="L2718" s="323"/>
      <c r="M2718" s="323"/>
      <c r="N2718" s="323"/>
    </row>
    <row r="2719" spans="1:16">
      <c r="A2719" s="263"/>
      <c r="B2719" s="263"/>
      <c r="C2719" s="263"/>
      <c r="D2719" s="263"/>
      <c r="E2719" s="264"/>
      <c r="F2719" s="264"/>
      <c r="G2719" s="263"/>
      <c r="H2719" s="323"/>
      <c r="I2719" s="323"/>
      <c r="J2719" s="323"/>
      <c r="K2719" s="323"/>
      <c r="L2719" s="323"/>
      <c r="M2719" s="323"/>
      <c r="N2719" s="323"/>
    </row>
    <row r="2720" spans="1:16">
      <c r="A2720" s="263"/>
      <c r="B2720" s="263"/>
      <c r="C2720" s="263"/>
      <c r="D2720" s="263"/>
      <c r="E2720" s="264"/>
      <c r="F2720" s="264"/>
      <c r="G2720" s="263"/>
      <c r="H2720" s="323"/>
      <c r="I2720" s="323"/>
      <c r="J2720" s="323"/>
      <c r="K2720" s="323"/>
      <c r="L2720" s="323"/>
      <c r="M2720" s="323"/>
      <c r="N2720" s="323"/>
    </row>
    <row r="2721" spans="1:14">
      <c r="A2721" s="263"/>
      <c r="B2721" s="263"/>
      <c r="C2721" s="263"/>
      <c r="D2721" s="263"/>
      <c r="E2721" s="264"/>
      <c r="F2721" s="264"/>
      <c r="G2721" s="263"/>
      <c r="H2721" s="323"/>
      <c r="I2721" s="323"/>
      <c r="J2721" s="323"/>
      <c r="K2721" s="323"/>
      <c r="L2721" s="323"/>
      <c r="M2721" s="323"/>
      <c r="N2721" s="323"/>
    </row>
    <row r="2722" spans="1:14">
      <c r="A2722" s="263"/>
      <c r="B2722" s="263"/>
      <c r="C2722" s="263"/>
      <c r="D2722" s="263"/>
      <c r="E2722" s="264"/>
      <c r="F2722" s="264"/>
      <c r="G2722" s="263"/>
      <c r="H2722" s="323"/>
      <c r="I2722" s="323"/>
      <c r="J2722" s="323"/>
      <c r="K2722" s="323"/>
      <c r="L2722" s="323"/>
      <c r="M2722" s="323"/>
      <c r="N2722" s="323"/>
    </row>
    <row r="2723" spans="1:14">
      <c r="A2723" s="263"/>
      <c r="B2723" s="263"/>
      <c r="C2723" s="263"/>
      <c r="D2723" s="263"/>
      <c r="E2723" s="264"/>
      <c r="F2723" s="264"/>
      <c r="G2723" s="263"/>
      <c r="H2723" s="323"/>
      <c r="I2723" s="323"/>
      <c r="J2723" s="323"/>
      <c r="K2723" s="323"/>
      <c r="L2723" s="323"/>
      <c r="M2723" s="323"/>
      <c r="N2723" s="323"/>
    </row>
    <row r="2724" spans="1:14">
      <c r="A2724" s="263"/>
      <c r="B2724" s="263"/>
      <c r="C2724" s="263"/>
      <c r="D2724" s="263"/>
      <c r="E2724" s="264"/>
      <c r="F2724" s="264"/>
      <c r="G2724" s="263"/>
      <c r="H2724" s="323"/>
      <c r="I2724" s="323"/>
      <c r="J2724" s="323"/>
      <c r="K2724" s="323"/>
      <c r="L2724" s="323"/>
      <c r="M2724" s="323"/>
      <c r="N2724" s="323"/>
    </row>
    <row r="2725" spans="1:14">
      <c r="A2725" s="263"/>
      <c r="B2725" s="263"/>
      <c r="C2725" s="263"/>
      <c r="D2725" s="263"/>
      <c r="E2725" s="264"/>
      <c r="F2725" s="264"/>
      <c r="G2725" s="263"/>
      <c r="H2725" s="323"/>
      <c r="I2725" s="323"/>
      <c r="J2725" s="323"/>
      <c r="K2725" s="323"/>
      <c r="L2725" s="323"/>
      <c r="M2725" s="323"/>
      <c r="N2725" s="323"/>
    </row>
    <row r="2726" spans="1:14">
      <c r="A2726" s="263"/>
      <c r="B2726" s="263"/>
      <c r="C2726" s="263"/>
      <c r="D2726" s="263"/>
      <c r="E2726" s="264"/>
      <c r="F2726" s="264"/>
      <c r="G2726" s="263"/>
      <c r="H2726" s="323"/>
      <c r="I2726" s="323"/>
      <c r="J2726" s="323"/>
      <c r="K2726" s="323"/>
      <c r="L2726" s="323"/>
      <c r="M2726" s="323"/>
      <c r="N2726" s="323"/>
    </row>
    <row r="2727" spans="1:14">
      <c r="A2727" s="263"/>
      <c r="B2727" s="263"/>
      <c r="C2727" s="263"/>
      <c r="D2727" s="263"/>
      <c r="E2727" s="264"/>
      <c r="F2727" s="264"/>
      <c r="G2727" s="263"/>
      <c r="H2727" s="323"/>
      <c r="I2727" s="323"/>
      <c r="J2727" s="323"/>
      <c r="K2727" s="323"/>
      <c r="L2727" s="323"/>
      <c r="M2727" s="323"/>
      <c r="N2727" s="323"/>
    </row>
    <row r="2728" spans="1:14">
      <c r="A2728" s="263"/>
      <c r="B2728" s="263"/>
      <c r="C2728" s="263"/>
      <c r="D2728" s="263"/>
      <c r="E2728" s="264"/>
      <c r="F2728" s="264"/>
      <c r="G2728" s="263"/>
      <c r="H2728" s="323"/>
      <c r="I2728" s="323"/>
      <c r="J2728" s="323"/>
      <c r="K2728" s="323"/>
      <c r="L2728" s="323"/>
      <c r="M2728" s="323"/>
      <c r="N2728" s="323"/>
    </row>
    <row r="2729" spans="1:14">
      <c r="A2729" s="263"/>
      <c r="B2729" s="263"/>
      <c r="C2729" s="263"/>
      <c r="D2729" s="263"/>
      <c r="E2729" s="264"/>
      <c r="F2729" s="264"/>
      <c r="G2729" s="263"/>
      <c r="H2729" s="323"/>
      <c r="I2729" s="323"/>
      <c r="J2729" s="323"/>
      <c r="K2729" s="323"/>
      <c r="L2729" s="323"/>
      <c r="M2729" s="323"/>
      <c r="N2729" s="323"/>
    </row>
    <row r="2730" spans="1:14">
      <c r="A2730" s="263"/>
      <c r="B2730" s="263"/>
      <c r="C2730" s="263"/>
      <c r="D2730" s="263"/>
      <c r="E2730" s="264"/>
      <c r="F2730" s="264"/>
      <c r="G2730" s="263"/>
      <c r="H2730" s="323"/>
      <c r="I2730" s="323"/>
      <c r="J2730" s="323"/>
      <c r="K2730" s="323"/>
      <c r="L2730" s="323"/>
      <c r="M2730" s="323"/>
      <c r="N2730" s="323"/>
    </row>
    <row r="2731" spans="1:14">
      <c r="A2731" s="263"/>
      <c r="B2731" s="263"/>
      <c r="C2731" s="263"/>
      <c r="D2731" s="263"/>
      <c r="E2731" s="264"/>
      <c r="F2731" s="264"/>
      <c r="G2731" s="263"/>
      <c r="H2731" s="323"/>
      <c r="I2731" s="323"/>
      <c r="J2731" s="323"/>
      <c r="K2731" s="323"/>
      <c r="L2731" s="323"/>
      <c r="M2731" s="323"/>
      <c r="N2731" s="323"/>
    </row>
    <row r="2732" spans="1:14">
      <c r="A2732" s="263"/>
      <c r="B2732" s="263"/>
      <c r="C2732" s="263"/>
      <c r="D2732" s="263"/>
      <c r="E2732" s="264"/>
      <c r="F2732" s="264"/>
      <c r="G2732" s="263"/>
      <c r="H2732" s="323"/>
      <c r="I2732" s="323"/>
      <c r="J2732" s="323"/>
      <c r="K2732" s="323"/>
      <c r="L2732" s="323"/>
      <c r="M2732" s="323"/>
      <c r="N2732" s="323"/>
    </row>
    <row r="2733" spans="1:14">
      <c r="A2733" s="263"/>
      <c r="B2733" s="263"/>
      <c r="C2733" s="263"/>
      <c r="D2733" s="263"/>
      <c r="E2733" s="264"/>
      <c r="F2733" s="264"/>
      <c r="G2733" s="263"/>
      <c r="H2733" s="323"/>
      <c r="I2733" s="323"/>
      <c r="J2733" s="323"/>
      <c r="K2733" s="323"/>
      <c r="L2733" s="323"/>
      <c r="M2733" s="323"/>
      <c r="N2733" s="323"/>
    </row>
    <row r="2734" spans="1:14">
      <c r="A2734" s="263"/>
      <c r="B2734" s="263"/>
      <c r="C2734" s="263"/>
      <c r="D2734" s="263"/>
      <c r="E2734" s="264"/>
      <c r="F2734" s="264"/>
      <c r="G2734" s="263"/>
      <c r="H2734" s="323"/>
      <c r="I2734" s="323"/>
      <c r="J2734" s="323"/>
      <c r="K2734" s="323"/>
      <c r="L2734" s="323"/>
      <c r="M2734" s="323"/>
      <c r="N2734" s="323"/>
    </row>
    <row r="2735" spans="1:14">
      <c r="A2735" s="263"/>
      <c r="B2735" s="263"/>
      <c r="C2735" s="263"/>
      <c r="D2735" s="263"/>
      <c r="E2735" s="264"/>
      <c r="F2735" s="264"/>
      <c r="G2735" s="263"/>
      <c r="H2735" s="323"/>
      <c r="I2735" s="323"/>
      <c r="J2735" s="323"/>
      <c r="K2735" s="323"/>
      <c r="L2735" s="323"/>
      <c r="M2735" s="323"/>
      <c r="N2735" s="323"/>
    </row>
    <row r="2736" spans="1:14">
      <c r="A2736" s="263"/>
      <c r="B2736" s="263"/>
      <c r="C2736" s="263"/>
      <c r="D2736" s="263"/>
      <c r="E2736" s="264"/>
      <c r="F2736" s="264"/>
      <c r="G2736" s="263"/>
      <c r="H2736" s="323"/>
      <c r="I2736" s="323"/>
      <c r="J2736" s="323"/>
      <c r="K2736" s="323"/>
      <c r="L2736" s="323"/>
      <c r="M2736" s="323"/>
      <c r="N2736" s="323"/>
    </row>
    <row r="2737" spans="1:14">
      <c r="A2737" s="263"/>
      <c r="B2737" s="263"/>
      <c r="C2737" s="263"/>
      <c r="D2737" s="263"/>
      <c r="E2737" s="264"/>
      <c r="F2737" s="264"/>
      <c r="G2737" s="263"/>
      <c r="H2737" s="323"/>
      <c r="I2737" s="323"/>
      <c r="J2737" s="323"/>
      <c r="K2737" s="323"/>
      <c r="L2737" s="323"/>
      <c r="M2737" s="323"/>
      <c r="N2737" s="323"/>
    </row>
    <row r="2738" spans="1:14">
      <c r="A2738" s="263"/>
      <c r="B2738" s="263"/>
      <c r="C2738" s="263"/>
      <c r="D2738" s="263"/>
      <c r="E2738" s="264"/>
      <c r="F2738" s="264"/>
      <c r="G2738" s="263"/>
      <c r="H2738" s="323"/>
      <c r="I2738" s="323"/>
      <c r="J2738" s="323"/>
      <c r="K2738" s="323"/>
      <c r="L2738" s="323"/>
      <c r="M2738" s="323"/>
      <c r="N2738" s="323"/>
    </row>
    <row r="2739" spans="1:14">
      <c r="A2739" s="263"/>
      <c r="B2739" s="263"/>
      <c r="C2739" s="263"/>
      <c r="D2739" s="263"/>
      <c r="E2739" s="264"/>
      <c r="F2739" s="264"/>
      <c r="G2739" s="263"/>
      <c r="H2739" s="323"/>
      <c r="I2739" s="323"/>
      <c r="J2739" s="323"/>
      <c r="K2739" s="323"/>
      <c r="L2739" s="323"/>
      <c r="M2739" s="323"/>
      <c r="N2739" s="323"/>
    </row>
    <row r="2740" spans="1:14">
      <c r="A2740" s="263"/>
      <c r="B2740" s="263"/>
      <c r="C2740" s="263"/>
      <c r="D2740" s="263"/>
      <c r="E2740" s="264"/>
      <c r="F2740" s="264"/>
      <c r="G2740" s="263"/>
      <c r="H2740" s="323"/>
      <c r="I2740" s="323"/>
      <c r="J2740" s="323"/>
      <c r="K2740" s="323"/>
      <c r="L2740" s="323"/>
      <c r="M2740" s="323"/>
      <c r="N2740" s="323"/>
    </row>
    <row r="2741" spans="1:14">
      <c r="A2741" s="263"/>
      <c r="B2741" s="263"/>
      <c r="C2741" s="263"/>
      <c r="D2741" s="263"/>
      <c r="E2741" s="264"/>
      <c r="F2741" s="264"/>
      <c r="G2741" s="263"/>
      <c r="H2741" s="323"/>
      <c r="I2741" s="323"/>
      <c r="J2741" s="323"/>
      <c r="K2741" s="323"/>
      <c r="L2741" s="323"/>
      <c r="M2741" s="323"/>
      <c r="N2741" s="323"/>
    </row>
    <row r="2742" spans="1:14">
      <c r="A2742" s="263"/>
      <c r="B2742" s="263"/>
      <c r="C2742" s="263"/>
      <c r="D2742" s="263"/>
      <c r="E2742" s="264"/>
      <c r="F2742" s="264"/>
      <c r="G2742" s="263"/>
      <c r="H2742" s="323"/>
      <c r="I2742" s="323"/>
      <c r="J2742" s="323"/>
      <c r="K2742" s="323"/>
      <c r="L2742" s="323"/>
      <c r="M2742" s="323"/>
      <c r="N2742" s="323"/>
    </row>
    <row r="2743" spans="1:14">
      <c r="A2743" s="263"/>
      <c r="B2743" s="263"/>
      <c r="C2743" s="263"/>
      <c r="D2743" s="263"/>
      <c r="E2743" s="264"/>
      <c r="F2743" s="264"/>
      <c r="G2743" s="263"/>
      <c r="H2743" s="323"/>
      <c r="I2743" s="323"/>
      <c r="J2743" s="323"/>
      <c r="K2743" s="323"/>
      <c r="L2743" s="323"/>
      <c r="M2743" s="323"/>
      <c r="N2743" s="323"/>
    </row>
    <row r="2744" spans="1:14">
      <c r="A2744" s="263"/>
      <c r="B2744" s="263"/>
      <c r="C2744" s="263"/>
      <c r="D2744" s="263"/>
      <c r="E2744" s="264"/>
      <c r="F2744" s="264"/>
      <c r="G2744" s="263"/>
      <c r="H2744" s="323"/>
      <c r="I2744" s="323"/>
      <c r="J2744" s="323"/>
      <c r="K2744" s="323"/>
      <c r="L2744" s="323"/>
      <c r="M2744" s="323"/>
      <c r="N2744" s="323"/>
    </row>
    <row r="2745" spans="1:14">
      <c r="A2745" s="263"/>
      <c r="B2745" s="263"/>
      <c r="C2745" s="263"/>
      <c r="D2745" s="263"/>
      <c r="E2745" s="264"/>
      <c r="F2745" s="264"/>
      <c r="G2745" s="263"/>
      <c r="H2745" s="323"/>
      <c r="I2745" s="323"/>
      <c r="J2745" s="323"/>
      <c r="K2745" s="323"/>
      <c r="L2745" s="323"/>
      <c r="M2745" s="323"/>
      <c r="N2745" s="323"/>
    </row>
    <row r="2746" spans="1:14">
      <c r="A2746" s="263"/>
      <c r="B2746" s="263"/>
      <c r="C2746" s="263"/>
      <c r="D2746" s="263"/>
      <c r="E2746" s="264"/>
      <c r="F2746" s="264"/>
      <c r="G2746" s="263"/>
      <c r="H2746" s="323"/>
      <c r="I2746" s="323"/>
      <c r="J2746" s="323"/>
      <c r="K2746" s="323"/>
      <c r="L2746" s="323"/>
      <c r="M2746" s="323"/>
      <c r="N2746" s="323"/>
    </row>
    <row r="2747" spans="1:14">
      <c r="A2747" s="263"/>
      <c r="B2747" s="263"/>
      <c r="C2747" s="263"/>
      <c r="D2747" s="263"/>
      <c r="E2747" s="264"/>
      <c r="F2747" s="264"/>
      <c r="G2747" s="263"/>
      <c r="H2747" s="323"/>
      <c r="I2747" s="323"/>
      <c r="J2747" s="323"/>
      <c r="K2747" s="323"/>
      <c r="L2747" s="323"/>
      <c r="M2747" s="323"/>
      <c r="N2747" s="323"/>
    </row>
    <row r="2748" spans="1:14">
      <c r="A2748" s="263"/>
      <c r="B2748" s="263"/>
      <c r="C2748" s="263"/>
      <c r="D2748" s="263"/>
      <c r="E2748" s="264"/>
      <c r="F2748" s="264"/>
      <c r="G2748" s="263"/>
      <c r="H2748" s="323"/>
      <c r="I2748" s="323"/>
      <c r="J2748" s="323"/>
      <c r="K2748" s="323"/>
      <c r="L2748" s="323"/>
      <c r="M2748" s="323"/>
      <c r="N2748" s="323"/>
    </row>
    <row r="2749" spans="1:14">
      <c r="A2749" s="263"/>
      <c r="B2749" s="263"/>
      <c r="C2749" s="263"/>
      <c r="D2749" s="263"/>
      <c r="E2749" s="264"/>
      <c r="F2749" s="264"/>
      <c r="G2749" s="263"/>
      <c r="H2749" s="323"/>
      <c r="I2749" s="323"/>
      <c r="J2749" s="323"/>
      <c r="K2749" s="323"/>
      <c r="L2749" s="323"/>
      <c r="M2749" s="323"/>
      <c r="N2749" s="323"/>
    </row>
    <row r="2750" spans="1:14">
      <c r="A2750" s="263"/>
      <c r="B2750" s="263"/>
      <c r="C2750" s="263"/>
      <c r="D2750" s="263"/>
      <c r="E2750" s="264"/>
      <c r="F2750" s="264"/>
      <c r="G2750" s="263"/>
      <c r="H2750" s="323"/>
      <c r="I2750" s="323"/>
      <c r="J2750" s="323"/>
      <c r="K2750" s="323"/>
      <c r="L2750" s="323"/>
      <c r="M2750" s="323"/>
      <c r="N2750" s="323"/>
    </row>
    <row r="2751" spans="1:14">
      <c r="A2751" s="263"/>
      <c r="B2751" s="263"/>
      <c r="C2751" s="263"/>
      <c r="D2751" s="263"/>
      <c r="E2751" s="264"/>
      <c r="F2751" s="264"/>
      <c r="G2751" s="263"/>
      <c r="H2751" s="323"/>
      <c r="I2751" s="323"/>
      <c r="J2751" s="323"/>
      <c r="K2751" s="323"/>
      <c r="L2751" s="323"/>
      <c r="M2751" s="323"/>
      <c r="N2751" s="323"/>
    </row>
    <row r="2752" spans="1:14">
      <c r="A2752" s="263"/>
      <c r="B2752" s="263"/>
      <c r="C2752" s="263"/>
      <c r="D2752" s="263"/>
      <c r="E2752" s="264"/>
      <c r="F2752" s="264"/>
      <c r="G2752" s="263"/>
      <c r="H2752" s="323"/>
      <c r="I2752" s="323"/>
      <c r="J2752" s="323"/>
      <c r="K2752" s="323"/>
      <c r="L2752" s="323"/>
      <c r="M2752" s="323"/>
      <c r="N2752" s="323"/>
    </row>
    <row r="2753" spans="1:14">
      <c r="A2753" s="263"/>
      <c r="B2753" s="263"/>
      <c r="C2753" s="263"/>
      <c r="D2753" s="263"/>
      <c r="E2753" s="264"/>
      <c r="F2753" s="264"/>
      <c r="G2753" s="263"/>
      <c r="H2753" s="323"/>
      <c r="I2753" s="323"/>
      <c r="J2753" s="323"/>
      <c r="K2753" s="323"/>
      <c r="L2753" s="323"/>
      <c r="M2753" s="323"/>
      <c r="N2753" s="323"/>
    </row>
    <row r="2754" spans="1:14">
      <c r="A2754" s="263"/>
      <c r="B2754" s="263"/>
      <c r="C2754" s="263"/>
      <c r="D2754" s="263"/>
      <c r="E2754" s="264"/>
      <c r="F2754" s="264"/>
      <c r="G2754" s="263"/>
      <c r="H2754" s="323"/>
      <c r="I2754" s="323"/>
      <c r="J2754" s="323"/>
      <c r="K2754" s="323"/>
      <c r="L2754" s="323"/>
      <c r="M2754" s="323"/>
      <c r="N2754" s="323"/>
    </row>
    <row r="2755" spans="1:14">
      <c r="A2755" s="263"/>
      <c r="B2755" s="263"/>
      <c r="C2755" s="263"/>
      <c r="D2755" s="263"/>
      <c r="E2755" s="264"/>
      <c r="F2755" s="264"/>
      <c r="G2755" s="263"/>
      <c r="H2755" s="323"/>
      <c r="I2755" s="323"/>
      <c r="J2755" s="323"/>
      <c r="K2755" s="323"/>
      <c r="L2755" s="323"/>
      <c r="M2755" s="323"/>
      <c r="N2755" s="323"/>
    </row>
    <row r="2756" spans="1:14">
      <c r="A2756" s="263"/>
      <c r="B2756" s="263"/>
      <c r="C2756" s="263"/>
      <c r="D2756" s="263"/>
      <c r="E2756" s="264"/>
      <c r="F2756" s="264"/>
      <c r="G2756" s="263"/>
      <c r="H2756" s="323"/>
      <c r="I2756" s="323"/>
      <c r="J2756" s="323"/>
      <c r="K2756" s="323"/>
      <c r="L2756" s="323"/>
      <c r="M2756" s="323"/>
      <c r="N2756" s="323"/>
    </row>
    <row r="2757" spans="1:14">
      <c r="A2757" s="263"/>
      <c r="B2757" s="263"/>
      <c r="C2757" s="263"/>
      <c r="D2757" s="263"/>
      <c r="E2757" s="264"/>
      <c r="F2757" s="264"/>
      <c r="G2757" s="263"/>
      <c r="H2757" s="323"/>
      <c r="I2757" s="323"/>
      <c r="J2757" s="323"/>
      <c r="K2757" s="323"/>
      <c r="L2757" s="323"/>
      <c r="M2757" s="323"/>
      <c r="N2757" s="323"/>
    </row>
    <row r="2758" spans="1:14">
      <c r="A2758" s="263"/>
      <c r="B2758" s="263"/>
      <c r="C2758" s="263"/>
      <c r="D2758" s="263"/>
      <c r="E2758" s="264"/>
      <c r="F2758" s="264"/>
      <c r="G2758" s="263"/>
      <c r="H2758" s="323"/>
      <c r="I2758" s="323"/>
      <c r="J2758" s="323"/>
      <c r="K2758" s="323"/>
      <c r="L2758" s="323"/>
      <c r="M2758" s="323"/>
      <c r="N2758" s="323"/>
    </row>
    <row r="2759" spans="1:14">
      <c r="A2759" s="263"/>
      <c r="B2759" s="263"/>
      <c r="C2759" s="263"/>
      <c r="D2759" s="263"/>
      <c r="E2759" s="264"/>
      <c r="F2759" s="264"/>
      <c r="G2759" s="263"/>
      <c r="H2759" s="323"/>
      <c r="I2759" s="323"/>
      <c r="J2759" s="323"/>
      <c r="K2759" s="323"/>
      <c r="L2759" s="323"/>
      <c r="M2759" s="323"/>
      <c r="N2759" s="323"/>
    </row>
    <row r="2760" spans="1:14">
      <c r="A2760" s="263"/>
      <c r="B2760" s="263"/>
      <c r="C2760" s="263"/>
      <c r="D2760" s="263"/>
      <c r="E2760" s="264"/>
      <c r="F2760" s="264"/>
      <c r="G2760" s="263"/>
      <c r="H2760" s="323"/>
      <c r="I2760" s="323"/>
      <c r="J2760" s="323"/>
      <c r="K2760" s="323"/>
      <c r="L2760" s="323"/>
      <c r="M2760" s="323"/>
      <c r="N2760" s="323"/>
    </row>
    <row r="2761" spans="1:14">
      <c r="A2761" s="263"/>
      <c r="B2761" s="263"/>
      <c r="C2761" s="263"/>
      <c r="D2761" s="263"/>
      <c r="E2761" s="264"/>
      <c r="F2761" s="264"/>
      <c r="G2761" s="263"/>
      <c r="H2761" s="323"/>
      <c r="I2761" s="323"/>
      <c r="J2761" s="323"/>
      <c r="K2761" s="323"/>
      <c r="L2761" s="323"/>
      <c r="M2761" s="323"/>
      <c r="N2761" s="323"/>
    </row>
    <row r="2762" spans="1:14">
      <c r="A2762" s="263"/>
      <c r="B2762" s="263"/>
      <c r="C2762" s="263"/>
      <c r="D2762" s="263"/>
      <c r="E2762" s="264"/>
      <c r="F2762" s="264"/>
      <c r="G2762" s="263"/>
      <c r="H2762" s="323"/>
      <c r="I2762" s="323"/>
      <c r="J2762" s="323"/>
      <c r="K2762" s="323"/>
      <c r="L2762" s="323"/>
      <c r="M2762" s="323"/>
      <c r="N2762" s="323"/>
    </row>
    <row r="2763" spans="1:14">
      <c r="A2763" s="263"/>
      <c r="B2763" s="263"/>
      <c r="C2763" s="263"/>
      <c r="D2763" s="263"/>
      <c r="E2763" s="264"/>
      <c r="F2763" s="264"/>
      <c r="G2763" s="263"/>
      <c r="H2763" s="323"/>
      <c r="I2763" s="323"/>
      <c r="J2763" s="323"/>
      <c r="K2763" s="323"/>
      <c r="L2763" s="323"/>
      <c r="M2763" s="323"/>
      <c r="N2763" s="323"/>
    </row>
    <row r="2764" spans="1:14">
      <c r="A2764" s="263"/>
      <c r="B2764" s="263"/>
      <c r="C2764" s="263"/>
      <c r="D2764" s="263"/>
      <c r="E2764" s="264"/>
      <c r="F2764" s="264"/>
      <c r="G2764" s="263"/>
      <c r="H2764" s="323"/>
      <c r="I2764" s="323"/>
      <c r="J2764" s="323"/>
      <c r="K2764" s="323"/>
      <c r="L2764" s="323"/>
      <c r="M2764" s="323"/>
      <c r="N2764" s="323"/>
    </row>
    <row r="2765" spans="1:14">
      <c r="A2765" s="263"/>
      <c r="B2765" s="263"/>
      <c r="C2765" s="263"/>
      <c r="D2765" s="263"/>
      <c r="E2765" s="264"/>
      <c r="F2765" s="264"/>
      <c r="G2765" s="263"/>
      <c r="H2765" s="323"/>
      <c r="I2765" s="323"/>
      <c r="J2765" s="323"/>
      <c r="K2765" s="323"/>
      <c r="L2765" s="323"/>
      <c r="M2765" s="323"/>
      <c r="N2765" s="323"/>
    </row>
    <row r="2766" spans="1:14">
      <c r="A2766" s="263"/>
      <c r="B2766" s="263"/>
      <c r="C2766" s="263"/>
      <c r="D2766" s="263"/>
      <c r="E2766" s="264"/>
      <c r="F2766" s="264"/>
      <c r="G2766" s="263"/>
      <c r="H2766" s="323"/>
      <c r="I2766" s="323"/>
      <c r="J2766" s="323"/>
      <c r="K2766" s="323"/>
      <c r="L2766" s="323"/>
      <c r="M2766" s="323"/>
      <c r="N2766" s="323"/>
    </row>
    <row r="2767" spans="1:14">
      <c r="A2767" s="263"/>
      <c r="B2767" s="263"/>
      <c r="C2767" s="263"/>
      <c r="D2767" s="263"/>
      <c r="E2767" s="264"/>
      <c r="F2767" s="264"/>
      <c r="G2767" s="263"/>
      <c r="H2767" s="323"/>
      <c r="I2767" s="323"/>
      <c r="J2767" s="323"/>
      <c r="K2767" s="323"/>
      <c r="L2767" s="323"/>
      <c r="M2767" s="323"/>
      <c r="N2767" s="323"/>
    </row>
    <row r="2768" spans="1:14">
      <c r="A2768" s="263"/>
      <c r="B2768" s="263"/>
      <c r="C2768" s="263"/>
      <c r="D2768" s="263"/>
      <c r="E2768" s="264"/>
      <c r="F2768" s="264"/>
      <c r="G2768" s="263"/>
      <c r="H2768" s="323"/>
      <c r="I2768" s="323"/>
      <c r="J2768" s="323"/>
      <c r="K2768" s="323"/>
      <c r="L2768" s="323"/>
      <c r="M2768" s="323"/>
      <c r="N2768" s="323"/>
    </row>
    <row r="2769" spans="1:14">
      <c r="A2769" s="263"/>
      <c r="B2769" s="263"/>
      <c r="C2769" s="263"/>
      <c r="D2769" s="263"/>
      <c r="E2769" s="264"/>
      <c r="F2769" s="264"/>
      <c r="G2769" s="263"/>
      <c r="H2769" s="323"/>
      <c r="I2769" s="323"/>
      <c r="J2769" s="323"/>
      <c r="K2769" s="323"/>
      <c r="L2769" s="323"/>
      <c r="M2769" s="323"/>
      <c r="N2769" s="323"/>
    </row>
    <row r="2770" spans="1:14">
      <c r="A2770" s="263"/>
      <c r="B2770" s="263"/>
      <c r="C2770" s="263"/>
      <c r="D2770" s="263"/>
      <c r="E2770" s="264"/>
      <c r="F2770" s="264"/>
      <c r="G2770" s="263"/>
      <c r="H2770" s="323"/>
      <c r="I2770" s="323"/>
      <c r="J2770" s="323"/>
      <c r="K2770" s="323"/>
      <c r="L2770" s="323"/>
      <c r="M2770" s="323"/>
      <c r="N2770" s="323"/>
    </row>
    <row r="2771" spans="1:14">
      <c r="A2771" s="263"/>
      <c r="B2771" s="263"/>
      <c r="C2771" s="263"/>
      <c r="D2771" s="263"/>
      <c r="E2771" s="264"/>
      <c r="F2771" s="264"/>
      <c r="G2771" s="263"/>
      <c r="H2771" s="323"/>
      <c r="I2771" s="323"/>
      <c r="J2771" s="323"/>
      <c r="K2771" s="323"/>
      <c r="L2771" s="323"/>
      <c r="M2771" s="323"/>
      <c r="N2771" s="323"/>
    </row>
    <row r="2772" spans="1:14">
      <c r="A2772" s="263"/>
      <c r="B2772" s="263"/>
      <c r="C2772" s="263"/>
      <c r="D2772" s="263"/>
      <c r="E2772" s="264"/>
      <c r="F2772" s="264"/>
      <c r="G2772" s="263"/>
      <c r="H2772" s="323"/>
      <c r="I2772" s="323"/>
      <c r="J2772" s="323"/>
      <c r="K2772" s="323"/>
      <c r="L2772" s="323"/>
      <c r="M2772" s="323"/>
      <c r="N2772" s="323"/>
    </row>
    <row r="2773" spans="1:14">
      <c r="A2773" s="263"/>
      <c r="B2773" s="263"/>
      <c r="C2773" s="263"/>
      <c r="D2773" s="263"/>
      <c r="E2773" s="264"/>
      <c r="F2773" s="264"/>
      <c r="G2773" s="263"/>
      <c r="H2773" s="323"/>
      <c r="I2773" s="323"/>
      <c r="J2773" s="323"/>
      <c r="K2773" s="323"/>
      <c r="L2773" s="323"/>
      <c r="M2773" s="323"/>
      <c r="N2773" s="323"/>
    </row>
    <row r="2774" spans="1:14">
      <c r="A2774" s="263"/>
      <c r="B2774" s="263"/>
      <c r="C2774" s="263"/>
      <c r="D2774" s="263"/>
      <c r="E2774" s="264"/>
      <c r="F2774" s="264"/>
      <c r="G2774" s="263"/>
      <c r="H2774" s="323"/>
      <c r="I2774" s="323"/>
      <c r="J2774" s="323"/>
      <c r="K2774" s="323"/>
      <c r="L2774" s="323"/>
      <c r="M2774" s="323"/>
      <c r="N2774" s="323"/>
    </row>
    <row r="2775" spans="1:14">
      <c r="A2775" s="263"/>
      <c r="B2775" s="263"/>
      <c r="C2775" s="263"/>
      <c r="D2775" s="263"/>
      <c r="E2775" s="264"/>
      <c r="F2775" s="264"/>
      <c r="G2775" s="263"/>
      <c r="H2775" s="323"/>
      <c r="I2775" s="323"/>
      <c r="J2775" s="323"/>
      <c r="K2775" s="323"/>
      <c r="L2775" s="323"/>
      <c r="M2775" s="323"/>
      <c r="N2775" s="323"/>
    </row>
    <row r="2776" spans="1:14">
      <c r="A2776" s="263"/>
      <c r="B2776" s="263"/>
      <c r="C2776" s="263"/>
      <c r="D2776" s="263"/>
      <c r="E2776" s="264"/>
      <c r="F2776" s="264"/>
      <c r="G2776" s="263"/>
      <c r="H2776" s="323"/>
      <c r="I2776" s="323"/>
      <c r="J2776" s="323"/>
      <c r="K2776" s="323"/>
      <c r="L2776" s="323"/>
      <c r="M2776" s="323"/>
      <c r="N2776" s="323"/>
    </row>
    <row r="2777" spans="1:14">
      <c r="A2777" s="263"/>
      <c r="B2777" s="263"/>
      <c r="C2777" s="263"/>
      <c r="D2777" s="263"/>
      <c r="E2777" s="264"/>
      <c r="F2777" s="264"/>
      <c r="G2777" s="263"/>
      <c r="H2777" s="323"/>
      <c r="I2777" s="323"/>
      <c r="J2777" s="323"/>
      <c r="K2777" s="323"/>
      <c r="L2777" s="323"/>
      <c r="M2777" s="323"/>
      <c r="N2777" s="323"/>
    </row>
    <row r="2778" spans="1:14">
      <c r="A2778" s="263"/>
      <c r="B2778" s="263"/>
      <c r="C2778" s="263"/>
      <c r="D2778" s="263"/>
      <c r="E2778" s="264"/>
      <c r="F2778" s="264"/>
      <c r="G2778" s="263"/>
      <c r="H2778" s="323"/>
      <c r="I2778" s="323"/>
      <c r="J2778" s="323"/>
      <c r="K2778" s="323"/>
      <c r="L2778" s="323"/>
      <c r="M2778" s="323"/>
      <c r="N2778" s="323"/>
    </row>
    <row r="2779" spans="1:14">
      <c r="A2779" s="263"/>
      <c r="B2779" s="263"/>
      <c r="C2779" s="263"/>
      <c r="D2779" s="263"/>
      <c r="E2779" s="264"/>
      <c r="F2779" s="264"/>
      <c r="G2779" s="263"/>
      <c r="H2779" s="323"/>
      <c r="I2779" s="323"/>
      <c r="J2779" s="323"/>
      <c r="K2779" s="323"/>
      <c r="L2779" s="323"/>
      <c r="M2779" s="323"/>
      <c r="N2779" s="323"/>
    </row>
    <row r="2780" spans="1:14">
      <c r="A2780" s="263"/>
      <c r="B2780" s="263"/>
      <c r="C2780" s="263"/>
      <c r="D2780" s="263"/>
      <c r="E2780" s="264"/>
      <c r="F2780" s="264"/>
      <c r="G2780" s="263"/>
      <c r="H2780" s="323"/>
      <c r="I2780" s="323"/>
      <c r="J2780" s="323"/>
      <c r="K2780" s="323"/>
      <c r="L2780" s="323"/>
      <c r="M2780" s="323"/>
      <c r="N2780" s="323"/>
    </row>
    <row r="2781" spans="1:14">
      <c r="A2781" s="263"/>
      <c r="B2781" s="263"/>
      <c r="C2781" s="263"/>
      <c r="D2781" s="263"/>
      <c r="E2781" s="264"/>
      <c r="F2781" s="264"/>
      <c r="G2781" s="263"/>
      <c r="H2781" s="323"/>
      <c r="I2781" s="323"/>
      <c r="J2781" s="323"/>
      <c r="K2781" s="323"/>
      <c r="L2781" s="323"/>
      <c r="M2781" s="323"/>
      <c r="N2781" s="323"/>
    </row>
    <row r="2782" spans="1:14">
      <c r="A2782" s="263"/>
      <c r="B2782" s="263"/>
      <c r="C2782" s="263"/>
      <c r="D2782" s="263"/>
      <c r="E2782" s="264"/>
      <c r="F2782" s="264"/>
      <c r="G2782" s="263"/>
      <c r="H2782" s="323"/>
      <c r="I2782" s="323"/>
      <c r="J2782" s="323"/>
      <c r="K2782" s="323"/>
      <c r="L2782" s="323"/>
      <c r="M2782" s="323"/>
      <c r="N2782" s="323"/>
    </row>
    <row r="2783" spans="1:14">
      <c r="A2783" s="263"/>
      <c r="B2783" s="263"/>
      <c r="C2783" s="263"/>
      <c r="D2783" s="263"/>
      <c r="E2783" s="264"/>
      <c r="F2783" s="264"/>
      <c r="G2783" s="263"/>
      <c r="H2783" s="323"/>
      <c r="I2783" s="323"/>
      <c r="J2783" s="323"/>
      <c r="K2783" s="323"/>
      <c r="L2783" s="323"/>
      <c r="M2783" s="323"/>
      <c r="N2783" s="323"/>
    </row>
    <row r="2784" spans="1:14">
      <c r="A2784" s="263"/>
      <c r="B2784" s="263"/>
      <c r="C2784" s="263"/>
      <c r="D2784" s="263"/>
      <c r="E2784" s="264"/>
      <c r="F2784" s="264"/>
      <c r="G2784" s="263"/>
      <c r="H2784" s="323"/>
      <c r="I2784" s="323"/>
      <c r="J2784" s="323"/>
      <c r="K2784" s="323"/>
      <c r="L2784" s="323"/>
      <c r="M2784" s="323"/>
      <c r="N2784" s="323"/>
    </row>
    <row r="2785" spans="1:14">
      <c r="A2785" s="263"/>
      <c r="B2785" s="263"/>
      <c r="C2785" s="263"/>
      <c r="D2785" s="263"/>
      <c r="E2785" s="264"/>
      <c r="F2785" s="264"/>
      <c r="G2785" s="263"/>
      <c r="H2785" s="323"/>
      <c r="I2785" s="323"/>
      <c r="J2785" s="323"/>
      <c r="K2785" s="323"/>
      <c r="L2785" s="323"/>
      <c r="M2785" s="323"/>
      <c r="N2785" s="323"/>
    </row>
    <row r="2786" spans="1:14">
      <c r="A2786" s="263"/>
      <c r="B2786" s="263"/>
      <c r="C2786" s="263"/>
      <c r="D2786" s="263"/>
      <c r="E2786" s="264"/>
      <c r="F2786" s="264"/>
      <c r="G2786" s="263"/>
      <c r="H2786" s="323"/>
      <c r="I2786" s="323"/>
      <c r="J2786" s="323"/>
      <c r="K2786" s="323"/>
      <c r="L2786" s="323"/>
      <c r="M2786" s="323"/>
      <c r="N2786" s="323"/>
    </row>
    <row r="2787" spans="1:14">
      <c r="A2787" s="263"/>
      <c r="B2787" s="263"/>
      <c r="C2787" s="263"/>
      <c r="D2787" s="263"/>
      <c r="E2787" s="264"/>
      <c r="F2787" s="264"/>
      <c r="G2787" s="263"/>
      <c r="H2787" s="323"/>
      <c r="I2787" s="323"/>
      <c r="J2787" s="323"/>
      <c r="K2787" s="323"/>
      <c r="L2787" s="323"/>
      <c r="M2787" s="323"/>
      <c r="N2787" s="323"/>
    </row>
    <row r="2788" spans="1:14">
      <c r="A2788" s="263"/>
      <c r="B2788" s="263"/>
      <c r="C2788" s="263"/>
      <c r="D2788" s="263"/>
      <c r="E2788" s="264"/>
      <c r="F2788" s="264"/>
      <c r="G2788" s="263"/>
      <c r="H2788" s="323"/>
      <c r="I2788" s="323"/>
      <c r="J2788" s="323"/>
      <c r="K2788" s="323"/>
      <c r="L2788" s="323"/>
      <c r="M2788" s="323"/>
      <c r="N2788" s="323"/>
    </row>
    <row r="2789" spans="1:14">
      <c r="A2789" s="263"/>
      <c r="B2789" s="263"/>
      <c r="C2789" s="263"/>
      <c r="D2789" s="263"/>
      <c r="E2789" s="264"/>
      <c r="F2789" s="264"/>
      <c r="G2789" s="263"/>
      <c r="H2789" s="323"/>
      <c r="I2789" s="323"/>
      <c r="J2789" s="323"/>
      <c r="K2789" s="323"/>
      <c r="L2789" s="323"/>
      <c r="M2789" s="323"/>
      <c r="N2789" s="323"/>
    </row>
    <row r="2790" spans="1:14">
      <c r="A2790" s="263"/>
      <c r="B2790" s="263"/>
      <c r="C2790" s="263"/>
      <c r="D2790" s="263"/>
      <c r="E2790" s="264"/>
      <c r="F2790" s="264"/>
      <c r="G2790" s="263"/>
      <c r="H2790" s="323"/>
      <c r="I2790" s="323"/>
      <c r="J2790" s="323"/>
      <c r="K2790" s="323"/>
      <c r="L2790" s="323"/>
      <c r="M2790" s="323"/>
      <c r="N2790" s="323"/>
    </row>
    <row r="2791" spans="1:14">
      <c r="A2791" s="263"/>
      <c r="B2791" s="263"/>
      <c r="C2791" s="263"/>
      <c r="D2791" s="263"/>
      <c r="E2791" s="264"/>
      <c r="F2791" s="264"/>
      <c r="G2791" s="263"/>
      <c r="H2791" s="323"/>
      <c r="I2791" s="323"/>
      <c r="J2791" s="323"/>
      <c r="K2791" s="323"/>
      <c r="L2791" s="323"/>
      <c r="M2791" s="323"/>
      <c r="N2791" s="323"/>
    </row>
    <row r="2792" spans="1:14">
      <c r="A2792" s="263"/>
      <c r="B2792" s="263"/>
      <c r="C2792" s="263"/>
      <c r="D2792" s="263"/>
      <c r="E2792" s="264"/>
      <c r="F2792" s="264"/>
      <c r="G2792" s="263"/>
      <c r="H2792" s="323"/>
      <c r="I2792" s="323"/>
      <c r="J2792" s="323"/>
      <c r="K2792" s="323"/>
      <c r="L2792" s="323"/>
      <c r="M2792" s="323"/>
      <c r="N2792" s="323"/>
    </row>
    <row r="2793" spans="1:14">
      <c r="A2793" s="263"/>
      <c r="B2793" s="263"/>
      <c r="C2793" s="263"/>
      <c r="D2793" s="263"/>
      <c r="E2793" s="264"/>
      <c r="F2793" s="264"/>
      <c r="G2793" s="263"/>
      <c r="H2793" s="323"/>
      <c r="I2793" s="323"/>
      <c r="J2793" s="323"/>
      <c r="K2793" s="323"/>
      <c r="L2793" s="323"/>
      <c r="M2793" s="323"/>
      <c r="N2793" s="323"/>
    </row>
    <row r="2794" spans="1:14">
      <c r="A2794" s="263"/>
      <c r="B2794" s="263"/>
      <c r="C2794" s="263"/>
      <c r="D2794" s="263"/>
      <c r="E2794" s="264"/>
      <c r="F2794" s="264"/>
      <c r="G2794" s="263"/>
      <c r="H2794" s="323"/>
      <c r="I2794" s="323"/>
      <c r="J2794" s="323"/>
      <c r="K2794" s="323"/>
      <c r="L2794" s="323"/>
      <c r="M2794" s="323"/>
      <c r="N2794" s="323"/>
    </row>
    <row r="2795" spans="1:14">
      <c r="A2795" s="263"/>
      <c r="B2795" s="263"/>
      <c r="C2795" s="263"/>
      <c r="D2795" s="263"/>
      <c r="E2795" s="264"/>
      <c r="F2795" s="264"/>
      <c r="G2795" s="263"/>
      <c r="H2795" s="323"/>
      <c r="I2795" s="323"/>
      <c r="J2795" s="323"/>
      <c r="K2795" s="323"/>
      <c r="L2795" s="323"/>
      <c r="M2795" s="323"/>
      <c r="N2795" s="323"/>
    </row>
    <row r="2796" spans="1:14">
      <c r="A2796" s="263"/>
      <c r="B2796" s="263"/>
      <c r="C2796" s="263"/>
      <c r="D2796" s="263"/>
      <c r="E2796" s="264"/>
      <c r="F2796" s="264"/>
      <c r="G2796" s="263"/>
      <c r="H2796" s="323"/>
      <c r="I2796" s="323"/>
      <c r="J2796" s="323"/>
      <c r="K2796" s="323"/>
      <c r="L2796" s="323"/>
      <c r="M2796" s="323"/>
      <c r="N2796" s="323"/>
    </row>
    <row r="2797" spans="1:14">
      <c r="A2797" s="263"/>
      <c r="B2797" s="263"/>
      <c r="C2797" s="263"/>
      <c r="D2797" s="263"/>
      <c r="E2797" s="264"/>
      <c r="F2797" s="264"/>
      <c r="G2797" s="263"/>
      <c r="H2797" s="323"/>
      <c r="I2797" s="323"/>
      <c r="J2797" s="323"/>
      <c r="K2797" s="323"/>
      <c r="L2797" s="323"/>
      <c r="M2797" s="323"/>
      <c r="N2797" s="323"/>
    </row>
    <row r="2798" spans="1:14">
      <c r="A2798" s="263"/>
      <c r="B2798" s="263"/>
      <c r="C2798" s="263"/>
      <c r="D2798" s="263"/>
      <c r="E2798" s="264"/>
      <c r="F2798" s="264"/>
      <c r="G2798" s="263"/>
      <c r="H2798" s="323"/>
      <c r="I2798" s="323"/>
      <c r="J2798" s="323"/>
      <c r="K2798" s="323"/>
      <c r="L2798" s="323"/>
      <c r="M2798" s="323"/>
      <c r="N2798" s="323"/>
    </row>
    <row r="2799" spans="1:14">
      <c r="A2799" s="263"/>
      <c r="B2799" s="263"/>
      <c r="C2799" s="263"/>
      <c r="D2799" s="263"/>
      <c r="E2799" s="264"/>
      <c r="F2799" s="264"/>
      <c r="G2799" s="263"/>
      <c r="H2799" s="323"/>
      <c r="I2799" s="323"/>
      <c r="J2799" s="323"/>
      <c r="K2799" s="323"/>
      <c r="L2799" s="323"/>
      <c r="M2799" s="323"/>
      <c r="N2799" s="323"/>
    </row>
    <row r="2800" spans="1:14">
      <c r="A2800" s="263"/>
      <c r="B2800" s="263"/>
      <c r="C2800" s="263"/>
      <c r="D2800" s="263"/>
      <c r="E2800" s="264"/>
      <c r="F2800" s="264"/>
      <c r="G2800" s="263"/>
      <c r="H2800" s="323"/>
      <c r="I2800" s="323"/>
      <c r="J2800" s="323"/>
      <c r="K2800" s="323"/>
      <c r="L2800" s="323"/>
      <c r="M2800" s="323"/>
      <c r="N2800" s="323"/>
    </row>
    <row r="2801" spans="1:14">
      <c r="A2801" s="263"/>
      <c r="B2801" s="263"/>
      <c r="C2801" s="263"/>
      <c r="D2801" s="263"/>
      <c r="E2801" s="264"/>
      <c r="F2801" s="264"/>
      <c r="G2801" s="263"/>
      <c r="H2801" s="323"/>
      <c r="I2801" s="323"/>
      <c r="J2801" s="323"/>
      <c r="K2801" s="323"/>
      <c r="L2801" s="323"/>
      <c r="M2801" s="323"/>
      <c r="N2801" s="323"/>
    </row>
    <row r="2802" spans="1:14">
      <c r="A2802" s="263"/>
      <c r="B2802" s="263"/>
      <c r="C2802" s="263"/>
      <c r="D2802" s="263"/>
      <c r="E2802" s="264"/>
      <c r="F2802" s="264"/>
      <c r="G2802" s="263"/>
      <c r="H2802" s="323"/>
      <c r="I2802" s="323"/>
      <c r="J2802" s="323"/>
      <c r="K2802" s="323"/>
      <c r="L2802" s="323"/>
      <c r="M2802" s="323"/>
      <c r="N2802" s="323"/>
    </row>
    <row r="2803" spans="1:14">
      <c r="A2803" s="263"/>
      <c r="B2803" s="263"/>
      <c r="C2803" s="263"/>
      <c r="D2803" s="263"/>
      <c r="E2803" s="264"/>
      <c r="F2803" s="264"/>
      <c r="G2803" s="263"/>
      <c r="H2803" s="323"/>
      <c r="I2803" s="323"/>
      <c r="J2803" s="323"/>
      <c r="K2803" s="323"/>
      <c r="L2803" s="323"/>
      <c r="M2803" s="323"/>
      <c r="N2803" s="323"/>
    </row>
    <row r="2804" spans="1:14">
      <c r="A2804" s="263"/>
      <c r="B2804" s="263"/>
      <c r="C2804" s="263"/>
      <c r="D2804" s="263"/>
      <c r="E2804" s="264"/>
      <c r="F2804" s="264"/>
      <c r="G2804" s="263"/>
      <c r="H2804" s="323"/>
      <c r="I2804" s="323"/>
      <c r="J2804" s="323"/>
      <c r="K2804" s="323"/>
      <c r="L2804" s="323"/>
      <c r="M2804" s="323"/>
      <c r="N2804" s="323"/>
    </row>
    <row r="2805" spans="1:14">
      <c r="A2805" s="263"/>
      <c r="B2805" s="263"/>
      <c r="C2805" s="263"/>
      <c r="D2805" s="263"/>
      <c r="E2805" s="264"/>
      <c r="F2805" s="264"/>
      <c r="G2805" s="263"/>
      <c r="H2805" s="323"/>
      <c r="I2805" s="323"/>
      <c r="J2805" s="323"/>
      <c r="K2805" s="323"/>
      <c r="L2805" s="323"/>
      <c r="M2805" s="323"/>
      <c r="N2805" s="323"/>
    </row>
    <row r="2806" spans="1:14">
      <c r="A2806" s="263"/>
      <c r="B2806" s="263"/>
      <c r="C2806" s="263"/>
      <c r="D2806" s="263"/>
      <c r="E2806" s="264"/>
      <c r="F2806" s="264"/>
      <c r="G2806" s="263"/>
      <c r="H2806" s="323"/>
      <c r="I2806" s="323"/>
      <c r="J2806" s="323"/>
      <c r="K2806" s="323"/>
      <c r="L2806" s="323"/>
      <c r="M2806" s="323"/>
      <c r="N2806" s="323"/>
    </row>
    <row r="2807" spans="1:14">
      <c r="A2807" s="263"/>
      <c r="B2807" s="263"/>
      <c r="C2807" s="263"/>
      <c r="D2807" s="263"/>
      <c r="E2807" s="264"/>
      <c r="F2807" s="264"/>
      <c r="G2807" s="263"/>
      <c r="H2807" s="323"/>
      <c r="I2807" s="323"/>
      <c r="J2807" s="323"/>
      <c r="K2807" s="323"/>
      <c r="L2807" s="323"/>
      <c r="M2807" s="323"/>
      <c r="N2807" s="323"/>
    </row>
    <row r="2808" spans="1:14">
      <c r="A2808" s="263"/>
      <c r="B2808" s="263"/>
      <c r="C2808" s="263"/>
      <c r="D2808" s="263"/>
      <c r="E2808" s="264"/>
      <c r="F2808" s="264"/>
      <c r="G2808" s="263"/>
      <c r="H2808" s="323"/>
      <c r="I2808" s="323"/>
      <c r="J2808" s="323"/>
      <c r="K2808" s="323"/>
      <c r="L2808" s="323"/>
      <c r="M2808" s="323"/>
      <c r="N2808" s="323"/>
    </row>
    <row r="2809" spans="1:14">
      <c r="A2809" s="263"/>
      <c r="B2809" s="263"/>
      <c r="C2809" s="263"/>
      <c r="D2809" s="263"/>
      <c r="E2809" s="264"/>
      <c r="F2809" s="264"/>
      <c r="G2809" s="263"/>
      <c r="H2809" s="323"/>
      <c r="I2809" s="323"/>
      <c r="J2809" s="323"/>
      <c r="K2809" s="323"/>
      <c r="L2809" s="323"/>
      <c r="M2809" s="323"/>
      <c r="N2809" s="323"/>
    </row>
    <row r="2810" spans="1:14">
      <c r="A2810" s="263"/>
      <c r="B2810" s="263"/>
      <c r="C2810" s="263"/>
      <c r="D2810" s="263"/>
      <c r="E2810" s="264"/>
      <c r="F2810" s="264"/>
      <c r="G2810" s="263"/>
      <c r="H2810" s="323"/>
      <c r="I2810" s="323"/>
      <c r="J2810" s="323"/>
      <c r="K2810" s="323"/>
      <c r="L2810" s="323"/>
      <c r="M2810" s="323"/>
      <c r="N2810" s="323"/>
    </row>
    <row r="2811" spans="1:14">
      <c r="A2811" s="263"/>
      <c r="B2811" s="263"/>
      <c r="C2811" s="263"/>
      <c r="D2811" s="263"/>
      <c r="E2811" s="264"/>
      <c r="F2811" s="264"/>
      <c r="G2811" s="263"/>
      <c r="H2811" s="323"/>
      <c r="I2811" s="323"/>
      <c r="J2811" s="323"/>
      <c r="K2811" s="323"/>
      <c r="L2811" s="323"/>
      <c r="M2811" s="323"/>
      <c r="N2811" s="323"/>
    </row>
    <row r="2812" spans="1:14">
      <c r="A2812" s="263"/>
      <c r="B2812" s="263"/>
      <c r="C2812" s="263"/>
      <c r="D2812" s="263"/>
      <c r="E2812" s="264"/>
      <c r="F2812" s="264"/>
      <c r="G2812" s="263"/>
      <c r="H2812" s="323"/>
      <c r="I2812" s="323"/>
      <c r="J2812" s="323"/>
      <c r="K2812" s="323"/>
      <c r="L2812" s="323"/>
      <c r="M2812" s="323"/>
      <c r="N2812" s="323"/>
    </row>
    <row r="2813" spans="1:14">
      <c r="A2813" s="263"/>
      <c r="B2813" s="263"/>
      <c r="C2813" s="263"/>
      <c r="D2813" s="263"/>
      <c r="E2813" s="264"/>
      <c r="F2813" s="264"/>
      <c r="G2813" s="263"/>
      <c r="H2813" s="323"/>
      <c r="I2813" s="323"/>
      <c r="J2813" s="323"/>
      <c r="K2813" s="323"/>
      <c r="L2813" s="323"/>
      <c r="M2813" s="323"/>
      <c r="N2813" s="323"/>
    </row>
    <row r="2814" spans="1:14">
      <c r="A2814" s="263"/>
      <c r="B2814" s="263"/>
      <c r="C2814" s="263"/>
      <c r="D2814" s="263"/>
      <c r="E2814" s="264"/>
      <c r="F2814" s="264"/>
      <c r="G2814" s="263"/>
      <c r="H2814" s="323"/>
      <c r="I2814" s="323"/>
      <c r="J2814" s="323"/>
      <c r="K2814" s="323"/>
      <c r="L2814" s="323"/>
      <c r="M2814" s="323"/>
      <c r="N2814" s="323"/>
    </row>
    <row r="2815" spans="1:14">
      <c r="A2815" s="263"/>
      <c r="B2815" s="263"/>
      <c r="C2815" s="263"/>
      <c r="D2815" s="263"/>
      <c r="E2815" s="264"/>
      <c r="F2815" s="264"/>
      <c r="G2815" s="263"/>
      <c r="H2815" s="323"/>
      <c r="I2815" s="323"/>
      <c r="J2815" s="323"/>
      <c r="K2815" s="323"/>
      <c r="L2815" s="323"/>
      <c r="M2815" s="323"/>
      <c r="N2815" s="323"/>
    </row>
    <row r="2816" spans="1:14">
      <c r="A2816" s="263"/>
      <c r="B2816" s="263"/>
      <c r="C2816" s="263"/>
      <c r="D2816" s="263"/>
      <c r="E2816" s="264"/>
      <c r="F2816" s="264"/>
      <c r="G2816" s="263"/>
      <c r="H2816" s="323"/>
      <c r="I2816" s="323"/>
      <c r="J2816" s="323"/>
      <c r="K2816" s="323"/>
      <c r="L2816" s="323"/>
      <c r="M2816" s="323"/>
      <c r="N2816" s="323"/>
    </row>
    <row r="2817" spans="1:14">
      <c r="A2817" s="263"/>
      <c r="B2817" s="263"/>
      <c r="C2817" s="263"/>
      <c r="D2817" s="263"/>
      <c r="E2817" s="264"/>
      <c r="F2817" s="264"/>
      <c r="G2817" s="263"/>
      <c r="H2817" s="323"/>
      <c r="I2817" s="323"/>
      <c r="J2817" s="323"/>
      <c r="K2817" s="323"/>
      <c r="L2817" s="323"/>
      <c r="M2817" s="323"/>
      <c r="N2817" s="323"/>
    </row>
    <row r="2818" spans="1:14">
      <c r="A2818" s="263"/>
      <c r="B2818" s="263"/>
      <c r="C2818" s="263"/>
      <c r="D2818" s="263"/>
      <c r="E2818" s="264"/>
      <c r="F2818" s="264"/>
      <c r="G2818" s="263"/>
      <c r="H2818" s="323"/>
      <c r="I2818" s="323"/>
      <c r="J2818" s="323"/>
      <c r="K2818" s="323"/>
      <c r="L2818" s="323"/>
      <c r="M2818" s="323"/>
      <c r="N2818" s="323"/>
    </row>
    <row r="2819" spans="1:14">
      <c r="A2819" s="263"/>
      <c r="B2819" s="263"/>
      <c r="C2819" s="263"/>
      <c r="D2819" s="263"/>
      <c r="E2819" s="264"/>
      <c r="F2819" s="264"/>
      <c r="G2819" s="263"/>
      <c r="H2819" s="323"/>
      <c r="I2819" s="323"/>
      <c r="J2819" s="323"/>
      <c r="K2819" s="323"/>
      <c r="L2819" s="323"/>
      <c r="M2819" s="323"/>
      <c r="N2819" s="323"/>
    </row>
    <row r="2820" spans="1:14">
      <c r="A2820" s="263"/>
      <c r="B2820" s="263"/>
      <c r="C2820" s="263"/>
      <c r="D2820" s="263"/>
      <c r="E2820" s="264"/>
      <c r="F2820" s="264"/>
      <c r="G2820" s="263"/>
      <c r="H2820" s="323"/>
      <c r="I2820" s="323"/>
      <c r="J2820" s="323"/>
      <c r="K2820" s="323"/>
      <c r="L2820" s="323"/>
      <c r="M2820" s="323"/>
      <c r="N2820" s="323"/>
    </row>
    <row r="2821" spans="1:14">
      <c r="A2821" s="263"/>
      <c r="B2821" s="263"/>
      <c r="C2821" s="263"/>
      <c r="D2821" s="263"/>
      <c r="E2821" s="264"/>
      <c r="F2821" s="264"/>
      <c r="G2821" s="263"/>
      <c r="H2821" s="323"/>
      <c r="I2821" s="323"/>
      <c r="J2821" s="323"/>
      <c r="K2821" s="323"/>
      <c r="L2821" s="323"/>
      <c r="M2821" s="323"/>
      <c r="N2821" s="323"/>
    </row>
    <row r="2822" spans="1:14">
      <c r="A2822" s="263"/>
      <c r="B2822" s="263"/>
      <c r="C2822" s="263"/>
      <c r="D2822" s="263"/>
      <c r="E2822" s="264"/>
      <c r="F2822" s="264"/>
      <c r="G2822" s="263"/>
      <c r="H2822" s="323"/>
      <c r="I2822" s="323"/>
      <c r="J2822" s="323"/>
      <c r="K2822" s="323"/>
      <c r="L2822" s="323"/>
      <c r="M2822" s="323"/>
      <c r="N2822" s="323"/>
    </row>
    <row r="2823" spans="1:14">
      <c r="A2823" s="263"/>
      <c r="B2823" s="263"/>
      <c r="C2823" s="263"/>
      <c r="D2823" s="263"/>
      <c r="E2823" s="264"/>
      <c r="F2823" s="264"/>
      <c r="G2823" s="263"/>
      <c r="H2823" s="323"/>
      <c r="I2823" s="323"/>
      <c r="J2823" s="323"/>
      <c r="K2823" s="323"/>
      <c r="L2823" s="323"/>
      <c r="M2823" s="323"/>
      <c r="N2823" s="323"/>
    </row>
    <row r="2824" spans="1:14">
      <c r="A2824" s="263"/>
      <c r="B2824" s="263"/>
      <c r="C2824" s="263"/>
      <c r="D2824" s="263"/>
      <c r="E2824" s="264"/>
      <c r="F2824" s="264"/>
      <c r="G2824" s="263"/>
      <c r="H2824" s="323"/>
      <c r="I2824" s="323"/>
      <c r="J2824" s="323"/>
      <c r="K2824" s="323"/>
      <c r="L2824" s="323"/>
      <c r="M2824" s="323"/>
      <c r="N2824" s="323"/>
    </row>
    <row r="2825" spans="1:14">
      <c r="A2825" s="263"/>
      <c r="B2825" s="263"/>
      <c r="C2825" s="263"/>
      <c r="D2825" s="263"/>
      <c r="E2825" s="264"/>
      <c r="F2825" s="264"/>
      <c r="G2825" s="263"/>
      <c r="H2825" s="323"/>
      <c r="I2825" s="323"/>
      <c r="J2825" s="323"/>
      <c r="K2825" s="323"/>
      <c r="L2825" s="323"/>
      <c r="M2825" s="323"/>
      <c r="N2825" s="323"/>
    </row>
    <row r="2826" spans="1:14">
      <c r="A2826" s="263"/>
      <c r="B2826" s="263"/>
      <c r="C2826" s="263"/>
      <c r="D2826" s="263"/>
      <c r="E2826" s="264"/>
      <c r="F2826" s="264"/>
      <c r="G2826" s="263"/>
      <c r="H2826" s="323"/>
      <c r="I2826" s="323"/>
      <c r="J2826" s="323"/>
      <c r="K2826" s="323"/>
      <c r="L2826" s="323"/>
      <c r="M2826" s="323"/>
      <c r="N2826" s="323"/>
    </row>
    <row r="2827" spans="1:14">
      <c r="A2827" s="263"/>
      <c r="B2827" s="263"/>
      <c r="C2827" s="263"/>
      <c r="D2827" s="263"/>
      <c r="E2827" s="264"/>
      <c r="F2827" s="264"/>
      <c r="G2827" s="263"/>
      <c r="H2827" s="323"/>
      <c r="I2827" s="323"/>
      <c r="J2827" s="323"/>
      <c r="K2827" s="323"/>
      <c r="L2827" s="323"/>
      <c r="M2827" s="323"/>
      <c r="N2827" s="323"/>
    </row>
    <row r="2828" spans="1:14">
      <c r="A2828" s="263"/>
      <c r="B2828" s="263"/>
      <c r="C2828" s="263"/>
      <c r="D2828" s="263"/>
      <c r="E2828" s="264"/>
      <c r="F2828" s="264"/>
      <c r="G2828" s="263"/>
      <c r="H2828" s="323"/>
      <c r="I2828" s="323"/>
      <c r="J2828" s="323"/>
      <c r="K2828" s="323"/>
      <c r="L2828" s="323"/>
      <c r="M2828" s="323"/>
      <c r="N2828" s="323"/>
    </row>
    <row r="2829" spans="1:14">
      <c r="A2829" s="263"/>
      <c r="B2829" s="263"/>
      <c r="C2829" s="263"/>
      <c r="D2829" s="263"/>
      <c r="E2829" s="264"/>
      <c r="F2829" s="264"/>
      <c r="G2829" s="263"/>
      <c r="H2829" s="323"/>
      <c r="I2829" s="323"/>
      <c r="J2829" s="323"/>
      <c r="K2829" s="323"/>
      <c r="L2829" s="323"/>
      <c r="M2829" s="323"/>
      <c r="N2829" s="323"/>
    </row>
    <row r="2830" spans="1:14">
      <c r="A2830" s="263"/>
      <c r="B2830" s="263"/>
      <c r="C2830" s="263"/>
      <c r="D2830" s="263"/>
      <c r="E2830" s="264"/>
      <c r="F2830" s="264"/>
      <c r="G2830" s="263"/>
      <c r="H2830" s="323"/>
      <c r="I2830" s="323"/>
      <c r="J2830" s="323"/>
      <c r="K2830" s="323"/>
      <c r="L2830" s="323"/>
      <c r="M2830" s="323"/>
      <c r="N2830" s="323"/>
    </row>
    <row r="2831" spans="1:14">
      <c r="A2831" s="263"/>
      <c r="B2831" s="263"/>
      <c r="C2831" s="263"/>
      <c r="D2831" s="263"/>
      <c r="E2831" s="264"/>
      <c r="F2831" s="264"/>
      <c r="G2831" s="263"/>
      <c r="H2831" s="323"/>
      <c r="I2831" s="323"/>
      <c r="J2831" s="323"/>
      <c r="K2831" s="323"/>
      <c r="L2831" s="323"/>
      <c r="M2831" s="323"/>
      <c r="N2831" s="323"/>
    </row>
    <row r="2832" spans="1:14">
      <c r="A2832" s="263"/>
      <c r="B2832" s="263"/>
      <c r="C2832" s="263"/>
      <c r="D2832" s="263"/>
      <c r="E2832" s="264"/>
      <c r="F2832" s="264"/>
      <c r="G2832" s="263"/>
      <c r="H2832" s="323"/>
      <c r="I2832" s="323"/>
      <c r="J2832" s="323"/>
      <c r="K2832" s="323"/>
      <c r="L2832" s="323"/>
      <c r="M2832" s="323"/>
      <c r="N2832" s="323"/>
    </row>
    <row r="2833" spans="1:14">
      <c r="A2833" s="263"/>
      <c r="B2833" s="263"/>
      <c r="C2833" s="263"/>
      <c r="D2833" s="263"/>
      <c r="E2833" s="264"/>
      <c r="F2833" s="264"/>
      <c r="G2833" s="263"/>
      <c r="H2833" s="323"/>
      <c r="I2833" s="323"/>
      <c r="J2833" s="323"/>
      <c r="K2833" s="323"/>
      <c r="L2833" s="323"/>
      <c r="M2833" s="323"/>
      <c r="N2833" s="323"/>
    </row>
    <row r="2834" spans="1:14">
      <c r="A2834" s="263"/>
      <c r="B2834" s="263"/>
      <c r="C2834" s="263"/>
      <c r="D2834" s="263"/>
      <c r="E2834" s="264"/>
      <c r="F2834" s="264"/>
      <c r="G2834" s="263"/>
      <c r="H2834" s="323"/>
      <c r="I2834" s="323"/>
      <c r="J2834" s="323"/>
      <c r="K2834" s="323"/>
      <c r="L2834" s="323"/>
      <c r="M2834" s="323"/>
      <c r="N2834" s="323"/>
    </row>
    <row r="2835" spans="1:14">
      <c r="A2835" s="263"/>
      <c r="B2835" s="263"/>
      <c r="C2835" s="263"/>
      <c r="D2835" s="263"/>
      <c r="E2835" s="264"/>
      <c r="F2835" s="264"/>
      <c r="G2835" s="263"/>
      <c r="H2835" s="323"/>
      <c r="I2835" s="323"/>
      <c r="J2835" s="323"/>
      <c r="K2835" s="323"/>
      <c r="L2835" s="323"/>
      <c r="M2835" s="323"/>
      <c r="N2835" s="323"/>
    </row>
    <row r="2836" spans="1:14">
      <c r="A2836" s="263"/>
      <c r="B2836" s="263"/>
      <c r="C2836" s="263"/>
      <c r="D2836" s="263"/>
      <c r="E2836" s="264"/>
      <c r="F2836" s="264"/>
      <c r="G2836" s="263"/>
      <c r="H2836" s="323"/>
      <c r="I2836" s="323"/>
      <c r="J2836" s="323"/>
      <c r="K2836" s="323"/>
      <c r="L2836" s="323"/>
      <c r="M2836" s="323"/>
      <c r="N2836" s="323"/>
    </row>
    <row r="2837" spans="1:14">
      <c r="A2837" s="263"/>
      <c r="B2837" s="263"/>
      <c r="C2837" s="263"/>
      <c r="D2837" s="263"/>
      <c r="E2837" s="264"/>
      <c r="F2837" s="264"/>
      <c r="G2837" s="263"/>
      <c r="H2837" s="323"/>
      <c r="I2837" s="323"/>
      <c r="J2837" s="323"/>
      <c r="K2837" s="323"/>
      <c r="L2837" s="323"/>
      <c r="M2837" s="323"/>
      <c r="N2837" s="323"/>
    </row>
    <row r="2838" spans="1:14">
      <c r="A2838" s="263"/>
      <c r="B2838" s="263"/>
      <c r="C2838" s="263"/>
      <c r="D2838" s="263"/>
      <c r="E2838" s="264"/>
      <c r="F2838" s="264"/>
      <c r="G2838" s="263"/>
      <c r="H2838" s="323"/>
      <c r="I2838" s="323"/>
      <c r="J2838" s="323"/>
      <c r="K2838" s="323"/>
      <c r="L2838" s="323"/>
      <c r="M2838" s="323"/>
      <c r="N2838" s="323"/>
    </row>
    <row r="2839" spans="1:14">
      <c r="A2839" s="263"/>
      <c r="B2839" s="263"/>
      <c r="C2839" s="263"/>
      <c r="D2839" s="263"/>
      <c r="E2839" s="264"/>
      <c r="F2839" s="264"/>
      <c r="G2839" s="263"/>
      <c r="H2839" s="323"/>
      <c r="I2839" s="323"/>
      <c r="J2839" s="323"/>
      <c r="K2839" s="323"/>
      <c r="L2839" s="323"/>
      <c r="M2839" s="323"/>
      <c r="N2839" s="323"/>
    </row>
    <row r="2840" spans="1:14">
      <c r="A2840" s="263"/>
      <c r="B2840" s="263"/>
      <c r="C2840" s="263"/>
      <c r="D2840" s="263"/>
      <c r="E2840" s="264"/>
      <c r="F2840" s="264"/>
      <c r="G2840" s="263"/>
      <c r="H2840" s="323"/>
      <c r="I2840" s="323"/>
      <c r="J2840" s="323"/>
      <c r="K2840" s="323"/>
      <c r="L2840" s="323"/>
      <c r="M2840" s="323"/>
      <c r="N2840" s="323"/>
    </row>
    <row r="2841" spans="1:14">
      <c r="A2841" s="263"/>
      <c r="B2841" s="263"/>
      <c r="C2841" s="263"/>
      <c r="D2841" s="263"/>
      <c r="E2841" s="264"/>
      <c r="F2841" s="264"/>
      <c r="G2841" s="263"/>
      <c r="H2841" s="323"/>
      <c r="I2841" s="323"/>
      <c r="J2841" s="323"/>
      <c r="K2841" s="323"/>
      <c r="L2841" s="323"/>
      <c r="M2841" s="323"/>
      <c r="N2841" s="323"/>
    </row>
    <row r="2842" spans="1:14">
      <c r="A2842" s="263"/>
      <c r="B2842" s="263"/>
      <c r="C2842" s="263"/>
      <c r="D2842" s="263"/>
      <c r="E2842" s="264"/>
      <c r="F2842" s="264"/>
      <c r="G2842" s="263"/>
      <c r="H2842" s="323"/>
      <c r="I2842" s="323"/>
      <c r="J2842" s="323"/>
      <c r="K2842" s="323"/>
      <c r="L2842" s="323"/>
      <c r="M2842" s="323"/>
      <c r="N2842" s="323"/>
    </row>
    <row r="2843" spans="1:14">
      <c r="A2843" s="263"/>
      <c r="B2843" s="263"/>
      <c r="C2843" s="263"/>
      <c r="D2843" s="263"/>
      <c r="E2843" s="264"/>
      <c r="F2843" s="264"/>
      <c r="G2843" s="263"/>
      <c r="H2843" s="323"/>
      <c r="I2843" s="323"/>
      <c r="J2843" s="323"/>
      <c r="K2843" s="323"/>
      <c r="L2843" s="323"/>
      <c r="M2843" s="323"/>
      <c r="N2843" s="323"/>
    </row>
  </sheetData>
  <mergeCells count="21">
    <mergeCell ref="A9:N9"/>
    <mergeCell ref="C2704:G2704"/>
    <mergeCell ref="C2705:G2705"/>
    <mergeCell ref="C2706:G2706"/>
    <mergeCell ref="C2707:G2707"/>
    <mergeCell ref="H2707:N2707"/>
    <mergeCell ref="A2704:B2708"/>
    <mergeCell ref="C2708:G2708"/>
    <mergeCell ref="H2708:N2708"/>
    <mergeCell ref="A1037:B1037"/>
    <mergeCell ref="A1263:B1263"/>
    <mergeCell ref="G7:G8"/>
    <mergeCell ref="H7:N7"/>
    <mergeCell ref="A1:N4"/>
    <mergeCell ref="A5:N5"/>
    <mergeCell ref="A6:N6"/>
    <mergeCell ref="A7:A8"/>
    <mergeCell ref="B7:B8"/>
    <mergeCell ref="C7:C8"/>
    <mergeCell ref="D7:D8"/>
    <mergeCell ref="E7:F7"/>
  </mergeCells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35"/>
  <sheetViews>
    <sheetView view="pageBreakPreview" topLeftCell="A4" zoomScale="80" zoomScaleNormal="90" zoomScaleSheetLayoutView="80" workbookViewId="0">
      <selection activeCell="E11" sqref="E11"/>
    </sheetView>
  </sheetViews>
  <sheetFormatPr baseColWidth="10" defaultColWidth="11.42578125" defaultRowHeight="15.75"/>
  <cols>
    <col min="1" max="1" width="11.42578125" style="266"/>
    <col min="2" max="2" width="8.28515625" style="340" customWidth="1"/>
    <col min="3" max="3" width="82.7109375" style="328" customWidth="1"/>
    <col min="4" max="4" width="7.28515625" style="384" customWidth="1"/>
    <col min="5" max="5" width="17.7109375" style="345" customWidth="1"/>
    <col min="6" max="6" width="16.85546875" style="334" customWidth="1"/>
    <col min="7" max="7" width="13.5703125" style="329" customWidth="1"/>
    <col min="8" max="8" width="21.28515625" style="332" customWidth="1"/>
    <col min="9" max="9" width="14.7109375" style="331" bestFit="1" customWidth="1"/>
    <col min="10" max="16384" width="11.42578125" style="266"/>
  </cols>
  <sheetData>
    <row r="1" spans="1:33" ht="18" customHeight="1" thickBot="1">
      <c r="B1" s="666"/>
      <c r="C1" s="666"/>
      <c r="D1" s="666"/>
      <c r="E1" s="666"/>
      <c r="F1" s="666"/>
      <c r="G1" s="335"/>
      <c r="H1" s="335"/>
      <c r="I1" s="335"/>
    </row>
    <row r="2" spans="1:33" ht="18" customHeight="1">
      <c r="B2" s="667" t="s">
        <v>1692</v>
      </c>
      <c r="C2" s="668"/>
      <c r="D2" s="668"/>
      <c r="E2" s="668"/>
      <c r="F2" s="669"/>
      <c r="G2" s="335"/>
      <c r="H2" s="335"/>
      <c r="I2" s="335"/>
    </row>
    <row r="3" spans="1:33" ht="14.25" customHeight="1" thickBot="1">
      <c r="B3" s="663" t="s">
        <v>1693</v>
      </c>
      <c r="C3" s="664"/>
      <c r="D3" s="664"/>
      <c r="E3" s="664"/>
      <c r="F3" s="665"/>
      <c r="G3" s="396"/>
    </row>
    <row r="4" spans="1:33" ht="21" customHeight="1">
      <c r="B4" s="671"/>
      <c r="C4" s="671"/>
      <c r="D4" s="671"/>
      <c r="E4" s="671"/>
      <c r="F4" s="671"/>
    </row>
    <row r="5" spans="1:33" ht="14.25" customHeight="1" thickBot="1">
      <c r="B5" s="341"/>
      <c r="C5" s="267"/>
      <c r="D5" s="381"/>
      <c r="E5" s="267"/>
      <c r="F5" s="337"/>
    </row>
    <row r="6" spans="1:33" s="330" customFormat="1" ht="70.5" customHeight="1" thickTop="1" thickBot="1">
      <c r="A6" s="400"/>
      <c r="B6" s="397" t="s">
        <v>1378</v>
      </c>
      <c r="C6" s="390" t="s">
        <v>1379</v>
      </c>
      <c r="D6" s="393" t="s">
        <v>4</v>
      </c>
      <c r="E6" s="391" t="s">
        <v>1380</v>
      </c>
      <c r="F6" s="391" t="s">
        <v>1680</v>
      </c>
      <c r="G6" s="391"/>
      <c r="H6" s="391"/>
      <c r="I6" s="333"/>
      <c r="J6" s="328"/>
      <c r="K6" s="328"/>
      <c r="L6" s="328"/>
      <c r="M6" s="328"/>
      <c r="N6" s="328"/>
      <c r="O6" s="328"/>
      <c r="P6" s="328"/>
      <c r="Q6" s="328"/>
      <c r="R6" s="328"/>
      <c r="S6" s="328"/>
      <c r="T6" s="328"/>
      <c r="U6" s="328"/>
      <c r="V6" s="328"/>
      <c r="W6" s="328"/>
      <c r="X6" s="328"/>
      <c r="Y6" s="328"/>
      <c r="Z6" s="328"/>
      <c r="AA6" s="328"/>
      <c r="AB6" s="328"/>
      <c r="AC6" s="328"/>
      <c r="AD6" s="328"/>
      <c r="AE6" s="328"/>
      <c r="AF6" s="328"/>
      <c r="AG6" s="328"/>
    </row>
    <row r="7" spans="1:33" s="328" customFormat="1" ht="22.15" customHeight="1" thickTop="1" thickBot="1">
      <c r="A7" s="400"/>
      <c r="B7" s="670" t="s">
        <v>1684</v>
      </c>
      <c r="C7" s="670"/>
      <c r="D7" s="672"/>
      <c r="E7" s="672"/>
      <c r="F7" s="672"/>
      <c r="G7" s="395"/>
      <c r="H7" s="394"/>
    </row>
    <row r="8" spans="1:33" s="336" customFormat="1">
      <c r="A8" s="401"/>
      <c r="B8" s="398">
        <v>1</v>
      </c>
      <c r="C8" s="379" t="s">
        <v>1686</v>
      </c>
      <c r="D8" s="382"/>
      <c r="E8" s="342"/>
      <c r="F8" s="339"/>
      <c r="G8" s="339"/>
      <c r="H8" s="339"/>
    </row>
    <row r="9" spans="1:33" s="328" customFormat="1" ht="16.5">
      <c r="A9" s="400"/>
      <c r="B9" s="399" t="s">
        <v>1685</v>
      </c>
      <c r="C9" s="359" t="s">
        <v>1695</v>
      </c>
      <c r="D9" s="383"/>
      <c r="E9" s="343"/>
      <c r="F9" s="338"/>
      <c r="G9" s="405"/>
      <c r="H9" s="405"/>
    </row>
    <row r="10" spans="1:33" s="268" customFormat="1">
      <c r="A10" s="402"/>
      <c r="B10" s="399"/>
      <c r="C10" s="392" t="s">
        <v>1701</v>
      </c>
      <c r="D10" s="410" t="s">
        <v>1697</v>
      </c>
      <c r="E10" s="344"/>
      <c r="F10" s="338"/>
      <c r="G10" s="405"/>
      <c r="H10" s="405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</row>
    <row r="11" spans="1:33" ht="17.25">
      <c r="A11" s="403"/>
      <c r="B11" s="399">
        <v>1.2</v>
      </c>
      <c r="C11" s="362" t="s">
        <v>1700</v>
      </c>
      <c r="D11" s="374"/>
      <c r="E11" s="327"/>
      <c r="F11" s="327"/>
      <c r="G11" s="405"/>
      <c r="H11" s="405"/>
      <c r="I11" s="266"/>
    </row>
    <row r="12" spans="1:33" s="268" customFormat="1">
      <c r="A12" s="402"/>
      <c r="B12" s="399"/>
      <c r="C12" s="392" t="s">
        <v>1687</v>
      </c>
      <c r="D12" s="383" t="s">
        <v>403</v>
      </c>
      <c r="E12" s="344">
        <f>Métrié!L51</f>
        <v>7533</v>
      </c>
      <c r="F12" s="411">
        <v>4700</v>
      </c>
      <c r="G12" s="405"/>
      <c r="H12" s="405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</row>
    <row r="13" spans="1:33">
      <c r="A13" s="403"/>
      <c r="B13" s="399"/>
      <c r="C13" s="380"/>
      <c r="D13" s="383"/>
      <c r="E13" s="344"/>
      <c r="F13" s="338"/>
      <c r="G13" s="405"/>
      <c r="H13" s="405"/>
      <c r="I13" s="266"/>
    </row>
    <row r="14" spans="1:33">
      <c r="A14" s="403"/>
      <c r="B14" s="399"/>
      <c r="C14" s="392"/>
      <c r="D14" s="383"/>
      <c r="E14" s="344"/>
      <c r="F14" s="338"/>
      <c r="G14" s="405"/>
      <c r="H14" s="405"/>
    </row>
    <row r="15" spans="1:33">
      <c r="A15" s="403"/>
      <c r="B15" s="399"/>
      <c r="C15" s="380"/>
      <c r="D15" s="383"/>
      <c r="E15" s="344"/>
      <c r="F15" s="338"/>
      <c r="G15" s="405"/>
      <c r="H15" s="405"/>
    </row>
    <row r="16" spans="1:33">
      <c r="A16" s="403"/>
      <c r="B16" s="399"/>
      <c r="C16" s="380"/>
      <c r="D16" s="383"/>
      <c r="E16" s="344"/>
      <c r="F16" s="338"/>
      <c r="G16" s="405"/>
      <c r="H16" s="405"/>
    </row>
    <row r="17" spans="1:8">
      <c r="A17" s="403"/>
      <c r="B17" s="399"/>
      <c r="C17" s="380"/>
      <c r="D17" s="383"/>
      <c r="E17" s="344"/>
      <c r="F17" s="338"/>
      <c r="G17" s="405"/>
      <c r="H17" s="405"/>
    </row>
    <row r="18" spans="1:8">
      <c r="A18" s="403"/>
      <c r="B18" s="399"/>
      <c r="C18" s="380"/>
      <c r="D18" s="383"/>
      <c r="E18" s="344"/>
      <c r="F18" s="338"/>
      <c r="G18" s="405"/>
      <c r="H18" s="405"/>
    </row>
    <row r="19" spans="1:8">
      <c r="A19" s="403"/>
      <c r="B19" s="399"/>
      <c r="C19" s="380"/>
      <c r="D19" s="383"/>
      <c r="E19" s="344"/>
      <c r="F19" s="338"/>
      <c r="G19" s="405"/>
      <c r="H19" s="405"/>
    </row>
    <row r="20" spans="1:8">
      <c r="A20" s="403"/>
      <c r="B20" s="399"/>
      <c r="C20" s="380"/>
      <c r="D20" s="383"/>
      <c r="E20" s="344"/>
      <c r="F20" s="338"/>
      <c r="G20" s="405"/>
      <c r="H20" s="405"/>
    </row>
    <row r="21" spans="1:8">
      <c r="A21" s="403"/>
      <c r="B21" s="399"/>
      <c r="C21" s="380"/>
      <c r="D21" s="383"/>
      <c r="E21" s="344"/>
      <c r="F21" s="338"/>
      <c r="G21" s="405"/>
      <c r="H21" s="405"/>
    </row>
    <row r="22" spans="1:8">
      <c r="A22" s="403"/>
      <c r="B22" s="399"/>
      <c r="C22" s="380"/>
      <c r="D22" s="383"/>
      <c r="E22" s="344"/>
      <c r="F22" s="338"/>
      <c r="G22" s="405"/>
      <c r="H22" s="405"/>
    </row>
    <row r="23" spans="1:8">
      <c r="A23" s="403"/>
      <c r="B23" s="399"/>
      <c r="C23" s="380"/>
      <c r="D23" s="383"/>
      <c r="E23" s="344"/>
      <c r="F23" s="338"/>
      <c r="G23" s="405"/>
      <c r="H23" s="405"/>
    </row>
    <row r="24" spans="1:8">
      <c r="A24" s="403"/>
      <c r="B24" s="399"/>
      <c r="C24" s="392"/>
      <c r="D24" s="383"/>
      <c r="E24" s="344"/>
      <c r="F24" s="338"/>
      <c r="G24" s="405"/>
      <c r="H24" s="405"/>
    </row>
    <row r="25" spans="1:8">
      <c r="A25" s="403"/>
      <c r="B25" s="399"/>
      <c r="C25" s="380"/>
      <c r="D25" s="383"/>
      <c r="E25" s="344"/>
      <c r="F25" s="338"/>
      <c r="G25" s="405"/>
      <c r="H25" s="405"/>
    </row>
    <row r="26" spans="1:8">
      <c r="A26" s="403"/>
      <c r="B26" s="399"/>
      <c r="C26" s="380"/>
      <c r="D26" s="383"/>
      <c r="E26" s="344"/>
      <c r="F26" s="338"/>
      <c r="G26" s="405"/>
      <c r="H26" s="405"/>
    </row>
    <row r="27" spans="1:8">
      <c r="A27" s="403"/>
      <c r="B27" s="399"/>
      <c r="C27" s="380"/>
      <c r="D27" s="383"/>
      <c r="E27" s="344"/>
      <c r="F27" s="338"/>
      <c r="G27" s="405"/>
      <c r="H27" s="405"/>
    </row>
    <row r="28" spans="1:8">
      <c r="A28" s="403"/>
      <c r="B28" s="399"/>
      <c r="C28" s="380"/>
      <c r="D28" s="383"/>
      <c r="E28" s="344"/>
      <c r="F28" s="338"/>
      <c r="G28" s="405"/>
      <c r="H28" s="405"/>
    </row>
    <row r="29" spans="1:8">
      <c r="A29" s="403"/>
      <c r="B29" s="399"/>
      <c r="C29" s="380"/>
      <c r="D29" s="383"/>
      <c r="E29" s="344"/>
      <c r="F29" s="338"/>
      <c r="G29" s="405"/>
      <c r="H29" s="405"/>
    </row>
    <row r="30" spans="1:8">
      <c r="A30" s="403"/>
      <c r="B30" s="399"/>
      <c r="C30" s="380"/>
      <c r="D30" s="383"/>
      <c r="E30" s="344"/>
      <c r="F30" s="338"/>
      <c r="G30" s="405"/>
      <c r="H30" s="405"/>
    </row>
    <row r="31" spans="1:8">
      <c r="A31" s="403"/>
      <c r="B31" s="399"/>
      <c r="C31" s="380"/>
      <c r="D31" s="383"/>
      <c r="E31" s="344"/>
      <c r="F31" s="338"/>
      <c r="G31" s="405"/>
      <c r="H31" s="405"/>
    </row>
    <row r="32" spans="1:8">
      <c r="A32" s="403"/>
      <c r="B32" s="399"/>
      <c r="C32" s="380"/>
      <c r="D32" s="383"/>
      <c r="E32" s="344"/>
      <c r="F32" s="338"/>
      <c r="G32" s="405"/>
      <c r="H32" s="405"/>
    </row>
    <row r="33" spans="1:8">
      <c r="A33" s="403"/>
      <c r="B33" s="399"/>
      <c r="C33" s="380"/>
      <c r="D33" s="383"/>
      <c r="E33" s="344"/>
      <c r="F33" s="338"/>
      <c r="G33" s="405"/>
      <c r="H33" s="405"/>
    </row>
    <row r="34" spans="1:8" ht="16.5" thickBot="1">
      <c r="A34" s="404"/>
      <c r="B34" s="399"/>
      <c r="C34" s="380"/>
      <c r="D34" s="383"/>
      <c r="E34" s="344"/>
      <c r="F34" s="338"/>
      <c r="G34" s="405"/>
      <c r="H34" s="405"/>
    </row>
    <row r="35" spans="1:8" ht="16.5" thickTop="1"/>
  </sheetData>
  <sheetProtection formatCells="0" formatColumns="0" formatRows="0" insertColumns="0" insertRows="0" insertHyperlinks="0" deleteColumns="0" deleteRows="0"/>
  <mergeCells count="6">
    <mergeCell ref="B3:F3"/>
    <mergeCell ref="B1:F1"/>
    <mergeCell ref="B2:F2"/>
    <mergeCell ref="B7:C7"/>
    <mergeCell ref="B4:F4"/>
    <mergeCell ref="D7:F7"/>
  </mergeCells>
  <pageMargins left="0.31496062992125984" right="0.27559055118110237" top="0.23622047244094491" bottom="0.23622047244094491" header="0.31496062992125984" footer="0.31496062992125984"/>
  <pageSetup paperSize="9" scale="68" firstPageNumber="217" fitToHeight="33" orientation="landscape" useFirstPageNumber="1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recapitulatif</vt:lpstr>
      <vt:lpstr>Décompte</vt:lpstr>
      <vt:lpstr>Situation total </vt:lpstr>
      <vt:lpstr>Feuil1</vt:lpstr>
      <vt:lpstr>Métrié</vt:lpstr>
      <vt:lpstr>ATTACHEMENT </vt:lpstr>
      <vt:lpstr>Acier Elévation</vt:lpstr>
      <vt:lpstr>RECAP </vt:lpstr>
      <vt:lpstr>'Acier Elévation'!Impression_des_titres</vt:lpstr>
      <vt:lpstr>Métrié!Impression_des_titres</vt:lpstr>
      <vt:lpstr>recapitulatif!Impression_des_titres</vt:lpstr>
      <vt:lpstr>'Acier Elévation'!Zone_d_impression</vt:lpstr>
      <vt:lpstr>'ATTACHEMENT '!Zone_d_impression</vt:lpstr>
      <vt:lpstr>Métrié!Zone_d_impression</vt:lpstr>
      <vt:lpstr>'RECAP '!Zone_d_impression</vt:lpstr>
      <vt:lpstr>recapitulatif!Zone_d_impression</vt:lpstr>
    </vt:vector>
  </TitlesOfParts>
  <Company>gros oeuvre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abderrafiq</dc:creator>
  <cp:lastModifiedBy>asus</cp:lastModifiedBy>
  <cp:lastPrinted>2022-09-26T16:05:55Z</cp:lastPrinted>
  <dcterms:created xsi:type="dcterms:W3CDTF">2014-03-20T23:58:19Z</dcterms:created>
  <dcterms:modified xsi:type="dcterms:W3CDTF">2022-10-03T11:47:25Z</dcterms:modified>
</cp:coreProperties>
</file>