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585" tabRatio="600" firstSheet="0" activeTab="0" autoFilterDateGrouping="1"/>
  </bookViews>
  <sheets>
    <sheet xmlns:r="http://schemas.openxmlformats.org/officeDocument/2006/relationships" name="100% Wind - 0% Solar" sheetId="1" state="visible" r:id="rId1"/>
  </sheets>
  <definedNames>
    <definedName name="FCI">#REF!</definedName>
    <definedName name="ISBL">#REF!</definedName>
    <definedName name="L">#REF!</definedName>
    <definedName name="Land">#REF!</definedName>
    <definedName name="TCI">#REF!</definedName>
    <definedName name="WC">#REF!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&quot;$&quot;#,##0.00"/>
    <numFmt numFmtId="165" formatCode="&quot;$&quot;#,##0.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&quot;$&quot;#,##0.000"/>
    <numFmt numFmtId="169" formatCode="#,##0.000000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0000FF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97E4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245">
    <xf numFmtId="0" fontId="0" fillId="0" borderId="0" pivotButton="0" quotePrefix="0" xfId="0"/>
    <xf numFmtId="164" fontId="6" fillId="3" borderId="1" applyAlignment="1" pivotButton="0" quotePrefix="0" xfId="0">
      <alignment horizontal="right"/>
    </xf>
    <xf numFmtId="0" fontId="2" fillId="4" borderId="2" pivotButton="0" quotePrefix="0" xfId="0"/>
    <xf numFmtId="4" fontId="3" fillId="3" borderId="3" applyAlignment="1" pivotButton="0" quotePrefix="0" xfId="0">
      <alignment horizontal="right"/>
    </xf>
    <xf numFmtId="0" fontId="2" fillId="4" borderId="4" pivotButton="0" quotePrefix="0" xfId="0"/>
    <xf numFmtId="164" fontId="3" fillId="3" borderId="5" applyAlignment="1" pivotButton="0" quotePrefix="0" xfId="0">
      <alignment horizontal="right"/>
    </xf>
    <xf numFmtId="0" fontId="2" fillId="4" borderId="6" pivotButton="0" quotePrefix="0" xfId="0"/>
    <xf numFmtId="164" fontId="2" fillId="3" borderId="2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2" fillId="3" borderId="7" applyAlignment="1" pivotButton="0" quotePrefix="0" xfId="0">
      <alignment horizontal="right"/>
    </xf>
    <xf numFmtId="0" fontId="2" fillId="4" borderId="8" applyAlignment="1" pivotButton="0" quotePrefix="0" xfId="0">
      <alignment horizontal="left"/>
    </xf>
    <xf numFmtId="164" fontId="2" fillId="3" borderId="9" applyAlignment="1" pivotButton="0" quotePrefix="0" xfId="0">
      <alignment horizontal="right"/>
    </xf>
    <xf numFmtId="0" fontId="2" fillId="4" borderId="10" applyAlignment="1" pivotButton="0" quotePrefix="0" xfId="0">
      <alignment horizontal="left"/>
    </xf>
    <xf numFmtId="4" fontId="0" fillId="5" borderId="11" applyAlignment="1" pivotButton="0" quotePrefix="0" xfId="0">
      <alignment horizontal="center"/>
    </xf>
    <xf numFmtId="164" fontId="0" fillId="5" borderId="12" applyAlignment="1" pivotButton="0" quotePrefix="0" xfId="0">
      <alignment horizontal="center"/>
    </xf>
    <xf numFmtId="0" fontId="0" fillId="5" borderId="13" applyAlignment="1" pivotButton="0" quotePrefix="0" xfId="0">
      <alignment horizontal="center"/>
    </xf>
    <xf numFmtId="4" fontId="0" fillId="5" borderId="14" applyAlignment="1" pivotButton="0" quotePrefix="0" xfId="0">
      <alignment horizontal="center"/>
    </xf>
    <xf numFmtId="4" fontId="0" fillId="5" borderId="15" applyAlignment="1" pivotButton="0" quotePrefix="0" xfId="0">
      <alignment horizontal="center"/>
    </xf>
    <xf numFmtId="0" fontId="4" fillId="5" borderId="6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164" fontId="0" fillId="5" borderId="1" pivotButton="0" quotePrefix="0" xfId="0"/>
    <xf numFmtId="164" fontId="0" fillId="5" borderId="17" pivotButton="0" quotePrefix="0" xfId="0"/>
    <xf numFmtId="0" fontId="2" fillId="3" borderId="4" pivotButton="0" quotePrefix="0" xfId="0"/>
    <xf numFmtId="164" fontId="0" fillId="5" borderId="18" pivotButton="0" quotePrefix="0" xfId="0"/>
    <xf numFmtId="164" fontId="0" fillId="5" borderId="13" pivotButton="0" quotePrefix="0" xfId="0"/>
    <xf numFmtId="0" fontId="2" fillId="3" borderId="12" pivotButton="0" quotePrefix="0" xfId="0"/>
    <xf numFmtId="0" fontId="5" fillId="4" borderId="20" pivotButton="0" quotePrefix="0" xfId="0"/>
    <xf numFmtId="164" fontId="4" fillId="5" borderId="1" pivotButton="0" quotePrefix="0" xfId="0"/>
    <xf numFmtId="10" fontId="0" fillId="5" borderId="17" pivotButton="0" quotePrefix="0" xfId="0"/>
    <xf numFmtId="164" fontId="4" fillId="5" borderId="17" pivotButton="0" quotePrefix="0" xfId="0"/>
    <xf numFmtId="10" fontId="0" fillId="5" borderId="4" pivotButton="0" quotePrefix="0" xfId="0"/>
    <xf numFmtId="4" fontId="2" fillId="3" borderId="4" pivotButton="0" quotePrefix="0" xfId="0"/>
    <xf numFmtId="0" fontId="0" fillId="5" borderId="12" pivotButton="0" quotePrefix="0" xfId="0"/>
    <xf numFmtId="164" fontId="4" fillId="5" borderId="18" pivotButton="0" quotePrefix="0" xfId="0"/>
    <xf numFmtId="0" fontId="0" fillId="5" borderId="13" pivotButton="0" quotePrefix="0" xfId="0"/>
    <xf numFmtId="164" fontId="4" fillId="5" borderId="13" pivotButton="0" quotePrefix="0" xfId="0"/>
    <xf numFmtId="10" fontId="0" fillId="5" borderId="13" pivotButton="0" quotePrefix="0" xfId="0"/>
    <xf numFmtId="10" fontId="0" fillId="5" borderId="12" pivotButton="0" quotePrefix="0" xfId="0"/>
    <xf numFmtId="164" fontId="0" fillId="5" borderId="12" pivotButton="0" quotePrefix="0" xfId="0"/>
    <xf numFmtId="164" fontId="0" fillId="5" borderId="5" pivotButton="0" quotePrefix="0" xfId="0"/>
    <xf numFmtId="0" fontId="0" fillId="5" borderId="6" pivotButton="0" quotePrefix="0" xfId="0"/>
    <xf numFmtId="164" fontId="0" fillId="5" borderId="6" pivotButton="0" quotePrefix="0" xfId="0"/>
    <xf numFmtId="0" fontId="0" fillId="5" borderId="21" pivotButton="0" quotePrefix="0" xfId="0"/>
    <xf numFmtId="0" fontId="5" fillId="3" borderId="12" pivotButton="0" quotePrefix="0" xfId="0"/>
    <xf numFmtId="0" fontId="2" fillId="4" borderId="19" applyAlignment="1" pivotButton="0" quotePrefix="0" xfId="0">
      <alignment horizontal="center"/>
    </xf>
    <xf numFmtId="0" fontId="5" fillId="4" borderId="21" pivotButton="0" quotePrefix="0" xfId="0"/>
    <xf numFmtId="0" fontId="4" fillId="0" borderId="0" applyAlignment="1" pivotButton="0" quotePrefix="0" xfId="0">
      <alignment vertical="center"/>
    </xf>
    <xf numFmtId="9" fontId="0" fillId="5" borderId="1" applyAlignment="1" pivotButton="0" quotePrefix="0" xfId="0">
      <alignment horizontal="center"/>
    </xf>
    <xf numFmtId="0" fontId="0" fillId="5" borderId="16" applyAlignment="1" pivotButton="0" quotePrefix="0" xfId="0">
      <alignment horizontal="center"/>
    </xf>
    <xf numFmtId="9" fontId="0" fillId="5" borderId="4" applyAlignment="1" pivotButton="0" quotePrefix="0" xfId="0">
      <alignment horizontal="center"/>
    </xf>
    <xf numFmtId="164" fontId="0" fillId="5" borderId="17" applyAlignment="1" pivotButton="0" quotePrefix="0" xfId="0">
      <alignment horizontal="center"/>
    </xf>
    <xf numFmtId="0" fontId="0" fillId="5" borderId="4" pivotButton="0" quotePrefix="0" xfId="0"/>
    <xf numFmtId="9" fontId="0" fillId="5" borderId="18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9" fontId="0" fillId="5" borderId="12" applyAlignment="1" pivotButton="0" quotePrefix="0" xfId="0">
      <alignment horizontal="center"/>
    </xf>
    <xf numFmtId="164" fontId="0" fillId="5" borderId="13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10" fontId="0" fillId="5" borderId="13" applyAlignment="1" pivotButton="0" quotePrefix="0" xfId="0">
      <alignment horizontal="center"/>
    </xf>
    <xf numFmtId="164" fontId="0" fillId="5" borderId="0" applyAlignment="1" pivotButton="0" quotePrefix="0" xfId="0">
      <alignment horizontal="center"/>
    </xf>
    <xf numFmtId="164" fontId="0" fillId="5" borderId="6" applyAlignment="1" pivotButton="0" quotePrefix="0" xfId="0">
      <alignment horizontal="center"/>
    </xf>
    <xf numFmtId="0" fontId="2" fillId="4" borderId="22" applyAlignment="1" pivotButton="0" quotePrefix="0" xfId="0">
      <alignment horizontal="center"/>
    </xf>
    <xf numFmtId="0" fontId="2" fillId="4" borderId="20" applyAlignment="1" pivotButton="0" quotePrefix="0" xfId="0">
      <alignment horizontal="center"/>
    </xf>
    <xf numFmtId="0" fontId="2" fillId="4" borderId="20" pivotButton="0" quotePrefix="0" xfId="0"/>
    <xf numFmtId="164" fontId="3" fillId="3" borderId="19" pivotButton="0" quotePrefix="0" xfId="0"/>
    <xf numFmtId="10" fontId="3" fillId="5" borderId="1" pivotButton="0" quotePrefix="0" xfId="0"/>
    <xf numFmtId="0" fontId="0" fillId="5" borderId="17" pivotButton="0" quotePrefix="0" xfId="0"/>
    <xf numFmtId="10" fontId="3" fillId="5" borderId="18" pivotButton="0" quotePrefix="0" xfId="0"/>
    <xf numFmtId="4" fontId="3" fillId="5" borderId="18" pivotButton="0" quotePrefix="0" xfId="0"/>
    <xf numFmtId="164" fontId="3" fillId="5" borderId="18" pivotButton="0" quotePrefix="0" xfId="0"/>
    <xf numFmtId="0" fontId="0" fillId="5" borderId="18" applyAlignment="1" pivotButton="0" quotePrefix="0" xfId="0">
      <alignment horizontal="left"/>
    </xf>
    <xf numFmtId="0" fontId="0" fillId="5" borderId="12" applyAlignment="1" pivotButton="0" quotePrefix="0" xfId="0">
      <alignment horizontal="left"/>
    </xf>
    <xf numFmtId="164" fontId="3" fillId="5" borderId="5" pivotButton="0" quotePrefix="0" xfId="0"/>
    <xf numFmtId="0" fontId="0" fillId="5" borderId="5" applyAlignment="1" pivotButton="0" quotePrefix="0" xfId="0">
      <alignment horizontal="left"/>
    </xf>
    <xf numFmtId="0" fontId="0" fillId="5" borderId="21" applyAlignment="1" pivotButton="0" quotePrefix="0" xfId="0">
      <alignment horizontal="left"/>
    </xf>
    <xf numFmtId="164" fontId="3" fillId="5" borderId="18" applyAlignment="1" pivotButton="0" quotePrefix="0" xfId="0">
      <alignment horizontal="center"/>
    </xf>
    <xf numFmtId="164" fontId="3" fillId="5" borderId="13" applyAlignment="1" pivotButton="0" quotePrefix="0" xfId="0">
      <alignment horizontal="center"/>
    </xf>
    <xf numFmtId="164" fontId="3" fillId="5" borderId="17" applyAlignment="1" pivotButton="0" quotePrefix="0" xfId="0">
      <alignment horizontal="center"/>
    </xf>
    <xf numFmtId="0" fontId="3" fillId="5" borderId="17" applyAlignment="1" pivotButton="0" quotePrefix="0" xfId="0">
      <alignment horizontal="center"/>
    </xf>
    <xf numFmtId="0" fontId="3" fillId="5" borderId="13" applyAlignment="1" pivotButton="0" quotePrefix="0" xfId="0">
      <alignment horizontal="center"/>
    </xf>
    <xf numFmtId="0" fontId="3" fillId="5" borderId="6" applyAlignment="1" pivotButton="0" quotePrefix="0" xfId="0">
      <alignment horizontal="center"/>
    </xf>
    <xf numFmtId="0" fontId="2" fillId="4" borderId="2" applyAlignment="1" pivotButton="0" quotePrefix="0" xfId="0">
      <alignment horizontal="center" vertical="center" wrapText="1"/>
    </xf>
    <xf numFmtId="9" fontId="0" fillId="0" borderId="0" pivotButton="0" quotePrefix="0" xfId="0"/>
    <xf numFmtId="164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4" fontId="0" fillId="7" borderId="1" pivotButton="0" quotePrefix="0" xfId="0"/>
    <xf numFmtId="4" fontId="0" fillId="7" borderId="17" pivotButton="0" quotePrefix="0" xfId="0"/>
    <xf numFmtId="4" fontId="0" fillId="7" borderId="18" pivotButton="0" quotePrefix="0" xfId="0"/>
    <xf numFmtId="4" fontId="0" fillId="7" borderId="13" pivotButton="0" quotePrefix="0" xfId="0"/>
    <xf numFmtId="10" fontId="0" fillId="7" borderId="18" pivotButton="0" quotePrefix="0" xfId="0"/>
    <xf numFmtId="0" fontId="0" fillId="7" borderId="0" pivotButton="0" quotePrefix="0" xfId="0"/>
    <xf numFmtId="164" fontId="0" fillId="5" borderId="1" pivotButton="0" quotePrefix="0" xfId="2"/>
    <xf numFmtId="164" fontId="4" fillId="8" borderId="19" pivotButton="0" quotePrefix="0" xfId="2"/>
    <xf numFmtId="0" fontId="0" fillId="8" borderId="22" pivotButton="0" quotePrefix="0" xfId="0"/>
    <xf numFmtId="0" fontId="4" fillId="8" borderId="22" applyAlignment="1" pivotButton="0" quotePrefix="0" xfId="0">
      <alignment horizontal="center"/>
    </xf>
    <xf numFmtId="0" fontId="4" fillId="8" borderId="20" pivotButton="0" quotePrefix="0" xfId="0"/>
    <xf numFmtId="164" fontId="0" fillId="5" borderId="18" pivotButton="0" quotePrefix="0" xfId="2"/>
    <xf numFmtId="0" fontId="0" fillId="5" borderId="0" pivotButton="0" quotePrefix="0" xfId="0"/>
    <xf numFmtId="9" fontId="0" fillId="5" borderId="0" pivotButton="0" quotePrefix="0" xfId="0"/>
    <xf numFmtId="164" fontId="5" fillId="0" borderId="0" pivotButton="0" quotePrefix="0" xfId="0"/>
    <xf numFmtId="164" fontId="4" fillId="5" borderId="18" pivotButton="0" quotePrefix="0" xfId="2"/>
    <xf numFmtId="0" fontId="4" fillId="5" borderId="0" applyAlignment="1" pivotButton="0" quotePrefix="0" xfId="0">
      <alignment horizontal="center"/>
    </xf>
    <xf numFmtId="0" fontId="4" fillId="5" borderId="12" pivotButton="0" quotePrefix="0" xfId="0"/>
    <xf numFmtId="10" fontId="5" fillId="3" borderId="1" pivotButton="0" quotePrefix="0" xfId="0"/>
    <xf numFmtId="0" fontId="2" fillId="4" borderId="17" pivotButton="0" quotePrefix="0" xfId="0"/>
    <xf numFmtId="0" fontId="2" fillId="0" borderId="0" applyAlignment="1" pivotButton="0" quotePrefix="0" xfId="0">
      <alignment horizontal="center"/>
    </xf>
    <xf numFmtId="164" fontId="5" fillId="3" borderId="18" pivotButton="0" quotePrefix="0" xfId="0"/>
    <xf numFmtId="0" fontId="2" fillId="4" borderId="13" pivotButton="0" quotePrefix="0" xfId="0"/>
    <xf numFmtId="0" fontId="4" fillId="0" borderId="0" applyAlignment="1" pivotButton="0" quotePrefix="0" xfId="0">
      <alignment horizontal="center"/>
    </xf>
    <xf numFmtId="164" fontId="5" fillId="3" borderId="5" pivotButton="0" quotePrefix="0" xfId="0"/>
    <xf numFmtId="4" fontId="8" fillId="5" borderId="1" pivotButton="0" quotePrefix="0" xfId="0"/>
    <xf numFmtId="164" fontId="0" fillId="2" borderId="0" pivotButton="0" quotePrefix="0" xfId="2"/>
    <xf numFmtId="0" fontId="8" fillId="2" borderId="0" pivotButton="0" quotePrefix="0" xfId="0"/>
    <xf numFmtId="0" fontId="0" fillId="2" borderId="0" applyAlignment="1" pivotButton="0" quotePrefix="0" xfId="0">
      <alignment horizontal="center" vertical="center"/>
    </xf>
    <xf numFmtId="4" fontId="5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" fontId="8" fillId="5" borderId="18" pivotButton="0" quotePrefix="0" xfId="0"/>
    <xf numFmtId="10" fontId="8" fillId="5" borderId="18" pivotButton="0" quotePrefix="0" xfId="3"/>
    <xf numFmtId="164" fontId="0" fillId="2" borderId="0" pivotButton="0" quotePrefix="0" xfId="0"/>
    <xf numFmtId="164" fontId="8" fillId="2" borderId="0" pivotButton="0" quotePrefix="0" xfId="2"/>
    <xf numFmtId="164" fontId="0" fillId="2" borderId="0" applyAlignment="1" pivotButton="0" quotePrefix="0" xfId="2">
      <alignment horizontal="right"/>
    </xf>
    <xf numFmtId="164" fontId="8" fillId="2" borderId="0" applyAlignment="1" pivotButton="0" quotePrefix="0" xfId="2">
      <alignment horizontal="right"/>
    </xf>
    <xf numFmtId="0" fontId="0" fillId="2" borderId="0" applyAlignment="1" pivotButton="0" quotePrefix="0" xfId="0">
      <alignment horizontal="left"/>
    </xf>
    <xf numFmtId="164" fontId="4" fillId="8" borderId="19" pivotButton="0" quotePrefix="0" xfId="0"/>
    <xf numFmtId="0" fontId="4" fillId="2" borderId="23" applyAlignment="1" pivotButton="0" quotePrefix="0" xfId="0">
      <alignment horizontal="center"/>
    </xf>
    <xf numFmtId="165" fontId="8" fillId="2" borderId="0" pivotButton="0" quotePrefix="0" xfId="1"/>
    <xf numFmtId="0" fontId="2" fillId="10" borderId="20" applyAlignment="1" pivotButton="0" quotePrefix="0" xfId="0">
      <alignment horizontal="center"/>
    </xf>
    <xf numFmtId="0" fontId="2" fillId="10" borderId="24" applyAlignment="1" pivotButton="0" quotePrefix="0" xfId="0">
      <alignment horizontal="center"/>
    </xf>
    <xf numFmtId="0" fontId="2" fillId="10" borderId="2" applyAlignment="1" pivotButton="0" quotePrefix="0" xfId="0">
      <alignment horizontal="center"/>
    </xf>
    <xf numFmtId="0" fontId="2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 wrapText="1"/>
    </xf>
    <xf numFmtId="0" fontId="2" fillId="10" borderId="19" applyAlignment="1" pivotButton="0" quotePrefix="0" xfId="0">
      <alignment horizontal="center" vertical="center" wrapText="1"/>
    </xf>
    <xf numFmtId="0" fontId="0" fillId="11" borderId="25" applyAlignment="1" pivotButton="0" quotePrefix="0" xfId="0">
      <alignment horizontal="center"/>
    </xf>
    <xf numFmtId="0" fontId="0" fillId="11" borderId="26" applyAlignment="1" pivotButton="0" quotePrefix="0" xfId="0">
      <alignment horizontal="center"/>
    </xf>
    <xf numFmtId="2" fontId="10" fillId="11" borderId="18" applyAlignment="1" applyProtection="1" pivotButton="0" quotePrefix="0" xfId="0">
      <alignment horizontal="right"/>
      <protection locked="0" hidden="0"/>
    </xf>
    <xf numFmtId="0" fontId="4" fillId="11" borderId="12" pivotButton="0" quotePrefix="0" xfId="0"/>
    <xf numFmtId="0" fontId="0" fillId="11" borderId="0" pivotButton="0" quotePrefix="0" xfId="0"/>
    <xf numFmtId="0" fontId="0" fillId="11" borderId="18" pivotButton="0" quotePrefix="0" xfId="0"/>
    <xf numFmtId="0" fontId="4" fillId="7" borderId="13" applyAlignment="1" pivotButton="0" quotePrefix="0" xfId="0">
      <alignment horizontal="center"/>
    </xf>
    <xf numFmtId="0" fontId="0" fillId="7" borderId="13" applyAlignment="1" pivotButton="0" quotePrefix="0" xfId="0">
      <alignment horizontal="center"/>
    </xf>
    <xf numFmtId="0" fontId="0" fillId="7" borderId="18" applyAlignment="1" pivotButton="0" quotePrefix="0" xfId="0">
      <alignment horizontal="center"/>
    </xf>
    <xf numFmtId="0" fontId="0" fillId="11" borderId="27" applyAlignment="1" pivotButton="0" quotePrefix="0" xfId="0">
      <alignment horizontal="left"/>
    </xf>
    <xf numFmtId="0" fontId="0" fillId="11" borderId="28" applyAlignment="1" pivotButton="0" quotePrefix="0" xfId="0">
      <alignment horizontal="center"/>
    </xf>
    <xf numFmtId="4" fontId="10" fillId="11" borderId="29" applyAlignment="1" applyProtection="1" pivotButton="0" quotePrefix="0" xfId="0">
      <alignment horizontal="right"/>
      <protection locked="0" hidden="0"/>
    </xf>
    <xf numFmtId="0" fontId="0" fillId="11" borderId="30" applyAlignment="1" pivotButton="0" quotePrefix="0" xfId="0">
      <alignment horizontal="left"/>
    </xf>
    <xf numFmtId="0" fontId="0" fillId="11" borderId="31" applyAlignment="1" pivotButton="0" quotePrefix="0" xfId="0">
      <alignment horizontal="center"/>
    </xf>
    <xf numFmtId="0" fontId="10" fillId="11" borderId="29" applyAlignment="1" applyProtection="1" pivotButton="0" quotePrefix="0" xfId="0">
      <alignment horizontal="right"/>
      <protection locked="0" hidden="0"/>
    </xf>
    <xf numFmtId="0" fontId="0" fillId="11" borderId="12" pivotButton="0" quotePrefix="0" xfId="0"/>
    <xf numFmtId="0" fontId="0" fillId="11" borderId="32" applyAlignment="1" pivotButton="0" quotePrefix="0" xfId="0">
      <alignment horizontal="center"/>
    </xf>
    <xf numFmtId="0" fontId="10" fillId="11" borderId="18" applyProtection="1" pivotButton="0" quotePrefix="0" xfId="0">
      <protection locked="0" hidden="0"/>
    </xf>
    <xf numFmtId="9" fontId="10" fillId="11" borderId="29" applyAlignment="1" applyProtection="1" pivotButton="0" quotePrefix="0" xfId="0">
      <alignment horizontal="right"/>
      <protection locked="0" hidden="0"/>
    </xf>
    <xf numFmtId="0" fontId="0" fillId="11" borderId="30" pivotButton="0" quotePrefix="0" xfId="0"/>
    <xf numFmtId="0" fontId="10" fillId="11" borderId="29" applyProtection="1" pivotButton="0" quotePrefix="0" xfId="0">
      <protection locked="0" hidden="0"/>
    </xf>
    <xf numFmtId="0" fontId="10" fillId="7" borderId="29" applyAlignment="1" applyProtection="1" pivotButton="0" quotePrefix="0" xfId="0">
      <alignment horizontal="right"/>
      <protection locked="0" hidden="0"/>
    </xf>
    <xf numFmtId="0" fontId="4" fillId="7" borderId="17" applyAlignment="1" pivotButton="0" quotePrefix="0" xfId="0">
      <alignment horizontal="center"/>
    </xf>
    <xf numFmtId="0" fontId="0" fillId="7" borderId="17" applyAlignment="1" pivotButton="0" quotePrefix="0" xfId="0">
      <alignment horizontal="center"/>
    </xf>
    <xf numFmtId="0" fontId="4" fillId="11" borderId="12" applyAlignment="1" pivotButton="0" quotePrefix="0" xfId="0">
      <alignment horizontal="left"/>
    </xf>
    <xf numFmtId="0" fontId="0" fillId="11" borderId="33" pivotButton="0" quotePrefix="0" xfId="0"/>
    <xf numFmtId="0" fontId="0" fillId="11" borderId="34" applyAlignment="1" pivotButton="0" quotePrefix="0" xfId="0">
      <alignment horizontal="center"/>
    </xf>
    <xf numFmtId="0" fontId="10" fillId="11" borderId="35" applyProtection="1" pivotButton="0" quotePrefix="0" xfId="0">
      <protection locked="0" hidden="0"/>
    </xf>
    <xf numFmtId="9" fontId="10" fillId="11" borderId="29" applyProtection="1" pivotButton="0" quotePrefix="0" xfId="1">
      <protection locked="0" hidden="0"/>
    </xf>
    <xf numFmtId="0" fontId="2" fillId="4" borderId="12" pivotButton="0" quotePrefix="0" xfId="0"/>
    <xf numFmtId="0" fontId="0" fillId="4" borderId="18" pivotButton="0" quotePrefix="0" xfId="0"/>
    <xf numFmtId="0" fontId="2" fillId="10" borderId="18" applyAlignment="1" applyProtection="1" pivotButton="0" quotePrefix="0" xfId="0">
      <alignment horizontal="right"/>
      <protection locked="0" hidden="0"/>
    </xf>
    <xf numFmtId="43" fontId="10" fillId="11" borderId="29" applyProtection="1" pivotButton="0" quotePrefix="0" xfId="1">
      <protection locked="0" hidden="0"/>
    </xf>
    <xf numFmtId="0" fontId="0" fillId="4" borderId="1" pivotButton="0" quotePrefix="0" xfId="0"/>
    <xf numFmtId="0" fontId="2" fillId="10" borderId="1" applyAlignment="1" applyProtection="1" pivotButton="0" quotePrefix="0" xfId="0">
      <alignment horizontal="right"/>
      <protection locked="0" hidden="0"/>
    </xf>
    <xf numFmtId="0" fontId="0" fillId="11" borderId="21" pivotButton="0" quotePrefix="0" xfId="0"/>
    <xf numFmtId="0" fontId="0" fillId="11" borderId="23" pivotButton="0" quotePrefix="0" xfId="0"/>
    <xf numFmtId="0" fontId="0" fillId="11" borderId="5" pivotButton="0" quotePrefix="0" xfId="0"/>
    <xf numFmtId="164" fontId="10" fillId="11" borderId="29" applyProtection="1" pivotButton="0" quotePrefix="0" xfId="0">
      <protection locked="0" hidden="0"/>
    </xf>
    <xf numFmtId="0" fontId="10" fillId="11" borderId="18" applyAlignment="1" applyProtection="1" pivotButton="0" quotePrefix="0" xfId="0">
      <alignment horizontal="center"/>
      <protection locked="0" hidden="0"/>
    </xf>
    <xf numFmtId="0" fontId="3" fillId="11" borderId="12" pivotButton="0" quotePrefix="0" xfId="0"/>
    <xf numFmtId="43" fontId="10" fillId="11" borderId="29" applyAlignment="1" applyProtection="1" pivotButton="0" quotePrefix="0" xfId="1">
      <alignment horizontal="center"/>
      <protection locked="0" hidden="0"/>
    </xf>
    <xf numFmtId="0" fontId="4" fillId="11" borderId="30" applyAlignment="1" pivotButton="0" quotePrefix="0" xfId="0">
      <alignment horizontal="left"/>
    </xf>
    <xf numFmtId="0" fontId="0" fillId="11" borderId="33" applyAlignment="1" pivotButton="0" quotePrefix="0" xfId="0">
      <alignment horizontal="left"/>
    </xf>
    <xf numFmtId="0" fontId="10" fillId="7" borderId="35" applyAlignment="1" applyProtection="1" pivotButton="0" quotePrefix="0" xfId="0">
      <alignment horizontal="right"/>
      <protection locked="0" hidden="0"/>
    </xf>
    <xf numFmtId="0" fontId="0" fillId="11" borderId="36" applyAlignment="1" pivotButton="0" quotePrefix="0" xfId="0">
      <alignment horizontal="center"/>
    </xf>
    <xf numFmtId="164" fontId="10" fillId="11" borderId="37" applyAlignment="1" applyProtection="1" pivotButton="0" quotePrefix="0" xfId="0">
      <alignment horizontal="right"/>
      <protection locked="0" hidden="0"/>
    </xf>
    <xf numFmtId="164" fontId="10" fillId="11" borderId="29" applyAlignment="1" applyProtection="1" pivotButton="0" quotePrefix="0" xfId="0">
      <alignment horizontal="right"/>
      <protection locked="0" hidden="0"/>
    </xf>
    <xf numFmtId="0" fontId="0" fillId="11" borderId="31" pivotButton="0" quotePrefix="0" xfId="0"/>
    <xf numFmtId="0" fontId="4" fillId="11" borderId="30" pivotButton="0" quotePrefix="0" xfId="0"/>
    <xf numFmtId="0" fontId="0" fillId="11" borderId="29" pivotButton="0" quotePrefix="0" xfId="0"/>
    <xf numFmtId="0" fontId="10" fillId="11" borderId="29" pivotButton="0" quotePrefix="0" xfId="0"/>
    <xf numFmtId="0" fontId="10" fillId="11" borderId="35" pivotButton="0" quotePrefix="0" xfId="0"/>
    <xf numFmtId="0" fontId="5" fillId="13" borderId="6" pivotButton="0" quotePrefix="0" xfId="0"/>
    <xf numFmtId="0" fontId="5" fillId="13" borderId="13" pivotButton="0" quotePrefix="0" xfId="0"/>
    <xf numFmtId="0" fontId="2" fillId="13" borderId="2" applyAlignment="1" pivotButton="0" quotePrefix="0" xfId="0">
      <alignment horizontal="center"/>
    </xf>
    <xf numFmtId="0" fontId="2" fillId="13" borderId="19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0" fontId="0" fillId="14" borderId="13" pivotButton="0" quotePrefix="0" xfId="0"/>
    <xf numFmtId="0" fontId="0" fillId="14" borderId="18" pivotButton="0" quotePrefix="0" xfId="0"/>
    <xf numFmtId="0" fontId="4" fillId="14" borderId="13" applyAlignment="1" pivotButton="0" quotePrefix="0" xfId="0">
      <alignment horizontal="center"/>
    </xf>
    <xf numFmtId="0" fontId="4" fillId="14" borderId="17" applyAlignment="1" pivotButton="0" quotePrefix="0" xfId="0">
      <alignment horizontal="center"/>
    </xf>
    <xf numFmtId="0" fontId="0" fillId="14" borderId="17" pivotButton="0" quotePrefix="0" xfId="0"/>
    <xf numFmtId="0" fontId="0" fillId="14" borderId="1" pivotButton="0" quotePrefix="0" xfId="0"/>
    <xf numFmtId="0" fontId="2" fillId="12" borderId="20" applyAlignment="1" pivotButton="0" quotePrefix="0" xfId="0">
      <alignment horizontal="center"/>
    </xf>
    <xf numFmtId="0" fontId="2" fillId="12" borderId="22" applyAlignment="1" pivotButton="0" quotePrefix="0" xfId="0">
      <alignment horizontal="center"/>
    </xf>
    <xf numFmtId="0" fontId="2" fillId="12" borderId="19" applyAlignment="1" pivotButton="0" quotePrefix="0" xfId="0">
      <alignment horizontal="center"/>
    </xf>
    <xf numFmtId="0" fontId="2" fillId="13" borderId="20" applyAlignment="1" pivotButton="0" quotePrefix="0" xfId="0">
      <alignment horizontal="center"/>
    </xf>
    <xf numFmtId="0" fontId="2" fillId="13" borderId="22" applyAlignment="1" pivotButton="0" quotePrefix="0" xfId="0">
      <alignment horizontal="center"/>
    </xf>
    <xf numFmtId="0" fontId="0" fillId="2" borderId="0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/>
    </xf>
    <xf numFmtId="0" fontId="0" fillId="0" borderId="23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166" fontId="0" fillId="2" borderId="0" applyAlignment="1" pivotButton="0" quotePrefix="0" xfId="2">
      <alignment horizontal="center"/>
    </xf>
    <xf numFmtId="166" fontId="0" fillId="2" borderId="0" pivotButton="0" quotePrefix="0" xfId="2"/>
    <xf numFmtId="167" fontId="0" fillId="5" borderId="13" applyAlignment="1" pivotButton="0" quotePrefix="0" xfId="2">
      <alignment horizontal="center"/>
    </xf>
    <xf numFmtId="166" fontId="0" fillId="5" borderId="13" applyAlignment="1" pivotButton="0" quotePrefix="0" xfId="2">
      <alignment horizontal="center"/>
    </xf>
    <xf numFmtId="168" fontId="10" fillId="11" borderId="29" applyAlignment="1" applyProtection="1" pivotButton="0" quotePrefix="0" xfId="0">
      <alignment horizontal="right"/>
      <protection locked="0" hidden="0"/>
    </xf>
    <xf numFmtId="169" fontId="10" fillId="11" borderId="29" applyAlignment="1" applyProtection="1" pivotButton="0" quotePrefix="0" xfId="0">
      <alignment horizontal="right"/>
      <protection locked="0" hidden="0"/>
    </xf>
    <xf numFmtId="0" fontId="4" fillId="2" borderId="0" applyAlignment="1" pivotButton="0" quotePrefix="0" xfId="0">
      <alignment horizontal="center"/>
    </xf>
    <xf numFmtId="0" fontId="0" fillId="2" borderId="0" pivotButton="0" quotePrefix="0" xfId="0"/>
    <xf numFmtId="0" fontId="2" fillId="4" borderId="2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19" pivotButton="0" quotePrefix="0" xfId="0"/>
    <xf numFmtId="0" fontId="0" fillId="5" borderId="13" applyAlignment="1" pivotButton="0" quotePrefix="0" xfId="0">
      <alignment horizontal="left"/>
    </xf>
    <xf numFmtId="0" fontId="0" fillId="0" borderId="18" pivotButton="0" quotePrefix="0" xfId="0"/>
    <xf numFmtId="0" fontId="2" fillId="4" borderId="2" applyAlignment="1" pivotButton="0" quotePrefix="0" xfId="0">
      <alignment horizontal="center"/>
    </xf>
    <xf numFmtId="0" fontId="2" fillId="9" borderId="2" applyAlignment="1" pivotButton="0" quotePrefix="0" xfId="0">
      <alignment horizontal="center"/>
    </xf>
    <xf numFmtId="0" fontId="0" fillId="5" borderId="17" applyAlignment="1" pivotButton="0" quotePrefix="0" xfId="0">
      <alignment horizontal="left"/>
    </xf>
    <xf numFmtId="0" fontId="0" fillId="0" borderId="1" pivotButton="0" quotePrefix="0" xfId="0"/>
    <xf numFmtId="0" fontId="2" fillId="7" borderId="6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5" pivotButton="0" quotePrefix="0" xfId="0"/>
    <xf numFmtId="0" fontId="4" fillId="2" borderId="16" applyAlignment="1" pivotButton="0" quotePrefix="0" xfId="0">
      <alignment horizontal="center"/>
    </xf>
    <xf numFmtId="0" fontId="0" fillId="0" borderId="16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2" fillId="4" borderId="6" applyAlignment="1" pivotButton="0" quotePrefix="0" xfId="0">
      <alignment horizontal="center"/>
    </xf>
    <xf numFmtId="0" fontId="7" fillId="6" borderId="12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0" fontId="2" fillId="4" borderId="4" applyAlignment="1" pivotButton="0" quotePrefix="0" xfId="0">
      <alignment horizontal="center" vertical="center"/>
    </xf>
    <xf numFmtId="164" fontId="8" fillId="2" borderId="0" applyAlignment="1" pivotButton="0" quotePrefix="0" xfId="0">
      <alignment horizontal="right"/>
    </xf>
    <xf numFmtId="164" fontId="0" fillId="2" borderId="0" applyAlignment="1" pivotButton="0" quotePrefix="0" xfId="0">
      <alignment horizontal="right"/>
    </xf>
    <xf numFmtId="164" fontId="4" fillId="2" borderId="23" applyAlignment="1" pivotButton="0" quotePrefix="0" xfId="0">
      <alignment horizontal="right"/>
    </xf>
    <xf numFmtId="0" fontId="4" fillId="2" borderId="23" applyAlignment="1" pivotButton="0" quotePrefix="0" xfId="0">
      <alignment horizontal="left"/>
    </xf>
    <xf numFmtId="166" fontId="0" fillId="2" borderId="0" applyAlignment="1" pivotButton="0" quotePrefix="0" xfId="2">
      <alignment horizontal="center"/>
    </xf>
    <xf numFmtId="166" fontId="0" fillId="2" borderId="0" pivotButton="0" quotePrefix="0" xfId="2"/>
    <xf numFmtId="167" fontId="0" fillId="5" borderId="13" applyAlignment="1" pivotButton="0" quotePrefix="0" xfId="2">
      <alignment horizontal="center"/>
    </xf>
    <xf numFmtId="166" fontId="0" fillId="5" borderId="13" applyAlignment="1" pivotButton="0" quotePrefix="0" xfId="2">
      <alignment horizontal="center"/>
    </xf>
    <xf numFmtId="168" fontId="10" fillId="11" borderId="29" applyAlignment="1" applyProtection="1" pivotButton="0" quotePrefix="0" xfId="0">
      <alignment horizontal="right"/>
      <protection locked="0" hidden="0"/>
    </xf>
    <xf numFmtId="169" fontId="10" fillId="11" borderId="29" applyAlignment="1" applyProtection="1" pivotButton="0" quotePrefix="0" xfId="0">
      <alignment horizontal="right"/>
      <protection locked="0" hidden="0"/>
    </xf>
  </cellXfs>
  <cellStyles count="4">
    <cellStyle name="Normal" xfId="0" builtinId="0"/>
    <cellStyle name="Comma" xfId="1" builtinId="3"/>
    <cellStyle name="Currency" xfId="2" builtinId="4"/>
    <cellStyle name="Percent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8">
    <tabColor theme="9"/>
    <outlinePr summaryBelow="1" summaryRight="1"/>
    <pageSetUpPr/>
  </sheetPr>
  <dimension ref="A1:AZ200"/>
  <sheetViews>
    <sheetView showGridLines="0" tabSelected="1" topLeftCell="W1" zoomScale="84" zoomScaleNormal="84" workbookViewId="0">
      <selection activeCell="AB12" sqref="AB12"/>
    </sheetView>
  </sheetViews>
  <sheetFormatPr baseColWidth="8" defaultRowHeight="15" outlineLevelCol="0"/>
  <cols>
    <col width="31.42578125" bestFit="1" customWidth="1" style="230" min="1" max="1"/>
    <col width="22.7109375" bestFit="1" customWidth="1" style="230" min="2" max="2"/>
    <col width="25.5703125" bestFit="1" customWidth="1" style="230" min="3" max="3"/>
    <col width="33.7109375" bestFit="1" customWidth="1" style="230" min="4" max="4"/>
    <col width="17.5703125" bestFit="1" customWidth="1" style="230" min="5" max="5"/>
    <col width="20.85546875" bestFit="1" customWidth="1" style="230" min="6" max="6"/>
    <col width="18.28515625" bestFit="1" customWidth="1" style="230" min="7" max="7"/>
    <col width="18.5703125" bestFit="1" customWidth="1" style="230" min="8" max="8"/>
    <col width="17.5703125" bestFit="1" customWidth="1" style="230" min="9" max="9"/>
    <col width="20.5703125" bestFit="1" customWidth="1" style="230" min="10" max="10"/>
    <col width="33.85546875" bestFit="1" customWidth="1" style="230" min="11" max="11"/>
    <col width="31" customWidth="1" style="230" min="12" max="12"/>
    <col width="25" customWidth="1" style="214" min="13" max="13"/>
    <col width="41.140625" customWidth="1" style="214" min="14" max="14"/>
    <col width="24.28515625" customWidth="1" style="214" min="15" max="15"/>
    <col width="23" customWidth="1" style="214" min="16" max="16"/>
    <col width="5.7109375" customWidth="1" style="230" min="17" max="17"/>
    <col width="22.42578125" customWidth="1" style="214" min="18" max="18"/>
    <col width="28" customWidth="1" style="214" min="19" max="19"/>
    <col width="41.85546875" customWidth="1" style="214" min="20" max="20"/>
    <col width="22.28515625" customWidth="1" style="214" min="21" max="21"/>
    <col width="27.140625" customWidth="1" style="214" min="22" max="23"/>
    <col width="5.7109375" customWidth="1" style="230" min="24" max="24"/>
    <col width="21.140625" customWidth="1" style="214" min="25" max="25"/>
    <col width="33.85546875" customWidth="1" style="122" min="26" max="26"/>
    <col width="22" customWidth="1" style="236" min="27" max="27"/>
    <col width="22.5703125" customWidth="1" style="236" min="28" max="28"/>
    <col width="23.7109375" customWidth="1" style="214" min="29" max="29"/>
    <col width="25.28515625" customWidth="1" style="214" min="30" max="30"/>
  </cols>
  <sheetData>
    <row r="1" ht="60" customHeight="1" s="230">
      <c r="A1" s="233" t="inlineStr">
        <is>
          <t>TECHNO-ECONOMIC ASSESSMENT WITH SENSITIVITY ANALYSIS</t>
        </is>
      </c>
    </row>
    <row r="2" ht="15.75" customHeight="1" s="230" thickBot="1">
      <c r="M2" s="227" t="inlineStr">
        <is>
          <t>Equipment Data Cost</t>
        </is>
      </c>
      <c r="N2" s="228" t="n"/>
      <c r="O2" s="228" t="n"/>
      <c r="P2" s="228" t="n"/>
      <c r="R2" s="227" t="inlineStr">
        <is>
          <t>Raw Material / Utility</t>
        </is>
      </c>
      <c r="S2" s="228" t="n"/>
      <c r="T2" s="228" t="n"/>
      <c r="U2" s="228" t="n"/>
      <c r="V2" s="228" t="n"/>
      <c r="W2" s="228" t="n"/>
      <c r="Y2" s="213" t="inlineStr">
        <is>
          <t>Products Data</t>
        </is>
      </c>
    </row>
    <row r="3" ht="25.15" customHeight="1" s="230" thickBot="1">
      <c r="A3" s="215" t="inlineStr">
        <is>
          <t>TEA Inputs/Assumptions</t>
        </is>
      </c>
      <c r="B3" s="217" t="n"/>
      <c r="D3" s="215" t="inlineStr">
        <is>
          <t>Total Capital Investment Methodology (TCI)</t>
        </is>
      </c>
      <c r="E3" s="216" t="n"/>
      <c r="F3" s="216" t="n"/>
      <c r="G3" s="217" t="n"/>
      <c r="M3" s="124" t="inlineStr">
        <is>
          <t>Process Area</t>
        </is>
      </c>
      <c r="N3" s="124" t="inlineStr">
        <is>
          <t>Process Area Name</t>
        </is>
      </c>
      <c r="O3" s="124" t="inlineStr">
        <is>
          <t>Installed Cost ($)</t>
        </is>
      </c>
      <c r="P3" s="124" t="inlineStr">
        <is>
          <t>Inside Battery Limit ($)</t>
        </is>
      </c>
      <c r="R3" s="124" t="inlineStr">
        <is>
          <t>Process Area</t>
        </is>
      </c>
      <c r="S3" s="124" t="inlineStr">
        <is>
          <t xml:space="preserve">Raw Material </t>
        </is>
      </c>
      <c r="T3" s="124" t="inlineStr">
        <is>
          <t>Flow Rate (kg/hr) or Power / Capacity (kW)</t>
        </is>
      </c>
      <c r="U3" s="124" t="inlineStr">
        <is>
          <t>Unit Price ($/kg)</t>
        </is>
      </c>
      <c r="V3" s="124" t="inlineStr">
        <is>
          <t>Annual Amount ($/year)</t>
        </is>
      </c>
      <c r="W3" s="124" t="inlineStr">
        <is>
          <t>Total Amount ($)</t>
        </is>
      </c>
      <c r="Y3" s="124" t="inlineStr">
        <is>
          <t>Process Area</t>
        </is>
      </c>
      <c r="Z3" s="238" t="inlineStr">
        <is>
          <t>Products</t>
        </is>
      </c>
      <c r="AA3" s="237" t="inlineStr">
        <is>
          <t>Flow Rate (kg/hr)</t>
        </is>
      </c>
      <c r="AB3" s="237" t="inlineStr">
        <is>
          <t>Unit Price ($/kg)</t>
        </is>
      </c>
      <c r="AC3" s="124" t="inlineStr">
        <is>
          <t>Annual Sale ($/year)</t>
        </is>
      </c>
      <c r="AD3" s="124" t="inlineStr">
        <is>
          <t>Total Revenue of Sale ($)</t>
        </is>
      </c>
    </row>
    <row r="4" ht="15.75" customHeight="1" s="230" thickBot="1">
      <c r="A4" s="40">
        <f>E173</f>
        <v/>
      </c>
      <c r="B4" s="116">
        <f>G173</f>
        <v/>
      </c>
      <c r="D4" s="95" t="inlineStr">
        <is>
          <t xml:space="preserve">Total Installed Equipment Cost </t>
        </is>
      </c>
      <c r="E4" s="94" t="inlineStr">
        <is>
          <t>IC</t>
        </is>
      </c>
      <c r="F4" s="93" t="n"/>
      <c r="G4" s="123">
        <f>P4</f>
        <v/>
      </c>
      <c r="M4" s="115" t="n">
        <v>1</v>
      </c>
      <c r="N4" s="214" t="inlineStr">
        <is>
          <t>Test Equipment Data 1</t>
        </is>
      </c>
      <c r="O4" s="119" t="n">
        <v>1</v>
      </c>
      <c r="P4" s="111">
        <f>SUM(O:O)</f>
        <v/>
      </c>
      <c r="R4" s="115" t="n">
        <v>1</v>
      </c>
      <c r="S4" s="214" t="inlineStr">
        <is>
          <t>Testing Raw Material 1</t>
        </is>
      </c>
      <c r="T4" s="112" t="n">
        <v>1</v>
      </c>
      <c r="U4" s="119" t="n">
        <v>0.1</v>
      </c>
      <c r="V4" s="111">
        <f>T4*U4*$B$10</f>
        <v/>
      </c>
      <c r="W4" s="111">
        <f>SUM(V:V)</f>
        <v/>
      </c>
      <c r="Y4" s="115" t="n">
        <v>1</v>
      </c>
      <c r="Z4" s="122" t="inlineStr">
        <is>
          <t>Testing Product Data 1</t>
        </is>
      </c>
      <c r="AA4" s="235" t="n">
        <v>1</v>
      </c>
      <c r="AB4" s="121" t="n">
        <v>0.1</v>
      </c>
      <c r="AC4" s="120">
        <f>AA4*AB4*B10</f>
        <v/>
      </c>
      <c r="AD4" s="111">
        <f>SUM(AC:AC)</f>
        <v/>
      </c>
    </row>
    <row r="5">
      <c r="A5" s="34">
        <f>E170</f>
        <v/>
      </c>
      <c r="B5" s="117">
        <f>G170</f>
        <v/>
      </c>
      <c r="D5" s="32" t="inlineStr">
        <is>
          <t>Warehouse</t>
        </is>
      </c>
      <c r="E5" s="98" t="n">
        <v>0.04</v>
      </c>
      <c r="F5" s="97" t="inlineStr">
        <is>
          <t>of ISBL</t>
        </is>
      </c>
      <c r="G5" s="96">
        <f>E5*$P$4</f>
        <v/>
      </c>
      <c r="K5" s="83" t="inlineStr">
        <is>
          <t>Total Installed Equipment Cost (IC)</t>
        </is>
      </c>
      <c r="L5" s="99">
        <f>G4</f>
        <v/>
      </c>
      <c r="M5" s="115" t="n"/>
      <c r="N5" t="inlineStr">
        <is>
          <t>Test Equipment Data 2</t>
        </is>
      </c>
      <c r="O5" s="119" t="n">
        <v>2</v>
      </c>
      <c r="P5" s="118" t="n"/>
      <c r="Q5" s="105" t="n"/>
      <c r="R5" s="115" t="n"/>
      <c r="S5" t="inlineStr">
        <is>
          <t>Testing Raw Material 2</t>
        </is>
      </c>
      <c r="T5" s="112" t="n">
        <v>2</v>
      </c>
      <c r="U5" s="119" t="n">
        <v>0.2</v>
      </c>
      <c r="V5" s="111">
        <f>T5*U5*$B$10</f>
        <v/>
      </c>
      <c r="W5" s="111" t="n"/>
      <c r="Y5" s="115" t="n"/>
      <c r="Z5" s="122" t="inlineStr">
        <is>
          <t>Testing Product Data 2</t>
        </is>
      </c>
      <c r="AA5" s="235" t="n">
        <v>2</v>
      </c>
      <c r="AB5" s="121" t="n">
        <v>0.2</v>
      </c>
      <c r="AC5" s="120">
        <f>AA5*AB5*B10</f>
        <v/>
      </c>
      <c r="AD5" s="118" t="n"/>
    </row>
    <row r="6">
      <c r="A6" s="34">
        <f>E174</f>
        <v/>
      </c>
      <c r="B6" s="116">
        <f>G174</f>
        <v/>
      </c>
      <c r="D6" s="32" t="inlineStr">
        <is>
          <t>Site Development</t>
        </is>
      </c>
      <c r="E6" s="98" t="n">
        <v>0.09</v>
      </c>
      <c r="F6" s="97" t="inlineStr">
        <is>
          <t>of ISBL</t>
        </is>
      </c>
      <c r="G6" s="96">
        <f>E6*$P$4</f>
        <v/>
      </c>
      <c r="K6" s="83" t="inlineStr">
        <is>
          <t>Construction</t>
        </is>
      </c>
      <c r="L6" s="99">
        <f>SUM(G5:G7)</f>
        <v/>
      </c>
      <c r="M6" s="115" t="n"/>
      <c r="N6" t="inlineStr">
        <is>
          <t>Test Equipment Data 3</t>
        </is>
      </c>
      <c r="O6" s="119" t="n">
        <v>3</v>
      </c>
      <c r="P6" s="118" t="n"/>
      <c r="Q6" s="229" t="n"/>
      <c r="R6" s="115" t="n"/>
      <c r="S6" t="inlineStr">
        <is>
          <t>Testing Raw Material 3</t>
        </is>
      </c>
      <c r="T6" s="112" t="n">
        <v>3</v>
      </c>
      <c r="U6" s="119" t="n">
        <v>0.3</v>
      </c>
      <c r="V6" s="111">
        <f>T6*U6*$B$10</f>
        <v/>
      </c>
      <c r="W6" s="111" t="n"/>
      <c r="Y6" s="115" t="n"/>
      <c r="Z6" s="122" t="inlineStr">
        <is>
          <t>Testing Product Data 3</t>
        </is>
      </c>
      <c r="AA6" s="236" t="n">
        <v>3</v>
      </c>
      <c r="AB6" s="120" t="n">
        <v>0.3</v>
      </c>
      <c r="AC6" s="239">
        <f>AA6*AB6*B10</f>
        <v/>
      </c>
    </row>
    <row r="7" ht="15.75" customHeight="1" s="230" thickBot="1">
      <c r="A7" s="34">
        <f>E175</f>
        <v/>
      </c>
      <c r="B7" s="116">
        <f>G175</f>
        <v/>
      </c>
      <c r="D7" s="32" t="inlineStr">
        <is>
          <t xml:space="preserve">Annual Piping </t>
        </is>
      </c>
      <c r="E7" s="98" t="n">
        <v>0.05</v>
      </c>
      <c r="F7" s="97" t="inlineStr">
        <is>
          <t>of ISBL</t>
        </is>
      </c>
      <c r="G7" s="96">
        <f>E7*$P$4</f>
        <v/>
      </c>
      <c r="K7" s="83" t="inlineStr">
        <is>
          <t>Home Office</t>
        </is>
      </c>
      <c r="L7" s="99">
        <f>G11</f>
        <v/>
      </c>
      <c r="M7" s="115" t="n"/>
      <c r="O7" s="119" t="n"/>
      <c r="P7" s="118" t="n"/>
      <c r="Q7" s="229" t="n"/>
      <c r="R7" s="115" t="n"/>
      <c r="T7" s="112" t="n"/>
      <c r="U7" s="119" t="n"/>
      <c r="V7" s="111" t="n"/>
      <c r="W7" s="111" t="n"/>
      <c r="Y7" s="115" t="n"/>
      <c r="AB7" s="120" t="n"/>
      <c r="AC7" s="239" t="n"/>
    </row>
    <row r="8" ht="15.75" customHeight="1" s="230" thickBot="1">
      <c r="A8" s="34">
        <f>E171</f>
        <v/>
      </c>
      <c r="B8" s="117">
        <f>G171</f>
        <v/>
      </c>
      <c r="D8" s="95" t="inlineStr">
        <is>
          <t xml:space="preserve">Total Direct Cost </t>
        </is>
      </c>
      <c r="E8" s="94" t="inlineStr">
        <is>
          <t>TDC</t>
        </is>
      </c>
      <c r="F8" s="93" t="n"/>
      <c r="G8" s="92">
        <f>SUM(G4:G7)</f>
        <v/>
      </c>
      <c r="K8" s="83" t="inlineStr">
        <is>
          <t>Other</t>
        </is>
      </c>
      <c r="L8" s="99">
        <f>G9+G10+G13</f>
        <v/>
      </c>
      <c r="M8" s="115" t="n"/>
      <c r="O8" s="240" t="n"/>
      <c r="Q8" s="229" t="n"/>
      <c r="R8" s="115" t="n"/>
      <c r="T8" s="112" t="n"/>
      <c r="U8" s="119" t="n"/>
      <c r="V8" s="111" t="n"/>
      <c r="W8" s="111" t="n"/>
    </row>
    <row r="9">
      <c r="A9" s="34">
        <f>E176</f>
        <v/>
      </c>
      <c r="B9" s="116">
        <f>G176</f>
        <v/>
      </c>
      <c r="D9" s="32" t="inlineStr">
        <is>
          <t>Portable Expenses</t>
        </is>
      </c>
      <c r="E9" s="98" t="n">
        <v>0.1</v>
      </c>
      <c r="F9" s="97" t="inlineStr">
        <is>
          <t>of TDC</t>
        </is>
      </c>
      <c r="G9" s="96">
        <f>E9*$G$8</f>
        <v/>
      </c>
      <c r="K9" s="83" t="inlineStr">
        <is>
          <t>Project Contingency</t>
        </is>
      </c>
      <c r="L9" s="99">
        <f>G12</f>
        <v/>
      </c>
      <c r="M9" s="115" t="n"/>
      <c r="O9" s="240" t="n"/>
      <c r="Q9" s="114" t="n"/>
      <c r="R9" s="113" t="n"/>
      <c r="T9" s="112" t="n"/>
      <c r="U9" s="125" t="n"/>
      <c r="V9" s="111" t="n"/>
      <c r="W9" s="240" t="n"/>
    </row>
    <row r="10" ht="15.75" customHeight="1" s="230" thickBot="1">
      <c r="A10" s="65">
        <f>E169</f>
        <v/>
      </c>
      <c r="B10" s="110">
        <f>G169</f>
        <v/>
      </c>
      <c r="D10" s="32" t="inlineStr">
        <is>
          <t>Field Expenses</t>
        </is>
      </c>
      <c r="E10" s="98" t="n">
        <v>0.1</v>
      </c>
      <c r="F10" s="97" t="inlineStr">
        <is>
          <t>of TDC</t>
        </is>
      </c>
      <c r="G10" s="96">
        <f>E10*$G$8</f>
        <v/>
      </c>
      <c r="K10" s="83" t="inlineStr">
        <is>
          <t>Working Capital &amp; Site</t>
        </is>
      </c>
      <c r="L10" s="99">
        <f>G16+G17</f>
        <v/>
      </c>
    </row>
    <row r="11" ht="15.75" customHeight="1" s="230" thickBot="1">
      <c r="D11" s="32" t="inlineStr">
        <is>
          <t>Home Office &amp; Construction Fee</t>
        </is>
      </c>
      <c r="E11" s="98" t="n">
        <v>0.2</v>
      </c>
      <c r="F11" s="97" t="inlineStr">
        <is>
          <t>of TDC</t>
        </is>
      </c>
      <c r="G11" s="96">
        <f>E11*$G$8</f>
        <v/>
      </c>
      <c r="K11" s="83" t="n"/>
      <c r="L11" s="83" t="n"/>
      <c r="Q11" s="229" t="n"/>
    </row>
    <row r="12">
      <c r="A12" s="6" t="inlineStr">
        <is>
          <t>LCOH</t>
        </is>
      </c>
      <c r="B12" s="109">
        <f>B162</f>
        <v/>
      </c>
      <c r="D12" s="32" t="inlineStr">
        <is>
          <t>Project Contingency</t>
        </is>
      </c>
      <c r="E12" s="98" t="n">
        <v>0.1</v>
      </c>
      <c r="F12" s="97" t="inlineStr">
        <is>
          <t>of TDC</t>
        </is>
      </c>
      <c r="G12" s="96">
        <f>E12*$G$8</f>
        <v/>
      </c>
      <c r="K12" s="229">
        <f>A160</f>
        <v/>
      </c>
      <c r="Q12" s="83" t="n"/>
      <c r="X12" s="108" t="n"/>
    </row>
    <row r="13">
      <c r="A13" s="107" t="inlineStr">
        <is>
          <t>NPV</t>
        </is>
      </c>
      <c r="B13" s="106">
        <f>D59</f>
        <v/>
      </c>
      <c r="D13" s="32" t="inlineStr">
        <is>
          <t>Other Costs (Start-Up, Permits, etc.)</t>
        </is>
      </c>
      <c r="E13" s="98" t="n">
        <v>0.1</v>
      </c>
      <c r="F13" s="97" t="inlineStr">
        <is>
          <t>of TDC</t>
        </is>
      </c>
      <c r="G13" s="96">
        <f>E13*$G$8</f>
        <v/>
      </c>
      <c r="K13" s="83">
        <f>D18</f>
        <v/>
      </c>
      <c r="L13" s="99">
        <f>D60-(B5*B157)</f>
        <v/>
      </c>
      <c r="Q13" s="105" t="n"/>
      <c r="X13" s="8" t="n"/>
    </row>
    <row r="14" ht="15.75" customHeight="1" s="230" thickBot="1">
      <c r="A14" s="104" t="inlineStr">
        <is>
          <t>ROI</t>
        </is>
      </c>
      <c r="B14" s="103">
        <f>D64</f>
        <v/>
      </c>
      <c r="D14" s="102" t="inlineStr">
        <is>
          <t xml:space="preserve">Total Indirect Cost </t>
        </is>
      </c>
      <c r="E14" s="101" t="inlineStr">
        <is>
          <t>TIDC</t>
        </is>
      </c>
      <c r="F14" s="97" t="n"/>
      <c r="G14" s="100">
        <f>SUM(G9:G13)</f>
        <v/>
      </c>
      <c r="K14" s="83">
        <f>A17</f>
        <v/>
      </c>
      <c r="L14" s="99">
        <f>B17*(1-B5)</f>
        <v/>
      </c>
      <c r="Q14" s="229" t="n"/>
      <c r="X14" s="8" t="n"/>
    </row>
    <row r="15" ht="15.75" customHeight="1" s="230" thickBot="1">
      <c r="D15" s="95" t="inlineStr">
        <is>
          <t xml:space="preserve">Fixed Capital Investment </t>
        </is>
      </c>
      <c r="E15" s="94" t="inlineStr">
        <is>
          <t>FCI</t>
        </is>
      </c>
      <c r="F15" s="93" t="n"/>
      <c r="G15" s="92">
        <f>G8+G14</f>
        <v/>
      </c>
      <c r="K15" s="83" t="n"/>
      <c r="L15" s="83" t="n"/>
      <c r="Q15" s="229" t="n"/>
      <c r="X15" s="8" t="n"/>
    </row>
    <row r="16">
      <c r="A16" s="40" t="inlineStr">
        <is>
          <t>Total Raw Material Cost</t>
        </is>
      </c>
      <c r="B16" s="39">
        <f>W4</f>
        <v/>
      </c>
      <c r="D16" s="32" t="inlineStr">
        <is>
          <t>Land</t>
        </is>
      </c>
      <c r="E16" s="98" t="n">
        <v>0.02</v>
      </c>
      <c r="F16" s="97" t="inlineStr">
        <is>
          <t>of IC</t>
        </is>
      </c>
      <c r="G16" s="96">
        <f>E16*G4</f>
        <v/>
      </c>
      <c r="K16" s="83" t="n"/>
      <c r="L16" s="83" t="n"/>
      <c r="Q16" s="229" t="n"/>
      <c r="X16" s="8" t="n"/>
    </row>
    <row r="17" ht="15.75" customHeight="1" s="230" thickBot="1">
      <c r="A17" s="34" t="inlineStr">
        <is>
          <t>Manufacturing Cost</t>
        </is>
      </c>
      <c r="B17" s="96">
        <f>0.1*G15+2.73*B18+1.23*B16</f>
        <v/>
      </c>
      <c r="D17" s="32" t="inlineStr">
        <is>
          <t>Working Capital</t>
        </is>
      </c>
      <c r="E17" s="98" t="n">
        <v>0.05</v>
      </c>
      <c r="F17" s="97" t="inlineStr">
        <is>
          <t>of FCI</t>
        </is>
      </c>
      <c r="G17" s="96">
        <f>E17*G15</f>
        <v/>
      </c>
      <c r="K17" s="83" t="n"/>
      <c r="L17" s="83" t="n"/>
      <c r="Q17" s="229" t="n"/>
      <c r="X17" s="8" t="n"/>
    </row>
    <row r="18" ht="15.75" customHeight="1" s="230" thickBot="1">
      <c r="A18" s="34" t="inlineStr">
        <is>
          <t>Labour Cost</t>
        </is>
      </c>
      <c r="B18" s="96">
        <f>1.6%*G4</f>
        <v/>
      </c>
      <c r="D18" s="95" t="inlineStr">
        <is>
          <t xml:space="preserve">Total Capital Investment </t>
        </is>
      </c>
      <c r="E18" s="94" t="inlineStr">
        <is>
          <t>TCI</t>
        </is>
      </c>
      <c r="F18" s="93" t="n"/>
      <c r="G18" s="92">
        <f>SUM(G15:G17)</f>
        <v/>
      </c>
      <c r="K18" s="83" t="n"/>
      <c r="L18" s="83" t="n"/>
      <c r="Q18" s="229" t="n"/>
      <c r="X18" s="8" t="n"/>
    </row>
    <row r="19" ht="15.75" customHeight="1" s="230" thickBot="1">
      <c r="A19" s="65" t="inlineStr">
        <is>
          <t>Total Revenue from Products Sale</t>
        </is>
      </c>
      <c r="B19" s="91">
        <f>AD4</f>
        <v/>
      </c>
      <c r="K19" s="83" t="n"/>
      <c r="L19" s="83" t="n"/>
      <c r="Q19" s="229" t="n"/>
      <c r="X19" s="8" t="n"/>
    </row>
    <row r="20">
      <c r="F20" s="84" t="n"/>
      <c r="X20" s="8" t="n"/>
    </row>
    <row r="21" ht="15.75" customHeight="1" s="230" thickBot="1">
      <c r="F21" s="84" t="n"/>
      <c r="X21" s="8" t="n"/>
    </row>
    <row r="22">
      <c r="A22" s="224" t="inlineStr">
        <is>
          <t>Electrolyzer Sizing Inputs</t>
        </is>
      </c>
      <c r="B22" s="225" t="n"/>
      <c r="C22" s="226" t="n"/>
      <c r="D22" s="90" t="inlineStr">
        <is>
          <t>Ignore this yellow highlighted part</t>
        </is>
      </c>
      <c r="F22" s="84" t="n"/>
      <c r="X22" s="8" t="n"/>
    </row>
    <row r="23">
      <c r="A23" s="88" t="inlineStr">
        <is>
          <t xml:space="preserve">Required hydrogen flow rate </t>
        </is>
      </c>
      <c r="B23" s="87" t="n">
        <v>5555.555555555556</v>
      </c>
      <c r="C23" s="87" t="inlineStr">
        <is>
          <t>kg/hr</t>
        </is>
      </c>
      <c r="F23" s="84" t="n"/>
      <c r="X23" s="8" t="n"/>
    </row>
    <row r="24">
      <c r="A24" s="88" t="inlineStr">
        <is>
          <t>Efficiency of electrolyzer</t>
        </is>
      </c>
      <c r="B24" s="89" t="n">
        <v>0.7</v>
      </c>
      <c r="C24" s="87" t="inlineStr">
        <is>
          <t>%</t>
        </is>
      </c>
      <c r="F24" s="84" t="n"/>
      <c r="X24" s="8" t="n"/>
    </row>
    <row r="25">
      <c r="A25" s="88" t="inlineStr">
        <is>
          <t xml:space="preserve">LHV of H2 </t>
        </is>
      </c>
      <c r="B25" s="87" t="n">
        <v>0.033</v>
      </c>
      <c r="C25" s="87" t="inlineStr">
        <is>
          <t>MWh/kg</t>
        </is>
      </c>
      <c r="F25" s="84" t="n"/>
      <c r="X25" s="8" t="n"/>
    </row>
    <row r="26" ht="15.75" customHeight="1" s="230" thickBot="1">
      <c r="A26" s="86" t="inlineStr">
        <is>
          <t>Required power</t>
        </is>
      </c>
      <c r="B26" s="85" t="n">
        <v>261.9047619047619</v>
      </c>
      <c r="C26" s="85" t="inlineStr">
        <is>
          <t>MW</t>
        </is>
      </c>
      <c r="F26" s="84" t="n"/>
      <c r="X26" s="8" t="n"/>
    </row>
    <row r="27">
      <c r="A27" s="83" t="inlineStr">
        <is>
          <t>Depreciation Factor</t>
        </is>
      </c>
      <c r="B27" s="83" t="n"/>
      <c r="C27" s="82" t="n"/>
      <c r="D27" s="81" t="n"/>
    </row>
    <row r="28" ht="15.75" customHeight="1" s="230" thickBot="1"/>
    <row r="29" ht="27.75" customHeight="1" s="230" thickBot="1">
      <c r="A29" s="215" t="inlineStr">
        <is>
          <t>End of Year</t>
        </is>
      </c>
      <c r="B29" s="215" t="inlineStr">
        <is>
          <t>Investment</t>
        </is>
      </c>
      <c r="C29" s="215" t="inlineStr">
        <is>
          <t>Depriciation (Straight-Line)</t>
        </is>
      </c>
      <c r="D29" s="215" t="inlineStr">
        <is>
          <t>Book Value</t>
        </is>
      </c>
      <c r="E29" s="215" t="inlineStr">
        <is>
          <t>Revenue</t>
        </is>
      </c>
      <c r="F29" s="215" t="inlineStr">
        <is>
          <t>Cost of Manufacturing</t>
        </is>
      </c>
      <c r="G29" s="215" t="inlineStr">
        <is>
          <t>Cash Flow after Tax</t>
        </is>
      </c>
      <c r="H29" s="215" t="inlineStr">
        <is>
          <t>After Tax Cash Flow</t>
        </is>
      </c>
      <c r="I29" s="215" t="inlineStr">
        <is>
          <t>Comulative Sum</t>
        </is>
      </c>
      <c r="J29" s="215" t="inlineStr">
        <is>
          <t>Discounted Cash Flow</t>
        </is>
      </c>
      <c r="K29" s="215" t="inlineStr">
        <is>
          <t>Comulative Discounted Cash Flow</t>
        </is>
      </c>
      <c r="L29" s="80" t="inlineStr">
        <is>
          <t>Factor for Automatic Calculation of Payback Period (ignore this)</t>
        </is>
      </c>
    </row>
    <row r="30">
      <c r="A30" s="79" t="n">
        <v>0</v>
      </c>
      <c r="B30" s="75">
        <f>G16</f>
        <v/>
      </c>
      <c r="C30" s="75" t="n"/>
      <c r="D30" s="75">
        <f>G15</f>
        <v/>
      </c>
      <c r="E30" s="75" t="n"/>
      <c r="F30" s="75" t="n"/>
      <c r="G30" s="75" t="n"/>
      <c r="H30" s="75">
        <f>-B30</f>
        <v/>
      </c>
      <c r="I30" s="75">
        <f>H30</f>
        <v/>
      </c>
      <c r="J30" s="75">
        <f>H30/(1+$B$8)^A30</f>
        <v/>
      </c>
      <c r="K30" s="74">
        <f>J30</f>
        <v/>
      </c>
      <c r="L30" s="241" t="inlineStr">
        <is>
          <t>-</t>
        </is>
      </c>
    </row>
    <row r="31">
      <c r="A31" s="78" t="n">
        <v>1</v>
      </c>
      <c r="B31" s="75">
        <f>G15+G17</f>
        <v/>
      </c>
      <c r="C31" s="75" t="n"/>
      <c r="D31" s="75">
        <f>G15</f>
        <v/>
      </c>
      <c r="E31" s="75" t="n"/>
      <c r="F31" s="75" t="n"/>
      <c r="G31" s="75" t="n"/>
      <c r="H31" s="75">
        <f>-B31</f>
        <v/>
      </c>
      <c r="I31" s="75">
        <f>I30+H31</f>
        <v/>
      </c>
      <c r="J31" s="75">
        <f>H31/(1+$B$8)^A31</f>
        <v/>
      </c>
      <c r="K31" s="74">
        <f>K30+J31</f>
        <v/>
      </c>
      <c r="L31" s="241" t="inlineStr">
        <is>
          <t>-</t>
        </is>
      </c>
    </row>
    <row r="32">
      <c r="A32" s="78" t="n">
        <v>2</v>
      </c>
      <c r="B32" s="75" t="n"/>
      <c r="C32" s="75">
        <f>$G$15/$B$4</f>
        <v/>
      </c>
      <c r="D32" s="75">
        <f>D31-C32</f>
        <v/>
      </c>
      <c r="E32" s="75">
        <f>$B$19</f>
        <v/>
      </c>
      <c r="F32" s="75">
        <f>$B$17</f>
        <v/>
      </c>
      <c r="G32" s="75">
        <f>(E32-F32-C32)*(1-$B$5)+C32</f>
        <v/>
      </c>
      <c r="H32" s="75">
        <f>G32</f>
        <v/>
      </c>
      <c r="I32" s="75">
        <f>I31+H32</f>
        <v/>
      </c>
      <c r="J32" s="75">
        <f>H32/(1+$B$8)^A32</f>
        <v/>
      </c>
      <c r="K32" s="74">
        <f>K31+J32</f>
        <v/>
      </c>
      <c r="L32" s="242">
        <f>(-K31)/J32</f>
        <v/>
      </c>
    </row>
    <row r="33">
      <c r="A33" s="78" t="n">
        <v>3</v>
      </c>
      <c r="B33" s="75" t="n"/>
      <c r="C33" s="75">
        <f>$G$15/$B$4</f>
        <v/>
      </c>
      <c r="D33" s="75">
        <f>D32-C33</f>
        <v/>
      </c>
      <c r="E33" s="75">
        <f>$B$19</f>
        <v/>
      </c>
      <c r="F33" s="75">
        <f>$B$17</f>
        <v/>
      </c>
      <c r="G33" s="75">
        <f>(E33-F33-C33)*(1-$B$5)+C33</f>
        <v/>
      </c>
      <c r="H33" s="75">
        <f>G33</f>
        <v/>
      </c>
      <c r="I33" s="75">
        <f>I32+H33</f>
        <v/>
      </c>
      <c r="J33" s="75">
        <f>H33/(1+$B$8)^A33</f>
        <v/>
      </c>
      <c r="K33" s="74">
        <f>K32+J33</f>
        <v/>
      </c>
      <c r="L33" s="242">
        <f>(-K32)/J33</f>
        <v/>
      </c>
    </row>
    <row r="34">
      <c r="A34" s="78" t="n">
        <v>4</v>
      </c>
      <c r="B34" s="75" t="n"/>
      <c r="C34" s="75">
        <f>$G$15/$B$4</f>
        <v/>
      </c>
      <c r="D34" s="75">
        <f>D33-C34</f>
        <v/>
      </c>
      <c r="E34" s="75">
        <f>$B$19</f>
        <v/>
      </c>
      <c r="F34" s="75">
        <f>$B$17</f>
        <v/>
      </c>
      <c r="G34" s="75">
        <f>(E34-F34-C34)*(1-$B$5)+C34</f>
        <v/>
      </c>
      <c r="H34" s="75">
        <f>G34</f>
        <v/>
      </c>
      <c r="I34" s="75">
        <f>I33+H34</f>
        <v/>
      </c>
      <c r="J34" s="75">
        <f>H34/(1+$B$8)^A34</f>
        <v/>
      </c>
      <c r="K34" s="74">
        <f>K33+J34</f>
        <v/>
      </c>
      <c r="L34" s="242">
        <f>(-K33)/J34</f>
        <v/>
      </c>
    </row>
    <row r="35">
      <c r="A35" s="78" t="n">
        <v>5</v>
      </c>
      <c r="B35" s="75" t="n"/>
      <c r="C35" s="75">
        <f>$G$15/$B$4</f>
        <v/>
      </c>
      <c r="D35" s="75">
        <f>D34-C35</f>
        <v/>
      </c>
      <c r="E35" s="75">
        <f>$B$19</f>
        <v/>
      </c>
      <c r="F35" s="75">
        <f>$B$17</f>
        <v/>
      </c>
      <c r="G35" s="75">
        <f>(E35-F35-C35)*(1-$B$5)+C35</f>
        <v/>
      </c>
      <c r="H35" s="75">
        <f>G35</f>
        <v/>
      </c>
      <c r="I35" s="75">
        <f>I34+H35</f>
        <v/>
      </c>
      <c r="J35" s="75">
        <f>H35/(1+$B$8)^A35</f>
        <v/>
      </c>
      <c r="K35" s="74">
        <f>K34+J35</f>
        <v/>
      </c>
      <c r="L35" s="242">
        <f>(-K34)/J35</f>
        <v/>
      </c>
    </row>
    <row r="36">
      <c r="A36" s="78" t="n">
        <v>6</v>
      </c>
      <c r="B36" s="75" t="n"/>
      <c r="C36" s="75">
        <f>$G$15/$B$4</f>
        <v/>
      </c>
      <c r="D36" s="75">
        <f>D35-C36</f>
        <v/>
      </c>
      <c r="E36" s="75">
        <f>$B$19</f>
        <v/>
      </c>
      <c r="F36" s="75">
        <f>$B$17</f>
        <v/>
      </c>
      <c r="G36" s="75">
        <f>(E36-F36-C36)*(1-$B$5)+C36</f>
        <v/>
      </c>
      <c r="H36" s="75">
        <f>G36</f>
        <v/>
      </c>
      <c r="I36" s="75">
        <f>I35+H36</f>
        <v/>
      </c>
      <c r="J36" s="75">
        <f>H36/(1+$B$8)^A36</f>
        <v/>
      </c>
      <c r="K36" s="74">
        <f>K35+J36</f>
        <v/>
      </c>
      <c r="L36" s="242">
        <f>(-K35)/J36</f>
        <v/>
      </c>
    </row>
    <row r="37">
      <c r="A37" s="78" t="n">
        <v>7</v>
      </c>
      <c r="B37" s="75" t="n"/>
      <c r="C37" s="75">
        <f>$G$15/$B$4</f>
        <v/>
      </c>
      <c r="D37" s="75">
        <f>D36-C37</f>
        <v/>
      </c>
      <c r="E37" s="75">
        <f>$B$19</f>
        <v/>
      </c>
      <c r="F37" s="75">
        <f>$B$17</f>
        <v/>
      </c>
      <c r="G37" s="75">
        <f>(E37-F37-C37)*(1-$B$5)+C37</f>
        <v/>
      </c>
      <c r="H37" s="75">
        <f>G37</f>
        <v/>
      </c>
      <c r="I37" s="75">
        <f>I36+H37</f>
        <v/>
      </c>
      <c r="J37" s="75">
        <f>H37/(1+$B$8)^A37</f>
        <v/>
      </c>
      <c r="K37" s="74">
        <f>K36+J37</f>
        <v/>
      </c>
      <c r="L37" s="242">
        <f>(-K36)/J37</f>
        <v/>
      </c>
    </row>
    <row r="38">
      <c r="A38" s="78" t="n">
        <v>8</v>
      </c>
      <c r="B38" s="75" t="n"/>
      <c r="C38" s="75">
        <f>$G$15/$B$4</f>
        <v/>
      </c>
      <c r="D38" s="75">
        <f>D37-C38</f>
        <v/>
      </c>
      <c r="E38" s="75">
        <f>$B$19</f>
        <v/>
      </c>
      <c r="F38" s="75">
        <f>$B$17</f>
        <v/>
      </c>
      <c r="G38" s="75">
        <f>(E38-F38-C38)*(1-$B$5)+C38</f>
        <v/>
      </c>
      <c r="H38" s="75">
        <f>G38</f>
        <v/>
      </c>
      <c r="I38" s="75">
        <f>I37+H38</f>
        <v/>
      </c>
      <c r="J38" s="75">
        <f>H38/(1+$B$8)^A38</f>
        <v/>
      </c>
      <c r="K38" s="74">
        <f>K37+J38</f>
        <v/>
      </c>
      <c r="L38" s="242">
        <f>(-K37)/J38</f>
        <v/>
      </c>
    </row>
    <row r="39">
      <c r="A39" s="78" t="n">
        <v>9</v>
      </c>
      <c r="B39" s="75" t="n"/>
      <c r="C39" s="75" t="n"/>
      <c r="D39" s="75" t="n"/>
      <c r="E39" s="75">
        <f>$B$19</f>
        <v/>
      </c>
      <c r="F39" s="75">
        <f>$B$17</f>
        <v/>
      </c>
      <c r="G39" s="75">
        <f>(E39-F39-C39)*(1-$B$5)+C39</f>
        <v/>
      </c>
      <c r="H39" s="75">
        <f>G39</f>
        <v/>
      </c>
      <c r="I39" s="75">
        <f>I38+H39</f>
        <v/>
      </c>
      <c r="J39" s="75">
        <f>H39/(1+$B$8)^A39</f>
        <v/>
      </c>
      <c r="K39" s="74">
        <f>K38+J39</f>
        <v/>
      </c>
      <c r="L39" s="242">
        <f>(-K38)/J39</f>
        <v/>
      </c>
    </row>
    <row r="40">
      <c r="A40" s="78" t="n">
        <v>10</v>
      </c>
      <c r="B40" s="75" t="n"/>
      <c r="C40" s="75" t="n"/>
      <c r="D40" s="75" t="n"/>
      <c r="E40" s="75">
        <f>$B$19</f>
        <v/>
      </c>
      <c r="F40" s="75">
        <f>$B$17</f>
        <v/>
      </c>
      <c r="G40" s="75">
        <f>(E40-F40-C40)*(1-$B$5)+C40</f>
        <v/>
      </c>
      <c r="H40" s="75">
        <f>G40</f>
        <v/>
      </c>
      <c r="I40" s="75">
        <f>I39+H40</f>
        <v/>
      </c>
      <c r="J40" s="75">
        <f>H40/(1+$B$8)^A40</f>
        <v/>
      </c>
      <c r="K40" s="74">
        <f>K39+J40</f>
        <v/>
      </c>
      <c r="L40" s="242">
        <f>(-K39)/J40</f>
        <v/>
      </c>
    </row>
    <row r="41">
      <c r="A41" s="78" t="n">
        <v>11</v>
      </c>
      <c r="B41" s="75" t="n"/>
      <c r="C41" s="75" t="n"/>
      <c r="D41" s="75" t="n"/>
      <c r="E41" s="75">
        <f>$B$19</f>
        <v/>
      </c>
      <c r="F41" s="75">
        <f>$B$17</f>
        <v/>
      </c>
      <c r="G41" s="75">
        <f>(E41-F41-C41)*(1-$B$5)+C41</f>
        <v/>
      </c>
      <c r="H41" s="75">
        <f>G41</f>
        <v/>
      </c>
      <c r="I41" s="75">
        <f>I40+H41</f>
        <v/>
      </c>
      <c r="J41" s="75">
        <f>H41/(1+$B$8)^A41</f>
        <v/>
      </c>
      <c r="K41" s="74">
        <f>K40+J41</f>
        <v/>
      </c>
      <c r="L41" s="242">
        <f>(-K40)/J41</f>
        <v/>
      </c>
    </row>
    <row r="42">
      <c r="A42" s="78" t="n">
        <v>12</v>
      </c>
      <c r="B42" s="75" t="n"/>
      <c r="C42" s="75" t="n"/>
      <c r="D42" s="75" t="n"/>
      <c r="E42" s="75">
        <f>$B$19</f>
        <v/>
      </c>
      <c r="F42" s="75">
        <f>$B$17</f>
        <v/>
      </c>
      <c r="G42" s="75">
        <f>(E42-F42-C42)*(1-$B$5)+C42</f>
        <v/>
      </c>
      <c r="H42" s="75">
        <f>G42</f>
        <v/>
      </c>
      <c r="I42" s="75">
        <f>I41+H42</f>
        <v/>
      </c>
      <c r="J42" s="75">
        <f>H42/(1+$B$8)^A42</f>
        <v/>
      </c>
      <c r="K42" s="74">
        <f>K41+J42</f>
        <v/>
      </c>
      <c r="L42" s="242">
        <f>(-K41)/J42</f>
        <v/>
      </c>
    </row>
    <row r="43">
      <c r="A43" s="78" t="n">
        <v>13</v>
      </c>
      <c r="B43" s="75" t="n"/>
      <c r="C43" s="75" t="n"/>
      <c r="D43" s="75" t="n"/>
      <c r="E43" s="75">
        <f>$B$19</f>
        <v/>
      </c>
      <c r="F43" s="75">
        <f>$B$17</f>
        <v/>
      </c>
      <c r="G43" s="75">
        <f>(E43-F43-C43)*(1-$B$5)+C43</f>
        <v/>
      </c>
      <c r="H43" s="75">
        <f>G43</f>
        <v/>
      </c>
      <c r="I43" s="75">
        <f>I42+H43</f>
        <v/>
      </c>
      <c r="J43" s="75">
        <f>H43/(1+$B$8)^A43</f>
        <v/>
      </c>
      <c r="K43" s="74">
        <f>K42+J43</f>
        <v/>
      </c>
      <c r="L43" s="242">
        <f>(-K42)/J43</f>
        <v/>
      </c>
    </row>
    <row r="44">
      <c r="A44" s="78" t="n">
        <v>14</v>
      </c>
      <c r="B44" s="75" t="n"/>
      <c r="C44" s="75" t="n"/>
      <c r="D44" s="75" t="n"/>
      <c r="E44" s="75">
        <f>$B$19</f>
        <v/>
      </c>
      <c r="F44" s="75">
        <f>$B$17</f>
        <v/>
      </c>
      <c r="G44" s="75">
        <f>(E44-F44-C44)*(1-$B$5)+C44</f>
        <v/>
      </c>
      <c r="H44" s="75">
        <f>G44</f>
        <v/>
      </c>
      <c r="I44" s="75">
        <f>I43+H44</f>
        <v/>
      </c>
      <c r="J44" s="75">
        <f>H44/(1+$B$8)^A44</f>
        <v/>
      </c>
      <c r="K44" s="74">
        <f>K43+J44</f>
        <v/>
      </c>
      <c r="L44" s="242">
        <f>(-K43)/J44</f>
        <v/>
      </c>
    </row>
    <row r="45">
      <c r="A45" s="78" t="n">
        <v>15</v>
      </c>
      <c r="B45" s="75" t="n"/>
      <c r="C45" s="75" t="n"/>
      <c r="D45" s="75" t="n"/>
      <c r="E45" s="75">
        <f>$B$19</f>
        <v/>
      </c>
      <c r="F45" s="75">
        <f>$B$17</f>
        <v/>
      </c>
      <c r="G45" s="75">
        <f>(E45-F45-C45)*(1-$B$5)+C45</f>
        <v/>
      </c>
      <c r="H45" s="75">
        <f>G45</f>
        <v/>
      </c>
      <c r="I45" s="75">
        <f>I44+H45</f>
        <v/>
      </c>
      <c r="J45" s="75">
        <f>H45/(1+$B$8)^A45</f>
        <v/>
      </c>
      <c r="K45" s="74">
        <f>K44+J45</f>
        <v/>
      </c>
      <c r="L45" s="242">
        <f>(-K44)/J45</f>
        <v/>
      </c>
    </row>
    <row r="46">
      <c r="A46" s="78" t="n">
        <v>16</v>
      </c>
      <c r="B46" s="75" t="n"/>
      <c r="C46" s="75" t="n"/>
      <c r="D46" s="75" t="n"/>
      <c r="E46" s="75">
        <f>$B$19</f>
        <v/>
      </c>
      <c r="F46" s="75">
        <f>$B$17</f>
        <v/>
      </c>
      <c r="G46" s="75">
        <f>(E46-F46-C46)*(1-$B$5)+C46</f>
        <v/>
      </c>
      <c r="H46" s="75">
        <f>G46</f>
        <v/>
      </c>
      <c r="I46" s="75">
        <f>I45+H46</f>
        <v/>
      </c>
      <c r="J46" s="75">
        <f>H46/(1+$B$8)^A46</f>
        <v/>
      </c>
      <c r="K46" s="74">
        <f>K45+J46</f>
        <v/>
      </c>
      <c r="L46" s="242">
        <f>(-K45)/J46</f>
        <v/>
      </c>
    </row>
    <row r="47">
      <c r="A47" s="78" t="n">
        <v>17</v>
      </c>
      <c r="B47" s="75" t="n"/>
      <c r="C47" s="75" t="n"/>
      <c r="D47" s="75" t="n"/>
      <c r="E47" s="75">
        <f>$B$19</f>
        <v/>
      </c>
      <c r="F47" s="75">
        <f>$B$17</f>
        <v/>
      </c>
      <c r="G47" s="75">
        <f>(E47-F47-C47)*(1-$B$5)+C47</f>
        <v/>
      </c>
      <c r="H47" s="75">
        <f>G47</f>
        <v/>
      </c>
      <c r="I47" s="75">
        <f>I46+H47</f>
        <v/>
      </c>
      <c r="J47" s="75">
        <f>H47/(1+$B$8)^A47</f>
        <v/>
      </c>
      <c r="K47" s="74">
        <f>K46+J47</f>
        <v/>
      </c>
      <c r="L47" s="242">
        <f>(-K46)/J47</f>
        <v/>
      </c>
    </row>
    <row r="48">
      <c r="A48" s="78" t="n">
        <v>18</v>
      </c>
      <c r="B48" s="75" t="n"/>
      <c r="C48" s="75" t="n"/>
      <c r="D48" s="75" t="n"/>
      <c r="E48" s="75">
        <f>$B$19</f>
        <v/>
      </c>
      <c r="F48" s="75">
        <f>$B$17</f>
        <v/>
      </c>
      <c r="G48" s="75">
        <f>(E48-F48-C48)*(1-$B$5)+C48</f>
        <v/>
      </c>
      <c r="H48" s="75">
        <f>G48</f>
        <v/>
      </c>
      <c r="I48" s="75">
        <f>I47+H48</f>
        <v/>
      </c>
      <c r="J48" s="75">
        <f>H48/(1+$B$8)^A48</f>
        <v/>
      </c>
      <c r="K48" s="74">
        <f>K47+J48</f>
        <v/>
      </c>
      <c r="L48" s="242">
        <f>(-K47)/J48</f>
        <v/>
      </c>
    </row>
    <row r="49">
      <c r="A49" s="78" t="n">
        <v>19</v>
      </c>
      <c r="B49" s="75" t="n"/>
      <c r="C49" s="75" t="n"/>
      <c r="D49" s="75" t="n"/>
      <c r="E49" s="75">
        <f>$B$19</f>
        <v/>
      </c>
      <c r="F49" s="75">
        <f>$B$17</f>
        <v/>
      </c>
      <c r="G49" s="75">
        <f>(E49-F49-C49)*(1-$B$5)+C49</f>
        <v/>
      </c>
      <c r="H49" s="75">
        <f>G49</f>
        <v/>
      </c>
      <c r="I49" s="75">
        <f>I48+H49</f>
        <v/>
      </c>
      <c r="J49" s="75">
        <f>H49/(1+$B$8)^A49</f>
        <v/>
      </c>
      <c r="K49" s="74">
        <f>K48+J49</f>
        <v/>
      </c>
      <c r="L49" s="242">
        <f>(-K48)/J49</f>
        <v/>
      </c>
    </row>
    <row r="50">
      <c r="A50" s="78" t="n">
        <v>20</v>
      </c>
      <c r="B50" s="75" t="n"/>
      <c r="C50" s="75" t="n"/>
      <c r="D50" s="75" t="n"/>
      <c r="E50" s="75">
        <f>$B$19</f>
        <v/>
      </c>
      <c r="F50" s="75">
        <f>$B$17</f>
        <v/>
      </c>
      <c r="G50" s="75">
        <f>(E50-F50-C50)*(1-$B$5)+C50</f>
        <v/>
      </c>
      <c r="H50" s="75">
        <f>G50</f>
        <v/>
      </c>
      <c r="I50" s="75">
        <f>I49+H50</f>
        <v/>
      </c>
      <c r="J50" s="75">
        <f>H50/(1+$B$8)^A50</f>
        <v/>
      </c>
      <c r="K50" s="74">
        <f>K49+J50</f>
        <v/>
      </c>
      <c r="L50" s="242">
        <f>(-K49)/J50</f>
        <v/>
      </c>
    </row>
    <row r="51">
      <c r="A51" s="78" t="n">
        <v>21</v>
      </c>
      <c r="B51" s="75" t="n"/>
      <c r="C51" s="75" t="n"/>
      <c r="D51" s="75" t="n"/>
      <c r="E51" s="75">
        <f>$B$19</f>
        <v/>
      </c>
      <c r="F51" s="75">
        <f>$B$17</f>
        <v/>
      </c>
      <c r="G51" s="75">
        <f>(E51-F51-C51)*(1-$B$5)+C51</f>
        <v/>
      </c>
      <c r="H51" s="75">
        <f>G51</f>
        <v/>
      </c>
      <c r="I51" s="75">
        <f>I50+H51</f>
        <v/>
      </c>
      <c r="J51" s="75">
        <f>H51/(1+$B$8)^A51</f>
        <v/>
      </c>
      <c r="K51" s="74">
        <f>K50+J51</f>
        <v/>
      </c>
      <c r="L51" s="242">
        <f>(-K50)/J51</f>
        <v/>
      </c>
    </row>
    <row r="52">
      <c r="A52" s="78" t="n">
        <v>22</v>
      </c>
      <c r="B52" s="75" t="n"/>
      <c r="C52" s="75" t="n"/>
      <c r="D52" s="75" t="n"/>
      <c r="E52" s="75">
        <f>$B$19</f>
        <v/>
      </c>
      <c r="F52" s="75">
        <f>$B$17</f>
        <v/>
      </c>
      <c r="G52" s="75">
        <f>(E52-F52-C52)*(1-$B$5)+C52</f>
        <v/>
      </c>
      <c r="H52" s="75">
        <f>G52</f>
        <v/>
      </c>
      <c r="I52" s="75">
        <f>I51+H52</f>
        <v/>
      </c>
      <c r="J52" s="75">
        <f>H52/(1+$B$8)^A52</f>
        <v/>
      </c>
      <c r="K52" s="74">
        <f>K51+J52</f>
        <v/>
      </c>
      <c r="L52" s="242">
        <f>(-K51)/J52</f>
        <v/>
      </c>
    </row>
    <row r="53">
      <c r="A53" s="78" t="n">
        <v>23</v>
      </c>
      <c r="B53" s="75" t="n"/>
      <c r="C53" s="75" t="n"/>
      <c r="D53" s="75" t="n"/>
      <c r="E53" s="75">
        <f>$B$19</f>
        <v/>
      </c>
      <c r="F53" s="75">
        <f>$B$17</f>
        <v/>
      </c>
      <c r="G53" s="75">
        <f>(E53-F53-C53)*(1-$B$5)+C53</f>
        <v/>
      </c>
      <c r="H53" s="75">
        <f>G53</f>
        <v/>
      </c>
      <c r="I53" s="75">
        <f>I52+H53</f>
        <v/>
      </c>
      <c r="J53" s="75">
        <f>H53/(1+$B$8)^A53</f>
        <v/>
      </c>
      <c r="K53" s="74">
        <f>K52+J53</f>
        <v/>
      </c>
      <c r="L53" s="242">
        <f>(-K52)/J53</f>
        <v/>
      </c>
    </row>
    <row r="54">
      <c r="A54" s="78" t="n">
        <v>24</v>
      </c>
      <c r="B54" s="75" t="n"/>
      <c r="C54" s="75" t="n"/>
      <c r="D54" s="75" t="n"/>
      <c r="E54" s="75">
        <f>$B$19</f>
        <v/>
      </c>
      <c r="F54" s="75">
        <f>$B$17</f>
        <v/>
      </c>
      <c r="G54" s="75">
        <f>(E54-F54-C54)*(1-$B$5)+C54</f>
        <v/>
      </c>
      <c r="H54" s="75">
        <f>G54</f>
        <v/>
      </c>
      <c r="I54" s="75">
        <f>I53+H54</f>
        <v/>
      </c>
      <c r="J54" s="75">
        <f>H54/(1+$B$8)^A54</f>
        <v/>
      </c>
      <c r="K54" s="74">
        <f>K53+J54</f>
        <v/>
      </c>
      <c r="L54" s="242">
        <f>(-K53)/J54</f>
        <v/>
      </c>
    </row>
    <row r="55" ht="15.75" customHeight="1" s="230" thickBot="1">
      <c r="A55" s="77" t="n">
        <v>25</v>
      </c>
      <c r="B55" s="76">
        <f>(G17+(G16*1.1*A55))*(-1)</f>
        <v/>
      </c>
      <c r="C55" s="76" t="n"/>
      <c r="D55" s="76" t="n"/>
      <c r="E55" s="75">
        <f>$B$19</f>
        <v/>
      </c>
      <c r="F55" s="75">
        <f>$B$17</f>
        <v/>
      </c>
      <c r="G55" s="75">
        <f>(E55-F55-C55)*(1-$B$5)+C55-B55</f>
        <v/>
      </c>
      <c r="H55" s="75">
        <f>G55</f>
        <v/>
      </c>
      <c r="I55" s="75">
        <f>I54+H55</f>
        <v/>
      </c>
      <c r="J55" s="75">
        <f>H55/(1+$B$8)^A55</f>
        <v/>
      </c>
      <c r="K55" s="74">
        <f>K54+J55</f>
        <v/>
      </c>
      <c r="L55" s="242">
        <f>(-K54)/J55</f>
        <v/>
      </c>
    </row>
    <row r="56">
      <c r="E56" s="225" t="n"/>
      <c r="F56" s="225" t="n"/>
      <c r="G56" s="225" t="n"/>
      <c r="H56" s="225" t="n"/>
      <c r="I56" s="225" t="n"/>
      <c r="J56" s="225" t="n"/>
      <c r="K56" s="225" t="n"/>
      <c r="L56" s="225" t="n"/>
    </row>
    <row r="57" ht="15.75" customHeight="1" s="230" thickBot="1"/>
    <row r="58" ht="15.75" customHeight="1" s="230" thickBot="1">
      <c r="A58" s="215" t="inlineStr">
        <is>
          <t>Economic Indicator Results</t>
        </is>
      </c>
      <c r="B58" s="216" t="n"/>
      <c r="C58" s="216" t="n"/>
      <c r="D58" s="217" t="n"/>
    </row>
    <row r="59">
      <c r="A59" s="73" t="inlineStr">
        <is>
          <t>Net Present Value</t>
        </is>
      </c>
      <c r="B59" s="72" t="n"/>
      <c r="C59" s="40" t="inlineStr">
        <is>
          <t>NPV</t>
        </is>
      </c>
      <c r="D59" s="71">
        <f>NPV($B$8,G32:G55)+(H30+H31)</f>
        <v/>
      </c>
    </row>
    <row r="60">
      <c r="A60" s="70">
        <f>D18</f>
        <v/>
      </c>
      <c r="B60" s="69" t="n"/>
      <c r="C60" s="34">
        <f>E18</f>
        <v/>
      </c>
      <c r="D60" s="68">
        <f>G18</f>
        <v/>
      </c>
    </row>
    <row r="61">
      <c r="A61" s="70" t="inlineStr">
        <is>
          <t>Net Profit before Taxes = R-COM</t>
        </is>
      </c>
      <c r="B61" s="69" t="n"/>
      <c r="C61" s="34" t="inlineStr">
        <is>
          <t>Net Profit Before Taxes</t>
        </is>
      </c>
      <c r="D61" s="68">
        <f>B19-B17</f>
        <v/>
      </c>
    </row>
    <row r="62">
      <c r="A62" s="218" t="inlineStr">
        <is>
          <t>Net Annual Profit = (R-COM)(1-t)</t>
        </is>
      </c>
      <c r="B62" s="219" t="n"/>
      <c r="C62" s="34" t="inlineStr">
        <is>
          <t>Net Annual Profit</t>
        </is>
      </c>
      <c r="D62" s="68">
        <f>(B19-B17)*(1-B5)</f>
        <v/>
      </c>
    </row>
    <row r="63">
      <c r="A63" s="218" t="inlineStr">
        <is>
          <t>Payout = TCI/Net Profit Before Taxes</t>
        </is>
      </c>
      <c r="B63" s="219" t="n"/>
      <c r="C63" s="34" t="inlineStr">
        <is>
          <t>Pay Out [yrs]</t>
        </is>
      </c>
      <c r="D63" s="67">
        <f>D60/D62</f>
        <v/>
      </c>
    </row>
    <row r="64" ht="14.25" customHeight="1" s="230">
      <c r="A64" s="218" t="inlineStr">
        <is>
          <t>Return on Investment = Net Annual Income/TCI</t>
        </is>
      </c>
      <c r="B64" s="219" t="n"/>
      <c r="C64" s="34" t="inlineStr">
        <is>
          <t>ROI [%]</t>
        </is>
      </c>
      <c r="D64" s="66">
        <f>D62/D60</f>
        <v/>
      </c>
    </row>
    <row r="65" ht="15.75" customHeight="1" s="230" thickBot="1">
      <c r="A65" s="222" t="inlineStr">
        <is>
          <t>Internal Rate of Return</t>
        </is>
      </c>
      <c r="B65" s="223" t="n"/>
      <c r="C65" s="65" t="inlineStr">
        <is>
          <t>IRR [%]</t>
        </is>
      </c>
      <c r="D65" s="64">
        <f>IRR(H30:H55)</f>
        <v/>
      </c>
    </row>
    <row r="66" ht="15.75" customHeight="1" s="230" thickBot="1"/>
    <row r="67" ht="15.75" customHeight="1" s="230" thickBot="1">
      <c r="C67" s="62" t="inlineStr">
        <is>
          <t>Total Profit</t>
        </is>
      </c>
      <c r="D67" s="63">
        <f>D62*B7</f>
        <v/>
      </c>
    </row>
    <row r="83" ht="25.15" customHeight="1" s="230">
      <c r="A83" s="232" t="inlineStr">
        <is>
          <t>Sensitivity Analysis</t>
        </is>
      </c>
    </row>
    <row r="84" ht="15.75" customHeight="1" s="230" thickBot="1"/>
    <row r="85" ht="15.75" customHeight="1" s="230" thickBot="1">
      <c r="A85" s="62" t="inlineStr">
        <is>
          <t>Parameters</t>
        </is>
      </c>
      <c r="B85" s="60" t="inlineStr">
        <is>
          <t>Min</t>
        </is>
      </c>
      <c r="C85" s="44" t="inlineStr">
        <is>
          <t>Max</t>
        </is>
      </c>
      <c r="E85" s="61" t="inlineStr">
        <is>
          <t xml:space="preserve">Min Variation </t>
        </is>
      </c>
      <c r="F85" s="60" t="inlineStr">
        <is>
          <t>Base Value</t>
        </is>
      </c>
      <c r="G85" s="44" t="inlineStr">
        <is>
          <t>Max Variation</t>
        </is>
      </c>
    </row>
    <row r="86">
      <c r="A86" s="32">
        <f>D15</f>
        <v/>
      </c>
      <c r="B86" s="59">
        <f>F86-F86*E86</f>
        <v/>
      </c>
      <c r="C86" s="59">
        <f>F86+F86*G86</f>
        <v/>
      </c>
      <c r="E86" s="54" t="n">
        <v>0.2</v>
      </c>
      <c r="F86" s="58">
        <f>G15</f>
        <v/>
      </c>
      <c r="G86" s="52" t="n">
        <v>0.2</v>
      </c>
    </row>
    <row r="87">
      <c r="A87" s="32">
        <f>Z4</f>
        <v/>
      </c>
      <c r="B87" s="55">
        <f>F87-F87*E87</f>
        <v/>
      </c>
      <c r="C87" s="55">
        <f>F87+F87*G87</f>
        <v/>
      </c>
      <c r="E87" s="54" t="n">
        <v>0.2</v>
      </c>
      <c r="F87" s="58">
        <f>AB4</f>
        <v/>
      </c>
      <c r="G87" s="52" t="n">
        <v>0.2</v>
      </c>
    </row>
    <row r="88">
      <c r="A88" s="32">
        <f>S4</f>
        <v/>
      </c>
      <c r="B88" s="55">
        <f>F88-F88*E88</f>
        <v/>
      </c>
      <c r="C88" s="55">
        <f>F88+F88*G88</f>
        <v/>
      </c>
      <c r="E88" s="54" t="n">
        <v>0.2</v>
      </c>
      <c r="F88" s="58">
        <f>U4</f>
        <v/>
      </c>
      <c r="G88" s="52" t="n">
        <v>0.2</v>
      </c>
    </row>
    <row r="89">
      <c r="A89" s="32">
        <f>A5</f>
        <v/>
      </c>
      <c r="B89" s="57">
        <f>F89-F89*E89</f>
        <v/>
      </c>
      <c r="C89" s="57">
        <f>F89+F89*G89</f>
        <v/>
      </c>
      <c r="E89" s="54" t="n">
        <v>0.2</v>
      </c>
      <c r="F89" s="56">
        <f>B5</f>
        <v/>
      </c>
      <c r="G89" s="52" t="n">
        <v>0.2</v>
      </c>
    </row>
    <row r="90">
      <c r="A90" s="32">
        <f>A8</f>
        <v/>
      </c>
      <c r="B90" s="57">
        <f>F90-F90*E90</f>
        <v/>
      </c>
      <c r="C90" s="57">
        <f>F90+F90*G90</f>
        <v/>
      </c>
      <c r="E90" s="54" t="n">
        <v>0.2</v>
      </c>
      <c r="F90" s="56">
        <f>B8</f>
        <v/>
      </c>
      <c r="G90" s="52" t="n">
        <v>0.2</v>
      </c>
    </row>
    <row r="91">
      <c r="A91" s="32">
        <f>A10</f>
        <v/>
      </c>
      <c r="B91" s="15">
        <f>F91-F91*E91</f>
        <v/>
      </c>
      <c r="C91" s="15">
        <f>F91+F91*G91</f>
        <v/>
      </c>
      <c r="E91" s="54" t="n">
        <v>0.2</v>
      </c>
      <c r="F91" s="53">
        <f>B10</f>
        <v/>
      </c>
      <c r="G91" s="52" t="n">
        <v>0.2</v>
      </c>
    </row>
    <row r="92">
      <c r="A92" s="32">
        <f>A172</f>
        <v/>
      </c>
      <c r="B92" s="57">
        <f>F92-F92*E92</f>
        <v/>
      </c>
      <c r="C92" s="57">
        <f>F92+F92*G92</f>
        <v/>
      </c>
      <c r="E92" s="54" t="n">
        <v>0.2</v>
      </c>
      <c r="F92" s="56">
        <f>B24</f>
        <v/>
      </c>
      <c r="G92" s="52" t="n">
        <v>0.2</v>
      </c>
    </row>
    <row r="93">
      <c r="A93" s="32" t="inlineStr">
        <is>
          <t>Enter One More Parameter</t>
        </is>
      </c>
      <c r="B93" s="55">
        <f>F93-F93*E93</f>
        <v/>
      </c>
      <c r="C93" s="55">
        <f>F93+F93*G93</f>
        <v/>
      </c>
      <c r="E93" s="54" t="n">
        <v>0.2</v>
      </c>
      <c r="F93" s="53" t="n"/>
      <c r="G93" s="52" t="n">
        <v>0.2</v>
      </c>
    </row>
    <row r="94">
      <c r="A94" s="32" t="inlineStr">
        <is>
          <t>Enter One More Parameter</t>
        </is>
      </c>
      <c r="B94" s="55">
        <f>F94-F94*E94</f>
        <v/>
      </c>
      <c r="C94" s="55">
        <f>F94+F94*G94</f>
        <v/>
      </c>
      <c r="E94" s="54" t="n">
        <v>0.2</v>
      </c>
      <c r="F94" s="53" t="n"/>
      <c r="G94" s="52" t="n">
        <v>0.2</v>
      </c>
    </row>
    <row r="95">
      <c r="A95" s="32" t="inlineStr">
        <is>
          <t>Enter One More Parameter</t>
        </is>
      </c>
      <c r="B95" s="55">
        <f>F95-F95*E95</f>
        <v/>
      </c>
      <c r="C95" s="55">
        <f>F95+F95*G95</f>
        <v/>
      </c>
      <c r="E95" s="54" t="n">
        <v>0.2</v>
      </c>
      <c r="F95" s="53" t="n"/>
      <c r="G95" s="52" t="n">
        <v>0.2</v>
      </c>
    </row>
    <row r="96">
      <c r="A96" s="32" t="inlineStr">
        <is>
          <t>Enter One More Parameter</t>
        </is>
      </c>
      <c r="B96" s="55">
        <f>F96-F96*E96</f>
        <v/>
      </c>
      <c r="C96" s="55">
        <f>F96+F96*G96</f>
        <v/>
      </c>
      <c r="E96" s="54" t="n">
        <v>0.2</v>
      </c>
      <c r="F96" s="53" t="n"/>
      <c r="G96" s="52" t="n">
        <v>0.2</v>
      </c>
    </row>
    <row r="97">
      <c r="A97" s="32" t="inlineStr">
        <is>
          <t>Enter One More Parameter</t>
        </is>
      </c>
      <c r="B97" s="55">
        <f>F97-F97*E97</f>
        <v/>
      </c>
      <c r="C97" s="55">
        <f>F97+F97*G97</f>
        <v/>
      </c>
      <c r="E97" s="54" t="n">
        <v>0.2</v>
      </c>
      <c r="F97" s="53" t="n"/>
      <c r="G97" s="52" t="n">
        <v>0.2</v>
      </c>
    </row>
    <row r="98">
      <c r="A98" s="32" t="inlineStr">
        <is>
          <t>Enter One More Parameter</t>
        </is>
      </c>
      <c r="B98" s="55">
        <f>F98-F98*E98</f>
        <v/>
      </c>
      <c r="C98" s="55">
        <f>F98+F98*G98</f>
        <v/>
      </c>
      <c r="E98" s="54" t="n">
        <v>0.2</v>
      </c>
      <c r="F98" s="53" t="n"/>
      <c r="G98" s="52" t="n">
        <v>0.2</v>
      </c>
    </row>
    <row r="99">
      <c r="A99" s="32" t="inlineStr">
        <is>
          <t>Enter One More Parameter</t>
        </is>
      </c>
      <c r="B99" s="55">
        <f>F99-F99*E99</f>
        <v/>
      </c>
      <c r="C99" s="55">
        <f>F99+F99*G99</f>
        <v/>
      </c>
      <c r="E99" s="54" t="n">
        <v>0.2</v>
      </c>
      <c r="F99" s="53" t="n"/>
      <c r="G99" s="52" t="n">
        <v>0.2</v>
      </c>
    </row>
    <row r="100" ht="15.75" customHeight="1" s="230" thickBot="1">
      <c r="A100" s="51" t="inlineStr">
        <is>
          <t>Enter One More Parameter</t>
        </is>
      </c>
      <c r="B100" s="50">
        <f>F100-F100*E100</f>
        <v/>
      </c>
      <c r="C100" s="50">
        <f>F100+F100*G100</f>
        <v/>
      </c>
      <c r="E100" s="49" t="n">
        <v>0.2</v>
      </c>
      <c r="F100" s="48" t="n"/>
      <c r="G100" s="47" t="n">
        <v>0.2</v>
      </c>
    </row>
    <row r="101" ht="28.15" customHeight="1" s="230" thickBot="1">
      <c r="K101" s="46" t="n"/>
    </row>
    <row r="102" ht="15.75" customHeight="1" s="230" thickBot="1">
      <c r="A102" s="45" t="n"/>
      <c r="B102" s="220" t="inlineStr">
        <is>
          <t>Min</t>
        </is>
      </c>
      <c r="C102" s="217" t="n"/>
      <c r="D102" s="220" t="inlineStr">
        <is>
          <t>Max</t>
        </is>
      </c>
      <c r="E102" s="217" t="n"/>
    </row>
    <row r="103">
      <c r="A103" s="43" t="n"/>
      <c r="B103" s="42" t="n"/>
      <c r="C103" s="41">
        <f>D59</f>
        <v/>
      </c>
      <c r="D103" s="40" t="n"/>
      <c r="E103" s="39">
        <f>D59</f>
        <v/>
      </c>
    </row>
    <row r="104">
      <c r="A104" s="25">
        <f>A86</f>
        <v/>
      </c>
      <c r="B104" s="38">
        <f>B86</f>
        <v/>
      </c>
      <c r="C104" s="35">
        <f t="dataTable" ref="C104" dt2D="0" dtr="0" r1="G15" ca="1"/>
        <v/>
      </c>
      <c r="D104" s="24">
        <f>C86</f>
        <v/>
      </c>
      <c r="E104" s="33">
        <f t="dataTable" ref="E104" dt2D="0" dtr="0" r1="G15" ca="1"/>
        <v/>
      </c>
    </row>
    <row r="105">
      <c r="A105" s="25" t="n"/>
      <c r="B105" s="32" t="n"/>
      <c r="C105" s="24">
        <f>D59</f>
        <v/>
      </c>
      <c r="D105" s="34" t="n"/>
      <c r="E105" s="23">
        <f>D59</f>
        <v/>
      </c>
    </row>
    <row r="106">
      <c r="A106" s="25">
        <f>A87</f>
        <v/>
      </c>
      <c r="B106" s="38">
        <f>B87</f>
        <v/>
      </c>
      <c r="C106" s="35">
        <f t="dataTable" ref="C106" dt2D="0" dtr="0" r1="AB4" ca="1"/>
        <v/>
      </c>
      <c r="D106" s="24">
        <f>C87</f>
        <v/>
      </c>
      <c r="E106" s="33">
        <f t="dataTable" ref="E106" dt2D="0" dtr="0" r1="AB4" ca="1"/>
        <v/>
      </c>
    </row>
    <row r="107">
      <c r="A107" s="25" t="n"/>
      <c r="B107" s="32" t="n"/>
      <c r="C107" s="24">
        <f>D59</f>
        <v/>
      </c>
      <c r="D107" s="34" t="n"/>
      <c r="E107" s="23">
        <f>D59</f>
        <v/>
      </c>
    </row>
    <row r="108">
      <c r="A108" s="25">
        <f>A88</f>
        <v/>
      </c>
      <c r="B108" s="38">
        <f>B88</f>
        <v/>
      </c>
      <c r="C108" s="35">
        <f t="dataTable" ref="C108" dt2D="0" dtr="0" r1="U4" ca="1"/>
        <v/>
      </c>
      <c r="D108" s="24">
        <f>C88</f>
        <v/>
      </c>
      <c r="E108" s="33">
        <f t="dataTable" ref="E108" dt2D="0" dtr="0" r1="U4" ca="1"/>
        <v/>
      </c>
    </row>
    <row r="109">
      <c r="A109" s="25" t="n"/>
      <c r="B109" s="32" t="n"/>
      <c r="C109" s="24">
        <f>D59</f>
        <v/>
      </c>
      <c r="D109" s="34" t="n"/>
      <c r="E109" s="23">
        <f>D59</f>
        <v/>
      </c>
    </row>
    <row r="110">
      <c r="A110" s="25">
        <f>A89</f>
        <v/>
      </c>
      <c r="B110" s="37">
        <f>B89</f>
        <v/>
      </c>
      <c r="C110" s="35">
        <f t="dataTable" ref="C110" dt2D="0" dtr="0" r1="B5" ca="1"/>
        <v/>
      </c>
      <c r="D110" s="36">
        <f>C89</f>
        <v/>
      </c>
      <c r="E110" s="33">
        <f t="dataTable" ref="E110" dt2D="0" dtr="0" r1="B5" ca="1"/>
        <v/>
      </c>
    </row>
    <row r="111">
      <c r="A111" s="25" t="n"/>
      <c r="B111" s="32" t="n"/>
      <c r="C111" s="24">
        <f>D59</f>
        <v/>
      </c>
      <c r="D111" s="34" t="n"/>
      <c r="E111" s="23">
        <f>D59</f>
        <v/>
      </c>
    </row>
    <row r="112">
      <c r="A112" s="25">
        <f>A90</f>
        <v/>
      </c>
      <c r="B112" s="37">
        <f>B90</f>
        <v/>
      </c>
      <c r="C112" s="35">
        <f t="dataTable" ref="C112" dt2D="0" dtr="0" r1="B8" ca="1"/>
        <v/>
      </c>
      <c r="D112" s="36">
        <f>C90</f>
        <v/>
      </c>
      <c r="E112" s="33">
        <f t="dataTable" ref="E112" dt2D="0" dtr="0" r1="B8" ca="1"/>
        <v/>
      </c>
    </row>
    <row r="113">
      <c r="A113" s="25" t="n"/>
      <c r="B113" s="32" t="n"/>
      <c r="C113" s="24">
        <f>D59</f>
        <v/>
      </c>
      <c r="D113" s="34" t="n"/>
      <c r="E113" s="23">
        <f>D59</f>
        <v/>
      </c>
    </row>
    <row r="114">
      <c r="A114" s="25">
        <f>A91</f>
        <v/>
      </c>
      <c r="B114" s="32">
        <f>B91</f>
        <v/>
      </c>
      <c r="C114" s="35">
        <f t="dataTable" ref="C114" dt2D="0" dtr="0" r1="B10" ca="1"/>
        <v/>
      </c>
      <c r="D114" s="34">
        <f>C91</f>
        <v/>
      </c>
      <c r="E114" s="33">
        <f t="dataTable" ref="E114" dt2D="0" dtr="0" r1="B10" ca="1"/>
        <v/>
      </c>
    </row>
    <row r="115">
      <c r="A115" s="25" t="n"/>
      <c r="B115" s="32" t="n"/>
      <c r="C115" s="24">
        <f>D59</f>
        <v/>
      </c>
      <c r="D115" s="24" t="n"/>
      <c r="E115" s="23">
        <f>D59</f>
        <v/>
      </c>
    </row>
    <row r="116" ht="15.75" customHeight="1" s="230" thickBot="1">
      <c r="A116" s="31">
        <f>A24</f>
        <v/>
      </c>
      <c r="B116" s="30">
        <f>B92</f>
        <v/>
      </c>
      <c r="C116" s="29">
        <f t="dataTable" ref="C116" dt2D="0" dtr="0" r1="B24" ca="1"/>
        <v/>
      </c>
      <c r="D116" s="28">
        <f>C92</f>
        <v/>
      </c>
      <c r="E116" s="27">
        <f t="dataTable" ref="E116" dt2D="0" dtr="0" r1="B24" ca="1"/>
        <v/>
      </c>
    </row>
    <row r="118" ht="15.75" customHeight="1" s="230" thickBot="1"/>
    <row r="119" ht="15.75" customHeight="1" s="230" thickBot="1">
      <c r="A119" s="26" t="n"/>
      <c r="B119" s="220" t="inlineStr">
        <is>
          <t>Min</t>
        </is>
      </c>
      <c r="C119" s="44" t="inlineStr">
        <is>
          <t>Max</t>
        </is>
      </c>
    </row>
    <row r="120">
      <c r="A120" s="25">
        <f>A104</f>
        <v/>
      </c>
      <c r="B120" s="24">
        <f>(C104-$D$59)/10^6</f>
        <v/>
      </c>
      <c r="C120" s="23">
        <f>(E104-$D$59)/10^6</f>
        <v/>
      </c>
    </row>
    <row r="121">
      <c r="A121" s="25">
        <f>A106</f>
        <v/>
      </c>
      <c r="B121" s="24">
        <f>(C106-$D$59)/10^6</f>
        <v/>
      </c>
      <c r="C121" s="23">
        <f>(E106-$D$59)/10^6</f>
        <v/>
      </c>
    </row>
    <row r="122">
      <c r="A122" s="25">
        <f>A108</f>
        <v/>
      </c>
      <c r="B122" s="24">
        <f>(C108-$D$59)/10^6</f>
        <v/>
      </c>
      <c r="C122" s="23">
        <f>(E108-$D$59)/10^6</f>
        <v/>
      </c>
    </row>
    <row r="123">
      <c r="A123" s="25">
        <f>A110</f>
        <v/>
      </c>
      <c r="B123" s="24">
        <f>(C110-$D$59)/10^6</f>
        <v/>
      </c>
      <c r="C123" s="23">
        <f>(E110-$D$59)/10^6</f>
        <v/>
      </c>
    </row>
    <row r="124">
      <c r="A124" s="25">
        <f>A112</f>
        <v/>
      </c>
      <c r="B124" s="24">
        <f>(C112-$D$59)/10^6</f>
        <v/>
      </c>
      <c r="C124" s="23">
        <f>(E112-$D$59)/10^6</f>
        <v/>
      </c>
    </row>
    <row r="125">
      <c r="A125" s="25">
        <f>A114</f>
        <v/>
      </c>
      <c r="B125" s="24">
        <f>(C114-$D$59)/10^6</f>
        <v/>
      </c>
      <c r="C125" s="23">
        <f>(E114-$D$59)/10^6</f>
        <v/>
      </c>
    </row>
    <row r="126" ht="15.75" customHeight="1" s="230" thickBot="1">
      <c r="A126" s="22">
        <f>A116</f>
        <v/>
      </c>
      <c r="B126" s="21">
        <f>(C116-$D$59)/10^6</f>
        <v/>
      </c>
      <c r="C126" s="20">
        <f>(E116-$D$59)/10^6</f>
        <v/>
      </c>
    </row>
    <row r="129" ht="15.75" customHeight="1" s="230" thickBot="1">
      <c r="A129" s="234" t="inlineStr">
        <is>
          <t>Levelized Costs</t>
        </is>
      </c>
      <c r="B129" s="228" t="n"/>
      <c r="C129" s="228" t="n"/>
      <c r="D129" s="228" t="n"/>
    </row>
    <row r="130" ht="15.75" customHeight="1" s="230" thickBot="1">
      <c r="A130" s="19" t="inlineStr">
        <is>
          <t>Year</t>
        </is>
      </c>
      <c r="B130" s="19" t="inlineStr">
        <is>
          <t>Discounted Depriciation</t>
        </is>
      </c>
      <c r="C130" s="18" t="inlineStr">
        <is>
          <t>Discounted Product Units</t>
        </is>
      </c>
      <c r="D130" s="18" t="inlineStr">
        <is>
          <t>Discounted Manufacturing Cost</t>
        </is>
      </c>
    </row>
    <row r="131">
      <c r="A131" s="15" t="n">
        <v>0</v>
      </c>
      <c r="B131" s="14">
        <f>C30/(1+$B$8)^A30</f>
        <v/>
      </c>
      <c r="C131" s="17">
        <f>IF(A131&lt;3,0,$AA$4*$B$10/(1+$B$8)^A30)</f>
        <v/>
      </c>
      <c r="D131" s="17">
        <f>F30/((1+$B$8)^A30)</f>
        <v/>
      </c>
    </row>
    <row r="132">
      <c r="A132" s="15" t="n">
        <v>1</v>
      </c>
      <c r="B132" s="14">
        <f>C31/(1+$B$8)^A31</f>
        <v/>
      </c>
      <c r="C132" s="16">
        <f>IF(A132&lt;3,0,$AA$4*$B$10/(1+$B$8)^A31)</f>
        <v/>
      </c>
      <c r="D132" s="16">
        <f>F31/((1+$B$8)^A31)</f>
        <v/>
      </c>
    </row>
    <row r="133">
      <c r="A133" s="15" t="n">
        <v>2</v>
      </c>
      <c r="B133" s="14">
        <f>C32/(1+$B$8)^A32</f>
        <v/>
      </c>
      <c r="C133" s="16">
        <f>IF(A133&lt;3,0,$AA$4*$B$10/(1+$B$8)^A32)</f>
        <v/>
      </c>
      <c r="D133" s="16">
        <f>F32/((1+$B$8)^A32)</f>
        <v/>
      </c>
    </row>
    <row r="134">
      <c r="A134" s="15" t="n">
        <v>3</v>
      </c>
      <c r="B134" s="14">
        <f>C33/(1+$B$8)^A33</f>
        <v/>
      </c>
      <c r="C134" s="16">
        <f>IF(A134&lt;3,0,$AA$4*$B$10/(1+$B$8)^A33)</f>
        <v/>
      </c>
      <c r="D134" s="16">
        <f>F33/((1+$B$8)^A33)</f>
        <v/>
      </c>
    </row>
    <row r="135">
      <c r="A135" s="15" t="n">
        <v>4</v>
      </c>
      <c r="B135" s="14">
        <f>C34/(1+$B$8)^A34</f>
        <v/>
      </c>
      <c r="C135" s="16">
        <f>IF(A135&lt;3,0,$AA$4*$B$10/(1+$B$8)^A34)</f>
        <v/>
      </c>
      <c r="D135" s="16">
        <f>F34/((1+$B$8)^A34)</f>
        <v/>
      </c>
    </row>
    <row r="136">
      <c r="A136" s="15" t="n">
        <v>5</v>
      </c>
      <c r="B136" s="14">
        <f>C35/(1+$B$8)^A35</f>
        <v/>
      </c>
      <c r="C136" s="16">
        <f>IF(A136&lt;3,0,$AA$4*$B$10/(1+$B$8)^A35)</f>
        <v/>
      </c>
      <c r="D136" s="16">
        <f>F35/((1+$B$8)^A35)</f>
        <v/>
      </c>
    </row>
    <row r="137">
      <c r="A137" s="15" t="n">
        <v>6</v>
      </c>
      <c r="B137" s="14">
        <f>C36/(1+$B$8)^A36</f>
        <v/>
      </c>
      <c r="C137" s="16">
        <f>IF(A137&lt;3,0,$AA$4*$B$10/(1+$B$8)^A36)</f>
        <v/>
      </c>
      <c r="D137" s="16">
        <f>F36/((1+$B$8)^A36)</f>
        <v/>
      </c>
    </row>
    <row r="138">
      <c r="A138" s="15" t="n">
        <v>7</v>
      </c>
      <c r="B138" s="14">
        <f>C37/(1+$B$8)^A37</f>
        <v/>
      </c>
      <c r="C138" s="16">
        <f>IF(A138&lt;3,0,$AA$4*$B$10/(1+$B$8)^A37)</f>
        <v/>
      </c>
      <c r="D138" s="16">
        <f>F37/((1+$B$8)^A37)</f>
        <v/>
      </c>
    </row>
    <row r="139">
      <c r="A139" s="15" t="n">
        <v>8</v>
      </c>
      <c r="B139" s="14">
        <f>C38/(1+$B$8)^A38</f>
        <v/>
      </c>
      <c r="C139" s="16">
        <f>IF(A139&lt;3,0,$AA$4*$B$10/(1+$B$8)^A38)</f>
        <v/>
      </c>
      <c r="D139" s="16">
        <f>F38/((1+$B$8)^A38)</f>
        <v/>
      </c>
    </row>
    <row r="140">
      <c r="A140" s="15" t="n">
        <v>9</v>
      </c>
      <c r="B140" s="14">
        <f>C39/(1+$B$8)^A39</f>
        <v/>
      </c>
      <c r="C140" s="16">
        <f>IF(A140&lt;3,0,$AA$4*$B$10/(1+$B$8)^A39)</f>
        <v/>
      </c>
      <c r="D140" s="16">
        <f>F39/((1+$B$8)^A39)</f>
        <v/>
      </c>
    </row>
    <row r="141">
      <c r="A141" s="15" t="n">
        <v>10</v>
      </c>
      <c r="B141" s="14">
        <f>C40/(1+$B$8)^A40</f>
        <v/>
      </c>
      <c r="C141" s="16">
        <f>IF(A141&lt;3,0,$AA$4*$B$10/(1+$B$8)^A40)</f>
        <v/>
      </c>
      <c r="D141" s="16">
        <f>F40/((1+$B$8)^A40)</f>
        <v/>
      </c>
    </row>
    <row r="142">
      <c r="A142" s="15" t="n">
        <v>11</v>
      </c>
      <c r="B142" s="14">
        <f>C41/(1+$B$8)^A41</f>
        <v/>
      </c>
      <c r="C142" s="16">
        <f>IF(A142&lt;3,0,$AA$4*$B$10/(1+$B$8)^A41)</f>
        <v/>
      </c>
      <c r="D142" s="16">
        <f>F41/((1+$B$8)^A41)</f>
        <v/>
      </c>
    </row>
    <row r="143">
      <c r="A143" s="15" t="n">
        <v>12</v>
      </c>
      <c r="B143" s="14">
        <f>C42/(1+$B$8)^A42</f>
        <v/>
      </c>
      <c r="C143" s="16">
        <f>IF(A143&lt;3,0,$AA$4*$B$10/(1+$B$8)^A42)</f>
        <v/>
      </c>
      <c r="D143" s="16">
        <f>F42/((1+$B$8)^A42)</f>
        <v/>
      </c>
    </row>
    <row r="144">
      <c r="A144" s="15" t="n">
        <v>13</v>
      </c>
      <c r="B144" s="14">
        <f>C43/(1+$B$8)^A43</f>
        <v/>
      </c>
      <c r="C144" s="16">
        <f>IF(A144&lt;3,0,$AA$4*$B$10/(1+$B$8)^A43)</f>
        <v/>
      </c>
      <c r="D144" s="16">
        <f>F43/((1+$B$8)^A43)</f>
        <v/>
      </c>
    </row>
    <row r="145">
      <c r="A145" s="15" t="n">
        <v>14</v>
      </c>
      <c r="B145" s="14">
        <f>C44/(1+$B$8)^A44</f>
        <v/>
      </c>
      <c r="C145" s="16">
        <f>IF(A145&lt;3,0,$AA$4*$B$10/(1+$B$8)^A44)</f>
        <v/>
      </c>
      <c r="D145" s="16">
        <f>F44/((1+$B$8)^A44)</f>
        <v/>
      </c>
    </row>
    <row r="146">
      <c r="A146" s="15" t="n">
        <v>15</v>
      </c>
      <c r="B146" s="14">
        <f>C45/(1+$B$8)^A45</f>
        <v/>
      </c>
      <c r="C146" s="16">
        <f>IF(A146&lt;3,0,$AA$4*$B$10/(1+$B$8)^A45)</f>
        <v/>
      </c>
      <c r="D146" s="16">
        <f>F45/((1+$B$8)^A45)</f>
        <v/>
      </c>
    </row>
    <row r="147">
      <c r="A147" s="15" t="n">
        <v>16</v>
      </c>
      <c r="B147" s="14">
        <f>C46/(1+$B$8)^A46</f>
        <v/>
      </c>
      <c r="C147" s="16">
        <f>IF(A147&lt;3,0,$AA$4*$B$10/(1+$B$8)^A46)</f>
        <v/>
      </c>
      <c r="D147" s="16">
        <f>F46/((1+$B$8)^A46)</f>
        <v/>
      </c>
    </row>
    <row r="148">
      <c r="A148" s="15" t="n">
        <v>17</v>
      </c>
      <c r="B148" s="14">
        <f>C47/(1+$B$8)^A47</f>
        <v/>
      </c>
      <c r="C148" s="16">
        <f>IF(A148&lt;3,0,$AA$4*$B$10/(1+$B$8)^A47)</f>
        <v/>
      </c>
      <c r="D148" s="16">
        <f>F47/((1+$B$8)^A47)</f>
        <v/>
      </c>
    </row>
    <row r="149">
      <c r="A149" s="15" t="n">
        <v>18</v>
      </c>
      <c r="B149" s="14">
        <f>C48/(1+$B$8)^A48</f>
        <v/>
      </c>
      <c r="C149" s="16">
        <f>IF(A149&lt;3,0,$AA$4*$B$10/(1+$B$8)^A48)</f>
        <v/>
      </c>
      <c r="D149" s="16">
        <f>F48/((1+$B$8)^A48)</f>
        <v/>
      </c>
    </row>
    <row r="150">
      <c r="A150" s="15" t="n">
        <v>19</v>
      </c>
      <c r="B150" s="14">
        <f>C49/(1+$B$8)^A49</f>
        <v/>
      </c>
      <c r="C150" s="16">
        <f>IF(A150&lt;3,0,$AA$4*$B$10/(1+$B$8)^A49)</f>
        <v/>
      </c>
      <c r="D150" s="16">
        <f>F49/((1+$B$8)^A49)</f>
        <v/>
      </c>
    </row>
    <row r="151">
      <c r="A151" s="15" t="n">
        <v>20</v>
      </c>
      <c r="B151" s="14">
        <f>C50/(1+$B$8)^A50</f>
        <v/>
      </c>
      <c r="C151" s="16">
        <f>IF(A151&lt;3,0,$AA$4*$B$10/(1+$B$8)^A50)</f>
        <v/>
      </c>
      <c r="D151" s="16">
        <f>F50/((1+$B$8)^A50)</f>
        <v/>
      </c>
    </row>
    <row r="152">
      <c r="A152" s="15" t="n">
        <v>21</v>
      </c>
      <c r="B152" s="14">
        <f>C51/(1+$B$8)^A51</f>
        <v/>
      </c>
      <c r="C152" s="16">
        <f>IF(A152&lt;3,0,$AA$4*$B$10/(1+$B$8)^A51)</f>
        <v/>
      </c>
      <c r="D152" s="16">
        <f>F51/((1+$B$8)^A51)</f>
        <v/>
      </c>
    </row>
    <row r="153">
      <c r="A153" s="15" t="n">
        <v>22</v>
      </c>
      <c r="B153" s="14">
        <f>C52/(1+$B$8)^A52</f>
        <v/>
      </c>
      <c r="C153" s="16">
        <f>IF(A153&lt;3,0,$AA$4*$B$10/(1+$B$8)^A52)</f>
        <v/>
      </c>
      <c r="D153" s="16">
        <f>F52/((1+$B$8)^A52)</f>
        <v/>
      </c>
    </row>
    <row r="154">
      <c r="A154" s="15" t="n">
        <v>23</v>
      </c>
      <c r="B154" s="14">
        <f>C53/(1+$B$8)^A53</f>
        <v/>
      </c>
      <c r="C154" s="16">
        <f>IF(A154&lt;3,0,$AA$4*$B$10/(1+$B$8)^A53)</f>
        <v/>
      </c>
      <c r="D154" s="16">
        <f>F53/((1+$B$8)^A53)</f>
        <v/>
      </c>
    </row>
    <row r="155">
      <c r="A155" s="15" t="n">
        <v>24</v>
      </c>
      <c r="B155" s="14">
        <f>C54/(1+$B$8)^A54</f>
        <v/>
      </c>
      <c r="C155" s="16">
        <f>IF(A155&lt;3,0,$AA$4*$B$10/(1+$B$8)^A54)</f>
        <v/>
      </c>
      <c r="D155" s="16">
        <f>F54/((1+$B$8)^A54)</f>
        <v/>
      </c>
    </row>
    <row r="156" ht="15.75" customHeight="1" s="230" thickBot="1">
      <c r="A156" s="15" t="n">
        <v>25</v>
      </c>
      <c r="B156" s="14">
        <f>C55/(1+$B$8)^A55</f>
        <v/>
      </c>
      <c r="C156" s="13">
        <f>IF(A156&lt;3,0,$AA$4*$B$10/(1+$B$8)^A55)</f>
        <v/>
      </c>
      <c r="D156" s="13">
        <f>F55/((1+$B$8)^A55)</f>
        <v/>
      </c>
    </row>
    <row r="157" ht="15.75" customHeight="1" s="230" thickBot="1">
      <c r="A157" s="12" t="inlineStr">
        <is>
          <t>Total (USD)</t>
        </is>
      </c>
      <c r="B157" s="11">
        <f>SUM(B131:B156)</f>
        <v/>
      </c>
      <c r="C157" s="8" t="n"/>
      <c r="D157" s="11">
        <f>SUM(D131:D156)</f>
        <v/>
      </c>
    </row>
    <row r="158" ht="15.75" customHeight="1" s="230" thickBot="1">
      <c r="A158" s="10" t="inlineStr">
        <is>
          <t>Total (Million USD)</t>
        </is>
      </c>
      <c r="B158" s="9">
        <f>B157/10^6</f>
        <v/>
      </c>
      <c r="C158" s="8" t="n"/>
      <c r="D158" s="7">
        <f>D157/10^6</f>
        <v/>
      </c>
    </row>
    <row r="159" ht="15.75" customHeight="1" s="230" thickBot="1"/>
    <row r="160" ht="15.75" customHeight="1" s="230" thickBot="1">
      <c r="A160" s="6" t="inlineStr">
        <is>
          <t>Total Life Cycle Cost (TLCC)</t>
        </is>
      </c>
      <c r="B160" s="5">
        <f>D60-($B$5*$B$157)+($D$157*(1-$B$5))</f>
        <v/>
      </c>
    </row>
    <row r="161" ht="15.75" customHeight="1" s="230" thickBot="1">
      <c r="A161" s="4" t="inlineStr">
        <is>
          <t>Product (kg in lifetime)</t>
        </is>
      </c>
      <c r="B161" s="3">
        <f>SUM(C131:C156)</f>
        <v/>
      </c>
    </row>
    <row r="162" ht="15.75" customHeight="1" s="230" thickBot="1">
      <c r="A162" s="2" t="inlineStr">
        <is>
          <t>Levelized Cost ($/kg)</t>
        </is>
      </c>
      <c r="B162" s="1">
        <f>B160/B161</f>
        <v/>
      </c>
    </row>
    <row r="165" ht="15.75" customHeight="1" s="230" thickBot="1"/>
    <row r="166" ht="15.75" customHeight="1" s="230" thickBot="1">
      <c r="A166" s="231" t="inlineStr">
        <is>
          <t>Capital Costing of Green Hydrogen</t>
        </is>
      </c>
      <c r="B166" s="225" t="n"/>
      <c r="C166" s="226" t="n"/>
      <c r="E166" s="221" t="inlineStr">
        <is>
          <t>TEA Costing Data</t>
        </is>
      </c>
      <c r="F166" s="216" t="n"/>
      <c r="G166" s="217" t="n"/>
      <c r="H166" s="61" t="inlineStr">
        <is>
          <t>Current and Future Cost of Equipments</t>
        </is>
      </c>
      <c r="I166" s="60" t="n"/>
      <c r="J166" s="60" t="n"/>
      <c r="K166" s="44" t="n"/>
    </row>
    <row r="167" ht="30.75" customHeight="1" s="230" thickBot="1">
      <c r="A167" s="126" t="inlineStr">
        <is>
          <t>Parameters</t>
        </is>
      </c>
      <c r="B167" s="127" t="inlineStr">
        <is>
          <t>Units</t>
        </is>
      </c>
      <c r="C167" s="128" t="inlineStr">
        <is>
          <t>Value</t>
        </is>
      </c>
      <c r="E167" s="128" t="inlineStr">
        <is>
          <t>Parameters</t>
        </is>
      </c>
      <c r="F167" s="128" t="inlineStr">
        <is>
          <t>Units</t>
        </is>
      </c>
      <c r="G167" s="128" t="inlineStr">
        <is>
          <t>Value</t>
        </is>
      </c>
      <c r="H167" s="129" t="inlineStr">
        <is>
          <t>Year</t>
        </is>
      </c>
      <c r="I167" s="130" t="inlineStr">
        <is>
          <t>Wind Turbine ($/kW)</t>
        </is>
      </c>
      <c r="J167" s="130" t="inlineStr">
        <is>
          <t>Solar PV ($/kW)</t>
        </is>
      </c>
      <c r="K167" s="131" t="inlineStr">
        <is>
          <t>Electrolyzer ($/kW)</t>
        </is>
      </c>
    </row>
    <row r="168">
      <c r="A168" s="132" t="inlineStr">
        <is>
          <t>Product Demand</t>
        </is>
      </c>
      <c r="B168" s="133" t="inlineStr">
        <is>
          <t>MTPD</t>
        </is>
      </c>
      <c r="C168" s="134" t="n">
        <v>100</v>
      </c>
      <c r="E168" s="135" t="inlineStr">
        <is>
          <t>1. Costing Parameters</t>
        </is>
      </c>
      <c r="F168" s="136" t="n"/>
      <c r="G168" s="137" t="n"/>
      <c r="H168" s="138" t="n">
        <v>2025</v>
      </c>
      <c r="I168" s="139">
        <f>VLOOKUP('100% Wind - 0% Solar'!G178, AE184:AZ186, 2, FALSE)</f>
        <v/>
      </c>
      <c r="J168" s="139">
        <f>VLOOKUP('100% Wind - 0% Solar'!G178, AE184:AZ186, 9, FALSE)</f>
        <v/>
      </c>
      <c r="K168" s="140">
        <f>VLOOKUP('100% Wind - 0% Solar'!G178, AE184:AZ186, 16, FALSE)</f>
        <v/>
      </c>
    </row>
    <row r="169">
      <c r="A169" s="141" t="n"/>
      <c r="B169" s="142" t="inlineStr">
        <is>
          <t>kg/hr</t>
        </is>
      </c>
      <c r="C169" s="143">
        <f>(C168*1000)/18</f>
        <v/>
      </c>
      <c r="E169" s="144" t="inlineStr">
        <is>
          <t>Annual Operating Hours</t>
        </is>
      </c>
      <c r="F169" s="145" t="inlineStr">
        <is>
          <t>hr</t>
        </is>
      </c>
      <c r="G169" s="146" t="n">
        <v>6570</v>
      </c>
      <c r="H169" s="138" t="n">
        <v>2027</v>
      </c>
      <c r="I169" s="139">
        <f>VLOOKUP('100% Wind - 0% Solar'!G178, AE184:AZ186, 3, FALSE)</f>
        <v/>
      </c>
      <c r="J169" s="139">
        <f>VLOOKUP('100% Wind - 0% Solar'!G178, AE184:AZ186, 10, FALSE)</f>
        <v/>
      </c>
      <c r="K169" s="140">
        <f>VLOOKUP('100% Wind - 0% Solar'!G178, AE184:AZ186, 17, FALSE)</f>
        <v/>
      </c>
    </row>
    <row r="170">
      <c r="A170" s="147" t="n"/>
      <c r="B170" s="148" t="n"/>
      <c r="C170" s="149" t="n"/>
      <c r="E170" s="144" t="inlineStr">
        <is>
          <t>Tax Rate</t>
        </is>
      </c>
      <c r="F170" s="145" t="n"/>
      <c r="G170" s="150" t="n">
        <v>0.15</v>
      </c>
      <c r="H170" s="138" t="n">
        <v>2030</v>
      </c>
      <c r="I170" s="139">
        <f>VLOOKUP('100% Wind - 0% Solar'!G178, AE184:AZ186, 4, FALSE)</f>
        <v/>
      </c>
      <c r="J170" s="139">
        <f>VLOOKUP('100% Wind - 0% Solar'!G178, AE184:AZ186, 11, FALSE)</f>
        <v/>
      </c>
      <c r="K170" s="140">
        <f>VLOOKUP('100% Wind - 0% Solar'!G178, AE184:AZ186, 18, FALSE)</f>
        <v/>
      </c>
    </row>
    <row r="171">
      <c r="A171" s="135" t="inlineStr">
        <is>
          <t>1. Electrolyzer</t>
        </is>
      </c>
      <c r="B171" s="136" t="n"/>
      <c r="C171" s="149" t="n"/>
      <c r="E171" s="144" t="inlineStr">
        <is>
          <t>Discount Rate</t>
        </is>
      </c>
      <c r="F171" s="145" t="n"/>
      <c r="G171" s="150" t="n">
        <v>0.08</v>
      </c>
      <c r="H171" s="138" t="n">
        <v>2035</v>
      </c>
      <c r="I171" s="139">
        <f>VLOOKUP('100% Wind - 0% Solar'!G178, AE184:AZ186, 5, FALSE)</f>
        <v/>
      </c>
      <c r="J171" s="139">
        <f>VLOOKUP('100% Wind - 0% Solar'!G178, AE184:AZ186, 12, FALSE)</f>
        <v/>
      </c>
      <c r="K171" s="140">
        <f>VLOOKUP('100% Wind - 0% Solar'!G178, AE184:AZ186, 19, FALSE)</f>
        <v/>
      </c>
    </row>
    <row r="172">
      <c r="A172" s="144" t="inlineStr">
        <is>
          <t>Efficiency of AWE Electrolyzer</t>
        </is>
      </c>
      <c r="B172" s="145" t="n"/>
      <c r="C172" s="150" t="n">
        <v>0.7</v>
      </c>
      <c r="E172" s="144" t="inlineStr">
        <is>
          <t>Profit Margin</t>
        </is>
      </c>
      <c r="F172" s="145" t="n"/>
      <c r="G172" s="150" t="n">
        <v>0.05</v>
      </c>
      <c r="H172" s="138" t="n">
        <v>2040</v>
      </c>
      <c r="I172" s="139">
        <f>VLOOKUP('100% Wind - 0% Solar'!G178, AE184:AZ186, 6, FALSE)</f>
        <v/>
      </c>
      <c r="J172" s="139">
        <f>VLOOKUP('100% Wind - 0% Solar'!G178, AE184:AZ186, 13, FALSE)</f>
        <v/>
      </c>
      <c r="K172" s="140">
        <f>VLOOKUP('100% Wind - 0% Solar'!G178, AE184:AZ186, 20, FALSE)</f>
        <v/>
      </c>
    </row>
    <row r="173">
      <c r="A173" s="144" t="inlineStr">
        <is>
          <t>LHV of Hydrogen</t>
        </is>
      </c>
      <c r="B173" s="145" t="inlineStr">
        <is>
          <t>MWh/kg</t>
        </is>
      </c>
      <c r="C173" s="143" t="n">
        <v>0.033</v>
      </c>
      <c r="E173" s="151" t="inlineStr">
        <is>
          <t>Depriciation Year</t>
        </is>
      </c>
      <c r="F173" s="145" t="inlineStr">
        <is>
          <t>yr</t>
        </is>
      </c>
      <c r="G173" s="152" t="n">
        <v>7</v>
      </c>
      <c r="H173" s="138" t="n">
        <v>2045</v>
      </c>
      <c r="I173" s="139">
        <f>VLOOKUP('100% Wind - 0% Solar'!G178, AE184:AZ186, 7, FALSE)</f>
        <v/>
      </c>
      <c r="J173" s="139">
        <f>VLOOKUP('100% Wind - 0% Solar'!G178, AE184:AZ186, 14, FALSE)</f>
        <v/>
      </c>
      <c r="K173" s="140">
        <f>VLOOKUP('100% Wind - 0% Solar'!G178, AE184:AZ186, 21, FALSE)</f>
        <v/>
      </c>
    </row>
    <row r="174" ht="15.75" customHeight="1" s="230" thickBot="1">
      <c r="A174" s="144" t="inlineStr">
        <is>
          <t>Cost of AWE Electrolyzer</t>
        </is>
      </c>
      <c r="B174" s="145" t="inlineStr">
        <is>
          <t>$/kW</t>
        </is>
      </c>
      <c r="C174" s="153">
        <f>VLOOKUP(G177,H168:K174,4,FALSE)</f>
        <v/>
      </c>
      <c r="E174" s="151" t="inlineStr">
        <is>
          <t>Salvage Value</t>
        </is>
      </c>
      <c r="F174" s="145" t="inlineStr">
        <is>
          <t>$</t>
        </is>
      </c>
      <c r="G174" s="152" t="n">
        <v>0</v>
      </c>
      <c r="H174" s="154" t="n">
        <v>2050</v>
      </c>
      <c r="I174" s="155">
        <f>VLOOKUP('100% Wind - 0% Solar'!G178, AE184:AZ186, 8, FALSE)</f>
        <v/>
      </c>
      <c r="J174" s="155">
        <f>VLOOKUP('100% Wind - 0% Solar'!G178, AE184:AZ186, 15, FALSE)</f>
        <v/>
      </c>
      <c r="K174" s="140">
        <f>VLOOKUP('100% Wind - 0% Solar'!G178, AE184:AZ186, 22, FALSE)</f>
        <v/>
      </c>
    </row>
    <row r="175">
      <c r="A175" s="147" t="n"/>
      <c r="B175" s="136" t="n"/>
      <c r="C175" s="149" t="n"/>
      <c r="E175" s="151" t="inlineStr">
        <is>
          <t>Project Life</t>
        </is>
      </c>
      <c r="F175" s="145" t="inlineStr">
        <is>
          <t>yr</t>
        </is>
      </c>
      <c r="G175" s="152" t="n">
        <v>25</v>
      </c>
    </row>
    <row r="176" ht="15.75" customHeight="1" s="230" thickBot="1">
      <c r="A176" s="156" t="inlineStr">
        <is>
          <t>2. Solar System</t>
        </is>
      </c>
      <c r="B176" s="136" t="n"/>
      <c r="C176" s="149" t="n"/>
      <c r="E176" s="157" t="inlineStr">
        <is>
          <t>Plant Start-Up Year</t>
        </is>
      </c>
      <c r="F176" s="158" t="inlineStr">
        <is>
          <t>yr</t>
        </is>
      </c>
      <c r="G176" s="159" t="n">
        <v>2</v>
      </c>
    </row>
    <row r="177">
      <c r="A177" s="151" t="inlineStr">
        <is>
          <t>Efficiency of DC to AC</t>
        </is>
      </c>
      <c r="B177" s="145" t="n"/>
      <c r="C177" s="160" t="n">
        <v>0.8</v>
      </c>
      <c r="E177" s="161" t="inlineStr">
        <is>
          <t>Analysis Year</t>
        </is>
      </c>
      <c r="F177" s="162" t="n"/>
      <c r="G177" s="163" t="n">
        <v>2025</v>
      </c>
    </row>
    <row r="178" ht="15.75" customHeight="1" s="230" thickBot="1">
      <c r="A178" s="151" t="inlineStr">
        <is>
          <t>Size of Solar Panel</t>
        </is>
      </c>
      <c r="B178" s="145" t="inlineStr">
        <is>
          <t>W</t>
        </is>
      </c>
      <c r="C178" s="164" t="n">
        <v>555</v>
      </c>
      <c r="E178" s="4" t="inlineStr">
        <is>
          <t>Cost Input Approach</t>
        </is>
      </c>
      <c r="F178" s="165" t="n"/>
      <c r="G178" s="166" t="inlineStr">
        <is>
          <t>Lowest</t>
        </is>
      </c>
    </row>
    <row r="179">
      <c r="A179" s="151" t="inlineStr">
        <is>
          <t>Length of Solar Panel</t>
        </is>
      </c>
      <c r="B179" s="145" t="inlineStr">
        <is>
          <t>m</t>
        </is>
      </c>
      <c r="C179" s="164" t="n">
        <v>2.28</v>
      </c>
      <c r="E179" s="167" t="n"/>
      <c r="F179" s="168" t="n"/>
      <c r="G179" s="169" t="n"/>
    </row>
    <row r="180" ht="15.75" customHeight="1" s="230" thickBot="1">
      <c r="A180" s="151" t="inlineStr">
        <is>
          <t>Width of Solar Panel</t>
        </is>
      </c>
      <c r="B180" s="145" t="inlineStr">
        <is>
          <t>m</t>
        </is>
      </c>
      <c r="C180" s="164" t="n">
        <v>1.13</v>
      </c>
      <c r="E180" s="135" t="inlineStr">
        <is>
          <t>2. Products Data</t>
        </is>
      </c>
      <c r="F180" s="136" t="n"/>
      <c r="G180" s="137" t="n"/>
    </row>
    <row r="181" ht="15.75" customHeight="1" s="230" thickBot="1">
      <c r="A181" s="144" t="inlineStr">
        <is>
          <t>Cost of Solar PV</t>
        </is>
      </c>
      <c r="B181" s="145" t="inlineStr">
        <is>
          <t>$/kW</t>
        </is>
      </c>
      <c r="C181" s="153">
        <f>VLOOKUP(G177,H168:K174,3,FALSE)</f>
        <v/>
      </c>
      <c r="E181" s="151" t="inlineStr">
        <is>
          <t>Selling Price of Green Hydrogen</t>
        </is>
      </c>
      <c r="F181" s="145" t="inlineStr">
        <is>
          <t>$/kg</t>
        </is>
      </c>
      <c r="G181" s="170" t="n">
        <v>13.67</v>
      </c>
      <c r="AE181" s="196" t="inlineStr">
        <is>
          <t>Current and Future Cost of Equipments</t>
        </is>
      </c>
      <c r="AF181" s="197" t="n"/>
      <c r="AG181" s="197" t="n"/>
      <c r="AH181" s="197" t="n"/>
      <c r="AI181" s="197" t="n"/>
      <c r="AJ181" s="197" t="n"/>
      <c r="AK181" s="197" t="n"/>
      <c r="AL181" s="197" t="n"/>
      <c r="AM181" s="197" t="n"/>
      <c r="AN181" s="197" t="n"/>
      <c r="AO181" s="197" t="n"/>
      <c r="AP181" s="197" t="n"/>
      <c r="AQ181" s="197" t="n"/>
      <c r="AR181" s="197" t="n"/>
      <c r="AS181" s="197" t="n"/>
      <c r="AT181" s="197" t="n"/>
      <c r="AU181" s="197" t="n"/>
      <c r="AV181" s="197" t="n"/>
      <c r="AW181" s="197" t="n"/>
      <c r="AX181" s="197" t="n"/>
      <c r="AY181" s="197" t="n"/>
      <c r="AZ181" s="198" t="n"/>
    </row>
    <row r="182" ht="15.75" customHeight="1" s="230" thickBot="1">
      <c r="A182" s="147" t="n"/>
      <c r="B182" s="136" t="n"/>
      <c r="C182" s="149" t="n"/>
      <c r="E182" s="151" t="inlineStr">
        <is>
          <t>Selling Price of Oxygen</t>
        </is>
      </c>
      <c r="F182" s="145" t="inlineStr">
        <is>
          <t>$/kg</t>
        </is>
      </c>
      <c r="G182" s="170" t="n">
        <v>0.15</v>
      </c>
      <c r="AE182" s="185" t="n"/>
      <c r="AF182" s="199" t="inlineStr">
        <is>
          <t>Wind ($/kW)</t>
        </is>
      </c>
      <c r="AG182" s="200" t="n"/>
      <c r="AH182" s="200" t="n"/>
      <c r="AI182" s="200" t="n"/>
      <c r="AJ182" s="200" t="n"/>
      <c r="AK182" s="200" t="n"/>
      <c r="AL182" s="188" t="n"/>
      <c r="AM182" s="199" t="inlineStr">
        <is>
          <t>Solar PV ($/kW)</t>
        </is>
      </c>
      <c r="AN182" s="200" t="n"/>
      <c r="AO182" s="200" t="n"/>
      <c r="AP182" s="200" t="n"/>
      <c r="AQ182" s="200" t="n"/>
      <c r="AR182" s="200" t="n"/>
      <c r="AS182" s="188" t="n"/>
      <c r="AT182" s="199" t="inlineStr">
        <is>
          <t>Electrolyzer ($/kW)</t>
        </is>
      </c>
      <c r="AU182" s="200" t="n"/>
      <c r="AV182" s="200" t="n"/>
      <c r="AW182" s="200" t="n"/>
      <c r="AX182" s="200" t="n"/>
      <c r="AY182" s="200" t="n"/>
      <c r="AZ182" s="188" t="n"/>
    </row>
    <row r="183" ht="15.75" customHeight="1" s="230" thickBot="1">
      <c r="A183" s="135" t="inlineStr">
        <is>
          <t>3. Wind Turbine</t>
        </is>
      </c>
      <c r="B183" s="136" t="n"/>
      <c r="C183" s="171" t="n"/>
      <c r="E183" s="172" t="n"/>
      <c r="F183" s="136" t="n"/>
      <c r="G183" s="149" t="n"/>
      <c r="AE183" s="186" t="n"/>
      <c r="AF183" s="187" t="n">
        <v>2025</v>
      </c>
      <c r="AG183" s="187" t="n">
        <v>2027</v>
      </c>
      <c r="AH183" s="187" t="n">
        <v>2030</v>
      </c>
      <c r="AI183" s="187" t="n">
        <v>2035</v>
      </c>
      <c r="AJ183" s="187" t="n">
        <v>2040</v>
      </c>
      <c r="AK183" s="187" t="n">
        <v>2045</v>
      </c>
      <c r="AL183" s="188" t="n">
        <v>2050</v>
      </c>
      <c r="AM183" s="187" t="n">
        <v>2025</v>
      </c>
      <c r="AN183" s="187" t="n">
        <v>2027</v>
      </c>
      <c r="AO183" s="187" t="n">
        <v>2030</v>
      </c>
      <c r="AP183" s="187" t="n">
        <v>2035</v>
      </c>
      <c r="AQ183" s="187" t="n">
        <v>2040</v>
      </c>
      <c r="AR183" s="187" t="n">
        <v>2045</v>
      </c>
      <c r="AS183" s="188" t="n">
        <v>2050</v>
      </c>
      <c r="AT183" s="187" t="n">
        <v>2025</v>
      </c>
      <c r="AU183" s="187" t="n">
        <v>2027</v>
      </c>
      <c r="AV183" s="187" t="n">
        <v>2030</v>
      </c>
      <c r="AW183" s="187" t="n">
        <v>2035</v>
      </c>
      <c r="AX183" s="187" t="n">
        <v>2040</v>
      </c>
      <c r="AY183" s="187" t="n">
        <v>2045</v>
      </c>
      <c r="AZ183" s="188" t="n">
        <v>2050</v>
      </c>
    </row>
    <row r="184" ht="18" customHeight="1" s="230">
      <c r="A184" s="144" t="inlineStr">
        <is>
          <t xml:space="preserve">Reated Power (Pr) </t>
        </is>
      </c>
      <c r="B184" s="145" t="inlineStr">
        <is>
          <t>MW</t>
        </is>
      </c>
      <c r="C184" s="173" t="n">
        <v>3.6</v>
      </c>
      <c r="E184" s="135" t="inlineStr">
        <is>
          <t>3. Raw Material / Utilities Costs and Flow</t>
        </is>
      </c>
      <c r="F184" s="136" t="n"/>
      <c r="G184" s="149" t="n"/>
      <c r="AE184" s="189" t="inlineStr">
        <is>
          <t>Lowest</t>
        </is>
      </c>
      <c r="AF184" s="190" t="n">
        <v>1060</v>
      </c>
      <c r="AG184" s="190" t="n">
        <v>930</v>
      </c>
      <c r="AH184" s="190" t="n">
        <v>800</v>
      </c>
      <c r="AI184" s="190" t="n">
        <v>763</v>
      </c>
      <c r="AJ184" s="190" t="n">
        <v>725</v>
      </c>
      <c r="AK184" s="190" t="n">
        <v>688</v>
      </c>
      <c r="AL184" s="191" t="n">
        <v>650</v>
      </c>
      <c r="AM184" s="190" t="n">
        <v>466</v>
      </c>
      <c r="AN184" s="190" t="n">
        <v>403</v>
      </c>
      <c r="AO184" s="190" t="n">
        <v>340</v>
      </c>
      <c r="AP184" s="190" t="n">
        <v>296</v>
      </c>
      <c r="AQ184" s="190" t="n">
        <v>253</v>
      </c>
      <c r="AR184" s="190" t="n">
        <v>209</v>
      </c>
      <c r="AS184" s="191" t="n">
        <v>165</v>
      </c>
      <c r="AT184" s="190" t="n">
        <v>500</v>
      </c>
      <c r="AU184" s="190" t="n">
        <v>450</v>
      </c>
      <c r="AV184" s="190" t="n">
        <v>400</v>
      </c>
      <c r="AW184" s="190" t="n">
        <v>350</v>
      </c>
      <c r="AX184" s="190" t="n">
        <v>300</v>
      </c>
      <c r="AY184" s="190" t="n">
        <v>250</v>
      </c>
      <c r="AZ184" s="191" t="n">
        <v>200</v>
      </c>
    </row>
    <row r="185" ht="18" customHeight="1" s="230">
      <c r="A185" s="144" t="inlineStr">
        <is>
          <t xml:space="preserve">Cut-In Velocity (Vcut-in) </t>
        </is>
      </c>
      <c r="B185" s="145" t="inlineStr">
        <is>
          <t>m/s</t>
        </is>
      </c>
      <c r="C185" s="173" t="n">
        <v>4.5</v>
      </c>
      <c r="E185" s="174" t="inlineStr">
        <is>
          <t>Deionized Water</t>
        </is>
      </c>
      <c r="F185" s="136" t="n"/>
      <c r="G185" s="149" t="n"/>
      <c r="AE185" s="192" t="inlineStr">
        <is>
          <t>Mid</t>
        </is>
      </c>
      <c r="AF185" s="190" t="n">
        <v>1242</v>
      </c>
      <c r="AG185" s="190" t="n">
        <v>1158.5</v>
      </c>
      <c r="AH185" s="190" t="n">
        <v>1075</v>
      </c>
      <c r="AI185" s="190" t="n">
        <v>1013</v>
      </c>
      <c r="AJ185" s="190" t="n">
        <v>950</v>
      </c>
      <c r="AK185" s="190" t="n">
        <v>888</v>
      </c>
      <c r="AL185" s="191" t="n">
        <v>825</v>
      </c>
      <c r="AM185" s="190" t="n">
        <v>744</v>
      </c>
      <c r="AN185" s="190" t="n">
        <v>665.5</v>
      </c>
      <c r="AO185" s="190" t="n">
        <v>587</v>
      </c>
      <c r="AP185" s="190" t="n">
        <v>521</v>
      </c>
      <c r="AQ185" s="190" t="n">
        <v>455</v>
      </c>
      <c r="AR185" s="190" t="n">
        <v>389</v>
      </c>
      <c r="AS185" s="191" t="n">
        <v>323</v>
      </c>
      <c r="AT185" s="190" t="n">
        <v>813</v>
      </c>
      <c r="AU185" s="190" t="n">
        <v>719</v>
      </c>
      <c r="AV185" s="190" t="n">
        <v>625</v>
      </c>
      <c r="AW185" s="190" t="n">
        <v>581</v>
      </c>
      <c r="AX185" s="190" t="n">
        <v>538</v>
      </c>
      <c r="AY185" s="190" t="n">
        <v>494</v>
      </c>
      <c r="AZ185" s="191" t="n">
        <v>450</v>
      </c>
    </row>
    <row r="186" ht="18.75" customHeight="1" s="230" thickBot="1">
      <c r="A186" s="144" t="inlineStr">
        <is>
          <t xml:space="preserve">Cut-Out Velocity (Vcut-out) </t>
        </is>
      </c>
      <c r="B186" s="145" t="inlineStr">
        <is>
          <t>m/s</t>
        </is>
      </c>
      <c r="C186" s="173" t="n">
        <v>25</v>
      </c>
      <c r="E186" s="144" t="inlineStr">
        <is>
          <t>Flow Rate of Nitrogen</t>
        </is>
      </c>
      <c r="F186" s="145" t="inlineStr">
        <is>
          <t>kg/kg of H2</t>
        </is>
      </c>
      <c r="G186" s="143" t="n">
        <v>10</v>
      </c>
      <c r="AE186" s="193" t="inlineStr">
        <is>
          <t>Highest</t>
        </is>
      </c>
      <c r="AF186" s="194" t="n">
        <v>1424</v>
      </c>
      <c r="AG186" s="194" t="n">
        <v>1387</v>
      </c>
      <c r="AH186" s="194" t="n">
        <v>1350</v>
      </c>
      <c r="AI186" s="194" t="n">
        <v>1263</v>
      </c>
      <c r="AJ186" s="194" t="n">
        <v>1175</v>
      </c>
      <c r="AK186" s="194" t="n">
        <v>1088</v>
      </c>
      <c r="AL186" s="195" t="n">
        <v>1000</v>
      </c>
      <c r="AM186" s="194" t="n">
        <v>1022</v>
      </c>
      <c r="AN186" s="194" t="n">
        <v>928</v>
      </c>
      <c r="AO186" s="194" t="n">
        <v>834</v>
      </c>
      <c r="AP186" s="194" t="n">
        <v>746</v>
      </c>
      <c r="AQ186" s="194" t="n">
        <v>658</v>
      </c>
      <c r="AR186" s="194" t="n">
        <v>569</v>
      </c>
      <c r="AS186" s="195" t="n">
        <v>481</v>
      </c>
      <c r="AT186" s="194" t="n">
        <v>1125</v>
      </c>
      <c r="AU186" s="194" t="n">
        <v>987.5</v>
      </c>
      <c r="AV186" s="194" t="n">
        <v>850</v>
      </c>
      <c r="AW186" s="194" t="n">
        <v>575</v>
      </c>
      <c r="AX186" s="194" t="n">
        <v>775</v>
      </c>
      <c r="AY186" s="194" t="n">
        <v>738</v>
      </c>
      <c r="AZ186" s="195" t="n">
        <v>700</v>
      </c>
    </row>
    <row r="187" ht="18" customHeight="1" s="230">
      <c r="A187" s="144" t="inlineStr">
        <is>
          <t xml:space="preserve">Reated Velocity (Vr) </t>
        </is>
      </c>
      <c r="B187" s="145" t="inlineStr">
        <is>
          <t>m/s</t>
        </is>
      </c>
      <c r="C187" s="173" t="n">
        <v>15</v>
      </c>
      <c r="E187" s="151" t="inlineStr">
        <is>
          <t>Cost of Deionized Water</t>
        </is>
      </c>
      <c r="F187" s="145" t="inlineStr">
        <is>
          <t>$/kg</t>
        </is>
      </c>
      <c r="G187" s="243" t="n">
        <v>0.003</v>
      </c>
    </row>
    <row r="188" ht="15.75" customHeight="1" s="230" thickBot="1">
      <c r="A188" s="175" t="inlineStr">
        <is>
          <t>Cost of Wind Turbine</t>
        </is>
      </c>
      <c r="B188" s="158" t="inlineStr">
        <is>
          <t>$/kW</t>
        </is>
      </c>
      <c r="C188" s="176">
        <f>VLOOKUP(G177,H168:K174,2,FALSE)</f>
        <v/>
      </c>
      <c r="E188" s="174" t="inlineStr">
        <is>
          <t>KOH</t>
        </is>
      </c>
      <c r="F188" s="177" t="n"/>
      <c r="G188" s="178" t="n"/>
    </row>
    <row r="189" ht="18" customHeight="1" s="230">
      <c r="E189" s="144" t="inlineStr">
        <is>
          <t>Flow Rate of KOH</t>
        </is>
      </c>
      <c r="F189" s="145" t="inlineStr">
        <is>
          <t>kg/kg of H2</t>
        </is>
      </c>
      <c r="G189" s="244" t="n">
        <v>0.000275</v>
      </c>
    </row>
    <row r="190">
      <c r="E190" s="151" t="inlineStr">
        <is>
          <t>Cost of KOH</t>
        </is>
      </c>
      <c r="F190" s="145" t="inlineStr">
        <is>
          <t>$/kg</t>
        </is>
      </c>
      <c r="G190" s="179" t="n">
        <v>2.74</v>
      </c>
    </row>
    <row r="191">
      <c r="E191" s="174" t="inlineStr">
        <is>
          <t>Steam</t>
        </is>
      </c>
      <c r="F191" s="177" t="n"/>
      <c r="G191" s="178" t="n"/>
    </row>
    <row r="192" ht="18" customHeight="1" s="230">
      <c r="E192" s="144" t="inlineStr">
        <is>
          <t>Flow Rate of Steam</t>
        </is>
      </c>
      <c r="F192" s="145" t="inlineStr">
        <is>
          <t>kg/kg of H2</t>
        </is>
      </c>
      <c r="G192" s="244" t="n">
        <v>0.0038</v>
      </c>
    </row>
    <row r="193">
      <c r="E193" s="151" t="inlineStr">
        <is>
          <t>Cost of Steam</t>
        </is>
      </c>
      <c r="F193" s="145" t="inlineStr">
        <is>
          <t>$/kg</t>
        </is>
      </c>
      <c r="G193" s="179" t="n">
        <v>0.3</v>
      </c>
    </row>
    <row r="194">
      <c r="E194" s="174" t="inlineStr">
        <is>
          <t>Nitrogen</t>
        </is>
      </c>
      <c r="F194" s="177" t="n"/>
      <c r="G194" s="178" t="n"/>
    </row>
    <row r="195" ht="18" customHeight="1" s="230">
      <c r="E195" s="144" t="inlineStr">
        <is>
          <t>Flow Rate of Nitrogen</t>
        </is>
      </c>
      <c r="F195" s="145" t="inlineStr">
        <is>
          <t>kg/kg of H2</t>
        </is>
      </c>
      <c r="G195" s="244" t="n">
        <v>7.114999999999999e-05</v>
      </c>
    </row>
    <row r="196">
      <c r="E196" s="151" t="inlineStr">
        <is>
          <t>Cost of Nitrogen</t>
        </is>
      </c>
      <c r="F196" s="145" t="inlineStr">
        <is>
          <t>$/kg</t>
        </is>
      </c>
      <c r="G196" s="179" t="n">
        <v>0.01</v>
      </c>
    </row>
    <row r="197">
      <c r="E197" s="144" t="inlineStr">
        <is>
          <t>Hydrogen Storage Cost (for 30%)</t>
        </is>
      </c>
      <c r="F197" s="180" t="n"/>
      <c r="G197" s="179" t="n">
        <v>0.5</v>
      </c>
    </row>
    <row r="198">
      <c r="E198" s="181" t="inlineStr">
        <is>
          <t>Transportation Cost of Water</t>
        </is>
      </c>
      <c r="F198" s="180" t="n"/>
      <c r="G198" s="182" t="n"/>
    </row>
    <row r="199">
      <c r="E199" s="151" t="inlineStr">
        <is>
          <t>LCOW transportation for 100 km</t>
        </is>
      </c>
      <c r="F199" s="145" t="inlineStr">
        <is>
          <t>$/kg</t>
        </is>
      </c>
      <c r="G199" s="183">
        <f>0.055/1000</f>
        <v/>
      </c>
    </row>
    <row r="200" ht="15.75" customHeight="1" s="230" thickBot="1">
      <c r="E200" s="157" t="inlineStr">
        <is>
          <t>Distance to Sohar Port</t>
        </is>
      </c>
      <c r="F200" s="158" t="inlineStr">
        <is>
          <t>km</t>
        </is>
      </c>
      <c r="G200" s="184" t="n">
        <v>279</v>
      </c>
    </row>
  </sheetData>
  <mergeCells count="19">
    <mergeCell ref="Y2:AD2"/>
    <mergeCell ref="D3:G3"/>
    <mergeCell ref="A64:B64"/>
    <mergeCell ref="B102:C102"/>
    <mergeCell ref="E166:G166"/>
    <mergeCell ref="A58:D58"/>
    <mergeCell ref="A65:B65"/>
    <mergeCell ref="A22:C22"/>
    <mergeCell ref="A3:B3"/>
    <mergeCell ref="R2:W2"/>
    <mergeCell ref="K12:L12"/>
    <mergeCell ref="M2:P2"/>
    <mergeCell ref="D102:E102"/>
    <mergeCell ref="A166:C166"/>
    <mergeCell ref="A83:L83"/>
    <mergeCell ref="A62:B62"/>
    <mergeCell ref="A63:B63"/>
    <mergeCell ref="A1:L1"/>
    <mergeCell ref="A129:D129"/>
  </mergeCells>
  <dataValidations count="2">
    <dataValidation sqref="G177" showDropDown="0" showInputMessage="1" showErrorMessage="1" allowBlank="0" type="list">
      <formula1>$H$168:$H$174</formula1>
    </dataValidation>
    <dataValidation sqref="G178" showDropDown="0" showInputMessage="1" showErrorMessage="1" allowBlank="0" type="list">
      <formula1>$AE$184:$AE$186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PMLS</dc:creator>
  <dcterms:created xmlns:dcterms="http://purl.org/dc/terms/" xmlns:xsi="http://www.w3.org/2001/XMLSchema-instance" xsi:type="dcterms:W3CDTF">2024-05-11T07:19:26Z</dcterms:created>
  <dcterms:modified xmlns:dcterms="http://purl.org/dc/terms/" xmlns:xsi="http://www.w3.org/2001/XMLSchema-instance" xsi:type="dcterms:W3CDTF">2024-05-12T03:40:20Z</dcterms:modified>
  <cp:lastModifiedBy>PMLS</cp:lastModifiedBy>
</cp:coreProperties>
</file>