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585" tabRatio="600" firstSheet="0" activeTab="0" autoFilterDateGrouping="1"/>
  </bookViews>
  <sheets>
    <sheet xmlns:r="http://schemas.openxmlformats.org/officeDocument/2006/relationships" name="Input Data" sheetId="1" state="visible" r:id="rId1"/>
  </sheets>
  <externalReferences>
    <externalReference xmlns:r="http://schemas.openxmlformats.org/officeDocument/2006/relationships" r:id="rId2"/>
  </externalReferences>
  <definedNames>
    <definedName name="FCI">#REF!</definedName>
    <definedName name="ISBL">#REF!</definedName>
    <definedName name="L">#REF!</definedName>
    <definedName name="Land">#REF!</definedName>
    <definedName name="TCI">#REF!</definedName>
    <definedName name="WC">#REF!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#,##0.000000"/>
    <numFmt numFmtId="166" formatCode="&quot;$&quot;#,##0.000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FF"/>
      <sz val="11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theme="1"/>
      <sz val="18"/>
      <scheme val="minor"/>
    </font>
  </fonts>
  <fills count="7">
    <fill>
      <patternFill/>
    </fill>
    <fill>
      <patternFill patternType="gray125"/>
    </fill>
    <fill>
      <patternFill patternType="solid">
        <fgColor rgb="FF97E4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049989318521683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1" fillId="0" borderId="0"/>
    <xf numFmtId="43" fontId="1" fillId="0" borderId="0"/>
  </cellStyleXfs>
  <cellXfs count="75">
    <xf numFmtId="0" fontId="0" fillId="0" borderId="0" pivotButton="0" quotePrefix="0" xfId="0"/>
    <xf numFmtId="0" fontId="5" fillId="2" borderId="1" pivotButton="0" quotePrefix="0" xfId="0"/>
    <xf numFmtId="0" fontId="0" fillId="2" borderId="2" applyAlignment="1" pivotButton="0" quotePrefix="0" xfId="0">
      <alignment horizontal="center"/>
    </xf>
    <xf numFmtId="0" fontId="0" fillId="2" borderId="3" pivotButton="0" quotePrefix="0" xfId="0"/>
    <xf numFmtId="0" fontId="5" fillId="2" borderId="4" pivotButton="0" quotePrefix="0" xfId="0"/>
    <xf numFmtId="0" fontId="0" fillId="2" borderId="5" applyAlignment="1" pivotButton="0" quotePrefix="0" xfId="0">
      <alignment horizontal="center"/>
    </xf>
    <xf numFmtId="0" fontId="0" fillId="2" borderId="6" pivotButton="0" quotePrefix="0" xfId="0"/>
    <xf numFmtId="0" fontId="0" fillId="2" borderId="4" pivotButton="0" quotePrefix="0" xfId="0"/>
    <xf numFmtId="0" fontId="0" fillId="2" borderId="5" pivotButton="0" quotePrefix="0" xfId="0"/>
    <xf numFmtId="0" fontId="4" fillId="2" borderId="6" pivotButton="0" quotePrefix="0" xfId="0"/>
    <xf numFmtId="164" fontId="5" fillId="2" borderId="4" applyAlignment="1" applyProtection="1" pivotButton="0" quotePrefix="0" xfId="0">
      <alignment horizontal="right"/>
      <protection locked="0" hidden="0"/>
    </xf>
    <xf numFmtId="0" fontId="0" fillId="2" borderId="6" applyAlignment="1" pivotButton="0" quotePrefix="0" xfId="0">
      <alignment horizontal="left"/>
    </xf>
    <xf numFmtId="165" fontId="5" fillId="2" borderId="4" applyAlignment="1" applyProtection="1" pivotButton="0" quotePrefix="0" xfId="0">
      <alignment horizontal="right"/>
      <protection locked="0" hidden="0"/>
    </xf>
    <xf numFmtId="164" fontId="5" fillId="2" borderId="7" applyAlignment="1" applyProtection="1" pivotButton="0" quotePrefix="0" xfId="0">
      <alignment horizontal="right"/>
      <protection locked="0" hidden="0"/>
    </xf>
    <xf numFmtId="0" fontId="0" fillId="2" borderId="8" applyAlignment="1" pivotButton="0" quotePrefix="0" xfId="0">
      <alignment horizontal="center"/>
    </xf>
    <xf numFmtId="0" fontId="4" fillId="2" borderId="6" applyAlignment="1" pivotButton="0" quotePrefix="0" xfId="0">
      <alignment horizontal="left"/>
    </xf>
    <xf numFmtId="0" fontId="0" fillId="2" borderId="3" applyAlignment="1" pivotButton="0" quotePrefix="0" xfId="0">
      <alignment horizontal="left"/>
    </xf>
    <xf numFmtId="166" fontId="5" fillId="2" borderId="4" applyAlignment="1" applyProtection="1" pivotButton="0" quotePrefix="0" xfId="0">
      <alignment horizontal="right"/>
      <protection locked="0" hidden="0"/>
    </xf>
    <xf numFmtId="43" fontId="5" fillId="2" borderId="4" applyAlignment="1" applyProtection="1" pivotButton="0" quotePrefix="0" xfId="1">
      <alignment horizontal="center"/>
      <protection locked="0" hidden="0"/>
    </xf>
    <xf numFmtId="4" fontId="5" fillId="2" borderId="4" applyAlignment="1" applyProtection="1" pivotButton="0" quotePrefix="0" xfId="0">
      <alignment horizontal="right"/>
      <protection locked="0" hidden="0"/>
    </xf>
    <xf numFmtId="0" fontId="5" fillId="2" borderId="9" applyProtection="1" pivotButton="0" quotePrefix="0" xfId="0">
      <protection locked="0" hidden="0"/>
    </xf>
    <xf numFmtId="0" fontId="0" fillId="2" borderId="0" pivotButton="0" quotePrefix="0" xfId="0"/>
    <xf numFmtId="0" fontId="4" fillId="2" borderId="10" pivotButton="0" quotePrefix="0" xfId="0"/>
    <xf numFmtId="0" fontId="3" fillId="2" borderId="10" pivotButton="0" quotePrefix="0" xfId="0"/>
    <xf numFmtId="0" fontId="5" fillId="2" borderId="9" applyAlignment="1" applyProtection="1" pivotButton="0" quotePrefix="0" xfId="0">
      <alignment horizontal="center"/>
      <protection locked="0" hidden="0"/>
    </xf>
    <xf numFmtId="164" fontId="5" fillId="2" borderId="4" applyProtection="1" pivotButton="0" quotePrefix="0" xfId="0">
      <protection locked="0" hidden="0"/>
    </xf>
    <xf numFmtId="0" fontId="0" fillId="2" borderId="10" pivotButton="0" quotePrefix="0" xfId="0"/>
    <xf numFmtId="0" fontId="0" fillId="2" borderId="9" pivotButton="0" quotePrefix="0" xfId="0"/>
    <xf numFmtId="43" fontId="5" fillId="2" borderId="4" applyProtection="1" pivotButton="0" quotePrefix="0" xfId="1">
      <protection locked="0" hidden="0"/>
    </xf>
    <xf numFmtId="0" fontId="0" fillId="2" borderId="11" pivotButton="0" quotePrefix="0" xfId="0"/>
    <xf numFmtId="0" fontId="0" fillId="2" borderId="12" pivotButton="0" quotePrefix="0" xfId="0"/>
    <xf numFmtId="0" fontId="0" fillId="2" borderId="13" pivotButton="0" quotePrefix="0" xfId="0"/>
    <xf numFmtId="0" fontId="2" fillId="4" borderId="14" applyAlignment="1" applyProtection="1" pivotButton="0" quotePrefix="0" xfId="0">
      <alignment horizontal="right"/>
      <protection locked="0" hidden="0"/>
    </xf>
    <xf numFmtId="0" fontId="0" fillId="5" borderId="14" pivotButton="0" quotePrefix="0" xfId="0"/>
    <xf numFmtId="0" fontId="2" fillId="5" borderId="15" pivotButton="0" quotePrefix="0" xfId="0"/>
    <xf numFmtId="0" fontId="2" fillId="4" borderId="9" applyAlignment="1" applyProtection="1" pivotButton="0" quotePrefix="0" xfId="0">
      <alignment horizontal="right"/>
      <protection locked="0" hidden="0"/>
    </xf>
    <xf numFmtId="0" fontId="0" fillId="5" borderId="9" pivotButton="0" quotePrefix="0" xfId="0"/>
    <xf numFmtId="0" fontId="2" fillId="5" borderId="10" pivotButton="0" quotePrefix="0" xfId="0"/>
    <xf numFmtId="9" fontId="5" fillId="2" borderId="4" applyProtection="1" pivotButton="0" quotePrefix="0" xfId="1">
      <protection locked="0" hidden="0"/>
    </xf>
    <xf numFmtId="0" fontId="5" fillId="2" borderId="1" applyProtection="1" pivotButton="0" quotePrefix="0" xfId="0">
      <protection locked="0" hidden="0"/>
    </xf>
    <xf numFmtId="0" fontId="4" fillId="2" borderId="10" applyAlignment="1" pivotButton="0" quotePrefix="0" xfId="0">
      <alignment horizontal="left"/>
    </xf>
    <xf numFmtId="0" fontId="5" fillId="2" borderId="4" applyProtection="1" pivotButton="0" quotePrefix="0" xfId="0">
      <protection locked="0" hidden="0"/>
    </xf>
    <xf numFmtId="0" fontId="0" fillId="3" borderId="14" applyAlignment="1" pivotButton="0" quotePrefix="0" xfId="0">
      <alignment horizontal="center"/>
    </xf>
    <xf numFmtId="0" fontId="0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0" fillId="3" borderId="9" applyAlignment="1" pivotButton="0" quotePrefix="0" xfId="0">
      <alignment horizontal="center"/>
    </xf>
    <xf numFmtId="0" fontId="0" fillId="3" borderId="17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9" fontId="5" fillId="2" borderId="4" applyAlignment="1" applyProtection="1" pivotButton="0" quotePrefix="0" xfId="0">
      <alignment horizontal="right"/>
      <protection locked="0" hidden="0"/>
    </xf>
    <xf numFmtId="0" fontId="0" fillId="2" borderId="18" applyAlignment="1" pivotButton="0" quotePrefix="0" xfId="0">
      <alignment horizontal="center"/>
    </xf>
    <xf numFmtId="0" fontId="5" fillId="2" borderId="4" applyAlignment="1" applyProtection="1" pivotButton="0" quotePrefix="0" xfId="0">
      <alignment horizontal="right"/>
      <protection locked="0" hidden="0"/>
    </xf>
    <xf numFmtId="0" fontId="0" fillId="2" borderId="19" applyAlignment="1" pivotButton="0" quotePrefix="0" xfId="0">
      <alignment horizontal="center"/>
    </xf>
    <xf numFmtId="0" fontId="0" fillId="2" borderId="20" applyAlignment="1" pivotButton="0" quotePrefix="0" xfId="0">
      <alignment horizontal="left"/>
    </xf>
    <xf numFmtId="2" fontId="5" fillId="2" borderId="9" applyAlignment="1" applyProtection="1" pivotButton="0" quotePrefix="0" xfId="0">
      <alignment horizontal="right"/>
      <protection locked="0" hidden="0"/>
    </xf>
    <xf numFmtId="0" fontId="0" fillId="2" borderId="21" applyAlignment="1" pivotButton="0" quotePrefix="0" xfId="0">
      <alignment horizontal="center"/>
    </xf>
    <xf numFmtId="0" fontId="0" fillId="2" borderId="22" applyAlignment="1" pivotButton="0" quotePrefix="0" xfId="0">
      <alignment horizontal="center"/>
    </xf>
    <xf numFmtId="0" fontId="2" fillId="4" borderId="23" applyAlignment="1" pivotButton="0" quotePrefix="0" xfId="0">
      <alignment horizontal="center" vertical="center" wrapText="1"/>
    </xf>
    <xf numFmtId="0" fontId="2" fillId="4" borderId="24" applyAlignment="1" pivotButton="0" quotePrefix="0" xfId="0">
      <alignment horizontal="center" vertical="center" wrapText="1"/>
    </xf>
    <xf numFmtId="0" fontId="2" fillId="4" borderId="24" applyAlignment="1" pivotButton="0" quotePrefix="0" xfId="0">
      <alignment horizontal="center" vertical="center"/>
    </xf>
    <xf numFmtId="0" fontId="2" fillId="4" borderId="24" applyAlignment="1" pivotButton="0" quotePrefix="0" xfId="0">
      <alignment horizontal="center"/>
    </xf>
    <xf numFmtId="0" fontId="2" fillId="4" borderId="25" applyAlignment="1" pivotButton="0" quotePrefix="0" xfId="0">
      <alignment horizontal="center"/>
    </xf>
    <xf numFmtId="0" fontId="2" fillId="4" borderId="26" applyAlignment="1" pivotButton="0" quotePrefix="0" xfId="0">
      <alignment horizontal="center"/>
    </xf>
    <xf numFmtId="0" fontId="6" fillId="0" borderId="0" pivotButton="0" quotePrefix="0" xfId="0"/>
    <xf numFmtId="49" fontId="5" fillId="3" borderId="4" applyAlignment="1" applyProtection="1" pivotButton="0" quotePrefix="0" xfId="0">
      <alignment horizontal="right"/>
      <protection locked="0" hidden="0"/>
    </xf>
    <xf numFmtId="49" fontId="5" fillId="3" borderId="1" applyAlignment="1" applyProtection="1" pivotButton="0" quotePrefix="0" xfId="0">
      <alignment horizontal="right"/>
      <protection locked="0" hidden="0"/>
    </xf>
    <xf numFmtId="0" fontId="0" fillId="0" borderId="0" pivotButton="0" quotePrefix="0" xfId="0"/>
    <xf numFmtId="0" fontId="2" fillId="5" borderId="24" applyAlignment="1" pivotButton="0" quotePrefix="0" xfId="0">
      <alignment horizontal="center"/>
    </xf>
    <xf numFmtId="0" fontId="0" fillId="0" borderId="27" pivotButton="0" quotePrefix="0" xfId="0"/>
    <xf numFmtId="0" fontId="0" fillId="0" borderId="23" pivotButton="0" quotePrefix="0" xfId="0"/>
    <xf numFmtId="0" fontId="2" fillId="5" borderId="28" applyAlignment="1" pivotButton="0" quotePrefix="0" xfId="0">
      <alignment horizontal="center"/>
    </xf>
    <xf numFmtId="0" fontId="0" fillId="0" borderId="12" pivotButton="0" quotePrefix="0" xfId="0"/>
    <xf numFmtId="0" fontId="0" fillId="0" borderId="11" pivotButton="0" quotePrefix="0" xfId="0"/>
    <xf numFmtId="0" fontId="7" fillId="4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6" borderId="24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demo1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tras"/>
      <sheetName val="Overall Results"/>
      <sheetName val="Solar PV Farm Sizing"/>
      <sheetName val="Wind Farm Sizing"/>
      <sheetName val="100% Wind - 0% Solar"/>
      <sheetName val="100% Wind - 0% Solar (2)"/>
      <sheetName val="90% Wind - 10% Solar "/>
      <sheetName val="90% Wind - 10% Solar (2)"/>
      <sheetName val="80% Wind - 20% Solar"/>
      <sheetName val="80% Wind - 20% Solar (2)"/>
      <sheetName val="70% Wind - 30% Solar"/>
      <sheetName val="70% Wind - 30% Solar (2)"/>
      <sheetName val="60% Wind - 40% Solar"/>
      <sheetName val="60% Wind - 40% Solar (2)"/>
      <sheetName val="50% Wind - 50% Solar "/>
      <sheetName val="50% Wind - 50% Solar (2)"/>
      <sheetName val="40% Wind - 60% Solar "/>
      <sheetName val="40% Wind - 60% Solar (2)"/>
      <sheetName val="30% Wind - 70% Solar "/>
      <sheetName val="30% Wind - 70% Solar (2)"/>
      <sheetName val="20% Wind - 80% Solar "/>
      <sheetName val="20% Wind - 80% Solar (2)"/>
      <sheetName val="10% Wind - 90% Solar "/>
      <sheetName val="10% Wind - 90% Solar (2)"/>
      <sheetName val="0% Wind - 100% Solar"/>
      <sheetName val="0% Wind - 100% Solar (2)"/>
    </sheetNames>
    <sheetDataSet>
      <sheetData sheetId="0">
        <row r="6">
          <cell r="K6" t="str">
            <v>Lowest</v>
          </cell>
          <cell r="L6">
            <v>1060</v>
          </cell>
          <cell r="M6">
            <v>930</v>
          </cell>
          <cell r="N6">
            <v>800</v>
          </cell>
          <cell r="O6">
            <v>763</v>
          </cell>
          <cell r="P6">
            <v>725</v>
          </cell>
          <cell r="Q6">
            <v>688</v>
          </cell>
          <cell r="R6">
            <v>650</v>
          </cell>
          <cell r="S6">
            <v>466</v>
          </cell>
          <cell r="T6">
            <v>403</v>
          </cell>
          <cell r="U6">
            <v>340</v>
          </cell>
          <cell r="V6">
            <v>296</v>
          </cell>
          <cell r="W6">
            <v>253</v>
          </cell>
          <cell r="X6">
            <v>209</v>
          </cell>
          <cell r="Y6">
            <v>165</v>
          </cell>
          <cell r="Z6">
            <v>500</v>
          </cell>
          <cell r="AA6">
            <v>450</v>
          </cell>
          <cell r="AB6">
            <v>400</v>
          </cell>
          <cell r="AC6">
            <v>350</v>
          </cell>
          <cell r="AD6">
            <v>300</v>
          </cell>
          <cell r="AE6">
            <v>250</v>
          </cell>
          <cell r="AF6">
            <v>200</v>
          </cell>
        </row>
        <row r="7">
          <cell r="K7" t="str">
            <v>Mid</v>
          </cell>
          <cell r="L7">
            <v>1242</v>
          </cell>
          <cell r="M7">
            <v>1158.5</v>
          </cell>
          <cell r="N7">
            <v>1075</v>
          </cell>
          <cell r="O7">
            <v>1013</v>
          </cell>
          <cell r="P7">
            <v>950</v>
          </cell>
          <cell r="Q7">
            <v>888</v>
          </cell>
          <cell r="R7">
            <v>825</v>
          </cell>
          <cell r="S7">
            <v>744</v>
          </cell>
          <cell r="T7">
            <v>665.5</v>
          </cell>
          <cell r="U7">
            <v>587</v>
          </cell>
          <cell r="V7">
            <v>521</v>
          </cell>
          <cell r="W7">
            <v>455</v>
          </cell>
          <cell r="X7">
            <v>389</v>
          </cell>
          <cell r="Y7">
            <v>323</v>
          </cell>
          <cell r="Z7">
            <v>813</v>
          </cell>
          <cell r="AA7">
            <v>719</v>
          </cell>
          <cell r="AB7">
            <v>625</v>
          </cell>
          <cell r="AC7">
            <v>581</v>
          </cell>
          <cell r="AD7">
            <v>538</v>
          </cell>
          <cell r="AE7">
            <v>494</v>
          </cell>
          <cell r="AF7">
            <v>450</v>
          </cell>
        </row>
        <row r="8">
          <cell r="K8" t="str">
            <v>Highest</v>
          </cell>
          <cell r="L8">
            <v>1424</v>
          </cell>
          <cell r="M8">
            <v>1387</v>
          </cell>
          <cell r="N8">
            <v>1350</v>
          </cell>
          <cell r="O8">
            <v>1263</v>
          </cell>
          <cell r="P8">
            <v>1175</v>
          </cell>
          <cell r="Q8">
            <v>1088</v>
          </cell>
          <cell r="R8">
            <v>1000</v>
          </cell>
          <cell r="S8">
            <v>1022</v>
          </cell>
          <cell r="T8">
            <v>928</v>
          </cell>
          <cell r="U8">
            <v>834</v>
          </cell>
          <cell r="V8">
            <v>746</v>
          </cell>
          <cell r="W8">
            <v>658</v>
          </cell>
          <cell r="X8">
            <v>569</v>
          </cell>
          <cell r="Y8">
            <v>481</v>
          </cell>
          <cell r="Z8">
            <v>1125</v>
          </cell>
          <cell r="AA8">
            <v>987.5</v>
          </cell>
          <cell r="AB8">
            <v>850</v>
          </cell>
          <cell r="AC8">
            <v>575</v>
          </cell>
          <cell r="AD8">
            <v>775</v>
          </cell>
          <cell r="AE8">
            <v>738</v>
          </cell>
          <cell r="AF8">
            <v>700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2">
    <tabColor rgb="FF0099CC"/>
    <outlinePr summaryBelow="1" summaryRight="1"/>
    <pageSetUpPr/>
  </sheetPr>
  <dimension ref="A1:Z150"/>
  <sheetViews>
    <sheetView tabSelected="1" zoomScale="69" zoomScaleNormal="85" workbookViewId="0">
      <selection activeCell="G15" sqref="G15"/>
    </sheetView>
  </sheetViews>
  <sheetFormatPr baseColWidth="8" defaultColWidth="5.7109375" defaultRowHeight="15" outlineLevelCol="0"/>
  <cols>
    <col width="28.140625" bestFit="1" customWidth="1" style="73" min="1" max="1"/>
    <col width="36.5703125" customWidth="1" style="73" min="2" max="2"/>
    <col width="27.140625" bestFit="1" customWidth="1" style="73" min="3" max="3"/>
    <col width="5.7109375" customWidth="1" style="73" min="4" max="4"/>
    <col width="30.7109375" bestFit="1" customWidth="1" style="73" min="5" max="5"/>
    <col width="28.85546875" customWidth="1" style="73" min="6" max="6"/>
    <col width="32.140625" bestFit="1" customWidth="1" style="73" min="7" max="7"/>
    <col width="5.7109375" customWidth="1" style="73" min="8" max="8"/>
    <col width="16.42578125" customWidth="1" style="73" min="9" max="9"/>
    <col width="21.42578125" customWidth="1" style="73" min="10" max="10"/>
    <col width="20.140625" customWidth="1" style="73" min="11" max="11"/>
    <col width="20.5703125" customWidth="1" style="73" min="12" max="12"/>
    <col width="5.7109375" customWidth="1" style="73" min="13" max="13"/>
    <col width="27.140625" bestFit="1" customWidth="1" style="73" min="14" max="14"/>
    <col width="24.28515625" customWidth="1" style="73" min="15" max="15"/>
    <col width="22.140625" customWidth="1" style="73" min="16" max="16"/>
    <col width="21.42578125" customWidth="1" style="73" min="17" max="18"/>
    <col width="23" customWidth="1" style="73" min="19" max="19"/>
    <col width="21.28515625" customWidth="1" style="73" min="20" max="21"/>
    <col width="21.42578125" customWidth="1" style="73" min="22" max="22"/>
    <col width="13.85546875" customWidth="1" style="73" min="23" max="23"/>
    <col width="18.140625" customWidth="1" style="73" min="24" max="24"/>
    <col width="18.28515625" customWidth="1" style="73" min="25" max="25"/>
    <col width="18" customWidth="1" style="73" min="26" max="27"/>
    <col width="18.28515625" customWidth="1" style="73" min="28" max="28"/>
    <col width="18.140625" customWidth="1" style="73" min="29" max="29"/>
    <col width="18" customWidth="1" style="73" min="30" max="30"/>
    <col width="17.7109375" customWidth="1" style="73" min="31" max="31"/>
    <col width="18" customWidth="1" style="73" min="32" max="32"/>
    <col width="18.42578125" customWidth="1" style="73" min="33" max="33"/>
    <col width="18" customWidth="1" style="73" min="34" max="35"/>
    <col width="17" customWidth="1" style="73" min="36" max="36"/>
    <col width="18" customWidth="1" style="73" min="37" max="37"/>
    <col width="18.140625" customWidth="1" style="73" min="38" max="38"/>
    <col width="18.28515625" customWidth="1" style="73" min="39" max="40"/>
    <col width="18" customWidth="1" style="73" min="41" max="41"/>
    <col width="18.140625" customWidth="1" style="73" min="42" max="42"/>
    <col width="18" customWidth="1" style="73" min="43" max="43"/>
    <col width="18.28515625" customWidth="1" style="73" min="44" max="44"/>
  </cols>
  <sheetData>
    <row r="1" ht="60" customHeight="1" s="73">
      <c r="A1" s="72" t="inlineStr">
        <is>
          <t xml:space="preserve">INPUT DATA </t>
        </is>
      </c>
      <c r="M1" s="62" t="n"/>
      <c r="N1" s="62" t="n"/>
    </row>
    <row r="2" ht="15.75" customHeight="1" s="73" thickBot="1"/>
    <row r="3" ht="15.75" customHeight="1" s="73" thickBot="1">
      <c r="A3" s="69" t="inlineStr">
        <is>
          <t>Capital Costing of Green Hydrogen</t>
        </is>
      </c>
      <c r="B3" s="70" t="n"/>
      <c r="C3" s="71" t="n"/>
      <c r="E3" s="74" t="inlineStr">
        <is>
          <t>TEA Costing Data</t>
        </is>
      </c>
      <c r="F3" s="67" t="n"/>
      <c r="G3" s="68" t="n"/>
      <c r="I3" s="66" t="inlineStr">
        <is>
          <t>Current and Future Cost of Equipments</t>
        </is>
      </c>
      <c r="J3" s="67" t="n"/>
      <c r="K3" s="67" t="n"/>
      <c r="L3" s="68" t="n"/>
    </row>
    <row r="4" ht="14.25" customHeight="1" s="73" thickBot="1">
      <c r="A4" s="61" t="inlineStr">
        <is>
          <t>Parameters</t>
        </is>
      </c>
      <c r="B4" s="60" t="inlineStr">
        <is>
          <t>Units</t>
        </is>
      </c>
      <c r="C4" s="59" t="inlineStr">
        <is>
          <t>Value</t>
        </is>
      </c>
      <c r="E4" s="59" t="inlineStr">
        <is>
          <t>Parameters</t>
        </is>
      </c>
      <c r="F4" s="59" t="inlineStr">
        <is>
          <t>Units</t>
        </is>
      </c>
      <c r="G4" s="59" t="inlineStr">
        <is>
          <t>Value</t>
        </is>
      </c>
      <c r="I4" s="58" t="inlineStr">
        <is>
          <t>Year</t>
        </is>
      </c>
      <c r="J4" s="57" t="inlineStr">
        <is>
          <t>Wind Turbine ($/kW)</t>
        </is>
      </c>
      <c r="K4" s="57" t="inlineStr">
        <is>
          <t>Solar PV ($/kW)</t>
        </is>
      </c>
      <c r="L4" s="56" t="inlineStr">
        <is>
          <t>Electrolyzer ($/kW)</t>
        </is>
      </c>
    </row>
    <row r="5">
      <c r="A5" s="55" t="inlineStr">
        <is>
          <t>Product Demand</t>
        </is>
      </c>
      <c r="B5" s="54" t="inlineStr">
        <is>
          <t>MTPD</t>
        </is>
      </c>
      <c r="C5" s="53" t="n">
        <v>100</v>
      </c>
      <c r="E5" s="22" t="inlineStr">
        <is>
          <t>1. Costing Parameters</t>
        </is>
      </c>
      <c r="F5" s="21" t="n"/>
      <c r="G5" s="27" t="n"/>
      <c r="I5" s="47" t="n">
        <v>2025</v>
      </c>
      <c r="J5" s="46">
        <f>VLOOKUP('Input Data'!G15,[1]Extras!K6:AF8,2,FALSE)</f>
        <v/>
      </c>
      <c r="K5" s="46">
        <f>VLOOKUP('Input Data'!G15,[1]Extras!K6:AF8,9,FALSE)</f>
        <v/>
      </c>
      <c r="L5" s="45">
        <f>VLOOKUP('Input Data'!G15,[1]Extras!K6:AF8,16,FALSE)</f>
        <v/>
      </c>
    </row>
    <row r="6">
      <c r="A6" s="52" t="n"/>
      <c r="B6" s="51" t="inlineStr">
        <is>
          <t>kg/hr</t>
        </is>
      </c>
      <c r="C6" s="19">
        <f>(C5*1000)/18</f>
        <v/>
      </c>
      <c r="E6" s="11" t="inlineStr">
        <is>
          <t>Annual Operating Hours</t>
        </is>
      </c>
      <c r="F6" s="5" t="inlineStr">
        <is>
          <t>hr</t>
        </is>
      </c>
      <c r="G6" s="50" t="n">
        <v>6570</v>
      </c>
      <c r="I6" s="47" t="n">
        <v>2027</v>
      </c>
      <c r="J6" s="46">
        <f>VLOOKUP('Input Data'!G15,[1]Extras!K6:AF8,3,FALSE)</f>
        <v/>
      </c>
      <c r="K6" s="46">
        <f>VLOOKUP('Input Data'!G15,[1]Extras!K6:AF8,10,FALSE)</f>
        <v/>
      </c>
      <c r="L6" s="45">
        <f>VLOOKUP('Input Data'!G15,[1]Extras!K6:AF8,17,FALSE)</f>
        <v/>
      </c>
    </row>
    <row r="7">
      <c r="A7" s="26" t="n"/>
      <c r="B7" s="49" t="n"/>
      <c r="C7" s="20" t="n"/>
      <c r="E7" s="11" t="inlineStr">
        <is>
          <t>Tax Rate</t>
        </is>
      </c>
      <c r="F7" s="5" t="n"/>
      <c r="G7" s="48" t="n">
        <v>0.15</v>
      </c>
      <c r="I7" s="47" t="n">
        <v>2030</v>
      </c>
      <c r="J7" s="46">
        <f>VLOOKUP('Input Data'!G15,[1]Extras!K6:AF8,4,FALSE)</f>
        <v/>
      </c>
      <c r="K7" s="46">
        <f>VLOOKUP('Input Data'!G15,[1]Extras!K6:AF8,11,FALSE)</f>
        <v/>
      </c>
      <c r="L7" s="45">
        <f>VLOOKUP('Input Data'!G15,[1]Extras!K6:AF8,18,FALSE)</f>
        <v/>
      </c>
    </row>
    <row r="8">
      <c r="A8" s="22" t="inlineStr">
        <is>
          <t>1. Electrolyzer</t>
        </is>
      </c>
      <c r="B8" s="21" t="n"/>
      <c r="C8" s="20" t="n"/>
      <c r="E8" s="11" t="inlineStr">
        <is>
          <t>Discount Rate</t>
        </is>
      </c>
      <c r="F8" s="5" t="n"/>
      <c r="G8" s="48" t="n">
        <v>0.08</v>
      </c>
      <c r="I8" s="47" t="n">
        <v>2035</v>
      </c>
      <c r="J8" s="46">
        <f>VLOOKUP('Input Data'!G15,[1]Extras!K6:AF8,5,FALSE)</f>
        <v/>
      </c>
      <c r="K8" s="46">
        <f>VLOOKUP('Input Data'!G15,[1]Extras!K6:AF8,12,FALSE)</f>
        <v/>
      </c>
      <c r="L8" s="45">
        <f>VLOOKUP('Input Data'!G15,[1]Extras!K6:AF8,19,FALSE)</f>
        <v/>
      </c>
    </row>
    <row r="9" ht="14.25" customHeight="1" s="73">
      <c r="A9" s="11" t="inlineStr">
        <is>
          <t>Efficiency of AWE Electrolyzer</t>
        </is>
      </c>
      <c r="B9" s="5" t="n"/>
      <c r="C9" s="48" t="n">
        <v>0.7</v>
      </c>
      <c r="E9" s="11" t="inlineStr">
        <is>
          <t>Profit Margin</t>
        </is>
      </c>
      <c r="F9" s="5" t="n"/>
      <c r="G9" s="48" t="n">
        <v>0.05</v>
      </c>
      <c r="I9" s="47" t="n">
        <v>2040</v>
      </c>
      <c r="J9" s="46">
        <f>VLOOKUP('Input Data'!G15,[1]Extras!K6:AF8,6,FALSE)</f>
        <v/>
      </c>
      <c r="K9" s="46">
        <f>VLOOKUP('Input Data'!G15,[1]Extras!K6:AF8,13,FALSE)</f>
        <v/>
      </c>
      <c r="L9" s="45">
        <f>VLOOKUP('Input Data'!G15,[1]Extras!K6:AF8,20,FALSE)</f>
        <v/>
      </c>
    </row>
    <row r="10">
      <c r="A10" s="11" t="inlineStr">
        <is>
          <t>LHV of Hydrogen</t>
        </is>
      </c>
      <c r="B10" s="5" t="inlineStr">
        <is>
          <t>MWh/kg</t>
        </is>
      </c>
      <c r="C10" s="19" t="n">
        <v>0.033</v>
      </c>
      <c r="E10" s="6" t="inlineStr">
        <is>
          <t>Depriciation Year</t>
        </is>
      </c>
      <c r="F10" s="5" t="inlineStr">
        <is>
          <t>yr</t>
        </is>
      </c>
      <c r="G10" s="41" t="n">
        <v>7</v>
      </c>
      <c r="I10" s="47" t="n">
        <v>2045</v>
      </c>
      <c r="J10" s="46">
        <f>VLOOKUP('Input Data'!G15,[1]Extras!K6:AF8,7,FALSE)</f>
        <v/>
      </c>
      <c r="K10" s="46">
        <f>VLOOKUP('Input Data'!G15,[1]Extras!K6:AF8,14,FALSE)</f>
        <v/>
      </c>
      <c r="L10" s="45">
        <f>VLOOKUP('Input Data'!G15,[1]Extras!K6:AF8,21,FALSE)</f>
        <v/>
      </c>
    </row>
    <row r="11" ht="15.75" customHeight="1" s="73" thickBot="1">
      <c r="A11" s="11" t="inlineStr">
        <is>
          <t>Cost of AWE Electrolyzer</t>
        </is>
      </c>
      <c r="B11" s="5" t="inlineStr">
        <is>
          <t>$/kW</t>
        </is>
      </c>
      <c r="C11" s="63">
        <f>VLOOKUP(G14,'Input Data'!I5:L11,4,FALSE)</f>
        <v/>
      </c>
      <c r="E11" s="6" t="inlineStr">
        <is>
          <t>Salvage Value</t>
        </is>
      </c>
      <c r="F11" s="5" t="inlineStr">
        <is>
          <t>$</t>
        </is>
      </c>
      <c r="G11" s="41" t="n">
        <v>0</v>
      </c>
      <c r="I11" s="44" t="n">
        <v>2050</v>
      </c>
      <c r="J11" s="43">
        <f>VLOOKUP('Input Data'!G15,[1]Extras!K6:AF8,8,FALSE)</f>
        <v/>
      </c>
      <c r="K11" s="43">
        <f>VLOOKUP('Input Data'!G15,[1]Extras!K6:AF8,15,FALSE)</f>
        <v/>
      </c>
      <c r="L11" s="42">
        <f>VLOOKUP('Input Data'!G15,[1]Extras!K6:AF8,22,FALSE)</f>
        <v/>
      </c>
    </row>
    <row r="12">
      <c r="A12" s="26" t="n"/>
      <c r="B12" s="21" t="n"/>
      <c r="C12" s="20" t="n"/>
      <c r="E12" s="6" t="inlineStr">
        <is>
          <t>Project Life</t>
        </is>
      </c>
      <c r="F12" s="5" t="inlineStr">
        <is>
          <t>yr</t>
        </is>
      </c>
      <c r="G12" s="41" t="n">
        <v>25</v>
      </c>
    </row>
    <row r="13" ht="15.75" customHeight="1" s="73" thickBot="1">
      <c r="A13" s="40" t="inlineStr">
        <is>
          <t>2. Solar System</t>
        </is>
      </c>
      <c r="B13" s="21" t="n"/>
      <c r="C13" s="20" t="n"/>
      <c r="E13" s="3" t="inlineStr">
        <is>
          <t>Plant Start-Up Year</t>
        </is>
      </c>
      <c r="F13" s="2" t="inlineStr">
        <is>
          <t>yr</t>
        </is>
      </c>
      <c r="G13" s="39" t="n">
        <v>2</v>
      </c>
    </row>
    <row r="14">
      <c r="A14" s="6" t="inlineStr">
        <is>
          <t>Efficiency of DC to AC</t>
        </is>
      </c>
      <c r="B14" s="5" t="n"/>
      <c r="C14" s="38" t="n">
        <v>0.8</v>
      </c>
      <c r="E14" s="37" t="inlineStr">
        <is>
          <t>Analysis Year</t>
        </is>
      </c>
      <c r="F14" s="36" t="n"/>
      <c r="G14" s="35" t="n">
        <v>2027</v>
      </c>
    </row>
    <row r="15" ht="15.75" customHeight="1" s="73" thickBot="1">
      <c r="A15" s="6" t="inlineStr">
        <is>
          <t>Size of Solar Panel</t>
        </is>
      </c>
      <c r="B15" s="5" t="inlineStr">
        <is>
          <t>W</t>
        </is>
      </c>
      <c r="C15" s="28" t="n">
        <v>555</v>
      </c>
      <c r="E15" s="34" t="inlineStr">
        <is>
          <t>Cost Input Approach</t>
        </is>
      </c>
      <c r="F15" s="33" t="n"/>
      <c r="G15" s="32" t="inlineStr">
        <is>
          <t>Lowest</t>
        </is>
      </c>
    </row>
    <row r="16">
      <c r="A16" s="6" t="inlineStr">
        <is>
          <t>Length of Solar Panel</t>
        </is>
      </c>
      <c r="B16" s="5" t="inlineStr">
        <is>
          <t>m</t>
        </is>
      </c>
      <c r="C16" s="28" t="n">
        <v>2.28</v>
      </c>
      <c r="E16" s="31" t="n"/>
      <c r="F16" s="30" t="n"/>
      <c r="G16" s="29" t="n"/>
    </row>
    <row r="17">
      <c r="A17" s="6" t="inlineStr">
        <is>
          <t>Width of Solar Panel</t>
        </is>
      </c>
      <c r="B17" s="5" t="inlineStr">
        <is>
          <t>m</t>
        </is>
      </c>
      <c r="C17" s="28" t="n">
        <v>1.13</v>
      </c>
      <c r="E17" s="22" t="inlineStr">
        <is>
          <t>2. Products Data</t>
        </is>
      </c>
      <c r="F17" s="21" t="n"/>
      <c r="G17" s="27" t="n"/>
    </row>
    <row r="18">
      <c r="A18" s="11" t="inlineStr">
        <is>
          <t>Cost of Solar PV</t>
        </is>
      </c>
      <c r="B18" s="5" t="inlineStr">
        <is>
          <t>$/kW</t>
        </is>
      </c>
      <c r="C18" s="63">
        <f>VLOOKUP(G14,'Input Data'!I5:L11,3,FALSE)</f>
        <v/>
      </c>
      <c r="E18" s="6" t="inlineStr">
        <is>
          <t>Selling Price of Green Hydrogen</t>
        </is>
      </c>
      <c r="F18" s="5" t="inlineStr">
        <is>
          <t>$/kg</t>
        </is>
      </c>
      <c r="G18" s="25" t="n">
        <v>13.67</v>
      </c>
    </row>
    <row r="19">
      <c r="A19" s="26" t="n"/>
      <c r="B19" s="21" t="n"/>
      <c r="C19" s="20" t="n"/>
      <c r="E19" s="6" t="inlineStr">
        <is>
          <t>Selling Price of Oxygen</t>
        </is>
      </c>
      <c r="F19" s="5" t="inlineStr">
        <is>
          <t>$/kg</t>
        </is>
      </c>
      <c r="G19" s="25" t="n">
        <v>0.15</v>
      </c>
    </row>
    <row r="20">
      <c r="A20" s="22" t="inlineStr">
        <is>
          <t>3. Wind Turbine</t>
        </is>
      </c>
      <c r="B20" s="21" t="n"/>
      <c r="C20" s="24" t="n"/>
      <c r="E20" s="23" t="n"/>
      <c r="F20" s="21" t="n"/>
      <c r="G20" s="20" t="n"/>
    </row>
    <row r="21" ht="18" customHeight="1" s="73">
      <c r="A21" s="11" t="inlineStr">
        <is>
          <t xml:space="preserve">Reated Power (Pr) </t>
        </is>
      </c>
      <c r="B21" s="5" t="inlineStr">
        <is>
          <t>MW</t>
        </is>
      </c>
      <c r="C21" s="18" t="n">
        <v>3.6</v>
      </c>
      <c r="E21" s="22" t="inlineStr">
        <is>
          <t>3. Raw Material / Utilities Costs and Flow</t>
        </is>
      </c>
      <c r="F21" s="21" t="n"/>
      <c r="G21" s="20" t="n"/>
    </row>
    <row r="22" ht="18" customHeight="1" s="73">
      <c r="A22" s="11" t="inlineStr">
        <is>
          <t xml:space="preserve">Cut-In Velocity (Vcut-in) </t>
        </is>
      </c>
      <c r="B22" s="5" t="inlineStr">
        <is>
          <t>m/s</t>
        </is>
      </c>
      <c r="C22" s="18" t="n">
        <v>4.5</v>
      </c>
      <c r="E22" s="15" t="inlineStr">
        <is>
          <t>Deionized Water</t>
        </is>
      </c>
      <c r="F22" s="21" t="n"/>
      <c r="G22" s="20" t="n"/>
    </row>
    <row r="23" ht="18" customHeight="1" s="73">
      <c r="A23" s="11" t="inlineStr">
        <is>
          <t xml:space="preserve">Cut-Out Velocity (Vcut-out) </t>
        </is>
      </c>
      <c r="B23" s="5" t="inlineStr">
        <is>
          <t>m/s</t>
        </is>
      </c>
      <c r="C23" s="18" t="n">
        <v>25</v>
      </c>
      <c r="E23" s="11" t="inlineStr">
        <is>
          <t>Flow Rate of Nitrogen</t>
        </is>
      </c>
      <c r="F23" s="5" t="inlineStr">
        <is>
          <t>kg/kg of H2</t>
        </is>
      </c>
      <c r="G23" s="19" t="n">
        <v>10</v>
      </c>
    </row>
    <row r="24" ht="18" customHeight="1" s="73">
      <c r="A24" s="11" t="inlineStr">
        <is>
          <t xml:space="preserve">Reated Velocity (Vr) </t>
        </is>
      </c>
      <c r="B24" s="5" t="inlineStr">
        <is>
          <t>m/s</t>
        </is>
      </c>
      <c r="C24" s="18" t="n">
        <v>15</v>
      </c>
      <c r="E24" s="6" t="inlineStr">
        <is>
          <t>Cost of Deionized Water</t>
        </is>
      </c>
      <c r="F24" s="5" t="inlineStr">
        <is>
          <t>$/kg</t>
        </is>
      </c>
      <c r="G24" s="17" t="n">
        <v>0.003</v>
      </c>
    </row>
    <row r="25" ht="15.75" customHeight="1" s="73" thickBot="1">
      <c r="A25" s="16" t="inlineStr">
        <is>
          <t>Cost of Wind Turbine</t>
        </is>
      </c>
      <c r="B25" s="2" t="inlineStr">
        <is>
          <t>$/kW</t>
        </is>
      </c>
      <c r="C25" s="64">
        <f>VLOOKUP(G14,'Input Data'!I5:L11,2,FALSE)</f>
        <v/>
      </c>
      <c r="E25" s="15" t="inlineStr">
        <is>
          <t>KOH</t>
        </is>
      </c>
      <c r="F25" s="14" t="n"/>
      <c r="G25" s="13" t="n"/>
    </row>
    <row r="26" ht="18" customHeight="1" s="73">
      <c r="E26" s="11" t="inlineStr">
        <is>
          <t>Flow Rate of KOH</t>
        </is>
      </c>
      <c r="F26" s="5" t="inlineStr">
        <is>
          <t>kg/kg of H2</t>
        </is>
      </c>
      <c r="G26" s="12" t="n">
        <v>0.000275</v>
      </c>
    </row>
    <row r="27">
      <c r="E27" s="6" t="inlineStr">
        <is>
          <t>Cost of KOH</t>
        </is>
      </c>
      <c r="F27" s="5" t="inlineStr">
        <is>
          <t>$/kg</t>
        </is>
      </c>
      <c r="G27" s="10" t="n">
        <v>2.74</v>
      </c>
    </row>
    <row r="28">
      <c r="E28" s="15" t="inlineStr">
        <is>
          <t>Steam</t>
        </is>
      </c>
      <c r="F28" s="14" t="n"/>
      <c r="G28" s="13" t="n"/>
    </row>
    <row r="29" ht="18" customHeight="1" s="73">
      <c r="E29" s="11" t="inlineStr">
        <is>
          <t>Flow Rate of Steam</t>
        </is>
      </c>
      <c r="F29" s="5" t="inlineStr">
        <is>
          <t>kg/kg of H2</t>
        </is>
      </c>
      <c r="G29" s="12" t="n">
        <v>0.0038</v>
      </c>
    </row>
    <row r="30">
      <c r="E30" s="6" t="inlineStr">
        <is>
          <t>Cost of Steam</t>
        </is>
      </c>
      <c r="F30" s="5" t="inlineStr">
        <is>
          <t>$/kg</t>
        </is>
      </c>
      <c r="G30" s="10" t="n">
        <v>0.3</v>
      </c>
    </row>
    <row r="31">
      <c r="E31" s="15" t="inlineStr">
        <is>
          <t>Nitrogen</t>
        </is>
      </c>
      <c r="F31" s="14" t="n"/>
      <c r="G31" s="13" t="n"/>
    </row>
    <row r="32" ht="18" customHeight="1" s="73">
      <c r="E32" s="11" t="inlineStr">
        <is>
          <t>Flow Rate of Nitrogen</t>
        </is>
      </c>
      <c r="F32" s="5" t="inlineStr">
        <is>
          <t>kg/kg of H2</t>
        </is>
      </c>
      <c r="G32" s="12" t="n">
        <v>7.114999999999999e-05</v>
      </c>
    </row>
    <row r="33">
      <c r="E33" s="6" t="inlineStr">
        <is>
          <t>Cost of Nitrogen</t>
        </is>
      </c>
      <c r="F33" s="5" t="inlineStr">
        <is>
          <t>$/kg</t>
        </is>
      </c>
      <c r="G33" s="10" t="n">
        <v>0.01</v>
      </c>
    </row>
    <row r="34">
      <c r="E34" s="11" t="inlineStr">
        <is>
          <t>Hydrogen Storage Cost (for 30%)</t>
        </is>
      </c>
      <c r="F34" s="8" t="n"/>
      <c r="G34" s="10" t="n">
        <v>0.5</v>
      </c>
    </row>
    <row r="35">
      <c r="E35" s="9" t="inlineStr">
        <is>
          <t>Transportation Cost of Water</t>
        </is>
      </c>
      <c r="F35" s="8" t="n"/>
      <c r="G35" s="7" t="n"/>
    </row>
    <row r="36">
      <c r="E36" s="6" t="inlineStr">
        <is>
          <t>LCOW transportation for 100 km</t>
        </is>
      </c>
      <c r="F36" s="5" t="inlineStr">
        <is>
          <t>$/kg</t>
        </is>
      </c>
      <c r="G36" s="4">
        <f>0.055/1000</f>
        <v/>
      </c>
    </row>
    <row r="37" ht="15.75" customHeight="1" s="73" thickBot="1">
      <c r="E37" s="3" t="inlineStr">
        <is>
          <t>Distance to Sohar Port</t>
        </is>
      </c>
      <c r="F37" s="2" t="inlineStr">
        <is>
          <t>km</t>
        </is>
      </c>
      <c r="G37" s="1" t="n">
        <v>279</v>
      </c>
    </row>
    <row r="48">
      <c r="J48">
        <f>VLOOKUP('Input Data'!G15,[1]Extras!K6:AF8,19,FALSE)</f>
        <v/>
      </c>
    </row>
    <row r="150">
      <c r="Z150">
        <f>VLOOKUP('Input Data'!G15,[1]Extras!K6:AF8,16,FALSE)</f>
        <v/>
      </c>
    </row>
  </sheetData>
  <mergeCells count="4">
    <mergeCell ref="I3:L3"/>
    <mergeCell ref="A3:C3"/>
    <mergeCell ref="A1:L1"/>
    <mergeCell ref="E3:G3"/>
  </mergeCells>
  <dataValidations count="1">
    <dataValidation sqref="G14" showDropDown="0" showInputMessage="1" showErrorMessage="1" allowBlank="0" type="list">
      <formula1>$I$5:$I$11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PMLS</dc:creator>
  <dcterms:created xmlns:dcterms="http://purl.org/dc/terms/" xmlns:xsi="http://www.w3.org/2001/XMLSchema-instance" xsi:type="dcterms:W3CDTF">2024-05-07T13:41:01Z</dcterms:created>
  <dcterms:modified xmlns:dcterms="http://purl.org/dc/terms/" xmlns:xsi="http://www.w3.org/2001/XMLSchema-instance" xsi:type="dcterms:W3CDTF">2024-05-11T18:48:07Z</dcterms:modified>
  <cp:lastModifiedBy>PMLS</cp:lastModifiedBy>
</cp:coreProperties>
</file>