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hidePivotFieldList="1"/>
  <mc:AlternateContent xmlns:mc="http://schemas.openxmlformats.org/markup-compatibility/2006">
    <mc:Choice Requires="x15">
      <x15ac:absPath xmlns:x15ac="http://schemas.microsoft.com/office/spreadsheetml/2010/11/ac" url="C:\Users\hayde\Downloads\"/>
    </mc:Choice>
  </mc:AlternateContent>
  <xr:revisionPtr revIDLastSave="0" documentId="13_ncr:1_{7A079534-A061-4FD3-83E3-8B6CFB7581FF}" xr6:coauthVersionLast="47" xr6:coauthVersionMax="47" xr10:uidLastSave="{00000000-0000-0000-0000-000000000000}"/>
  <bookViews>
    <workbookView xWindow="-110" yWindow="-110" windowWidth="19420" windowHeight="10300" xr2:uid="{00000000-000D-0000-FFFF-FFFF00000000}"/>
  </bookViews>
  <sheets>
    <sheet name="Region" sheetId="2" r:id="rId1"/>
    <sheet name="Employees" sheetId="5" r:id="rId2"/>
    <sheet name="pivottable" sheetId="9" r:id="rId3"/>
    <sheet name="Bonus" sheetId="4" r:id="rId4"/>
    <sheet name="Project Details" sheetId="6" r:id="rId5"/>
    <sheet name="Campus Information" sheetId="7" r:id="rId6"/>
  </sheets>
  <definedNames>
    <definedName name="East">Region!$B$6:$E$6</definedName>
    <definedName name="North">Region!$B$4:$E$4</definedName>
    <definedName name="Qtr_1">Region!$B$4:$B$7</definedName>
    <definedName name="Qtr_2">Region!$C$4:$C$7</definedName>
    <definedName name="Qtr_3">Region!$D$4:$D$7</definedName>
    <definedName name="Qtr_4">Region!$E$4:$E$7</definedName>
    <definedName name="Slicer_Rep">#N/A</definedName>
    <definedName name="South">Region!$B$5:$E$5</definedName>
    <definedName name="West">Region!$B$7:$E$7</definedName>
  </definedNames>
  <calcPr calcId="191029" iterate="1"/>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c r="K5" i="7"/>
  <c r="K6" i="7"/>
  <c r="K7" i="7"/>
  <c r="K8" i="7"/>
  <c r="K9" i="7"/>
  <c r="K2" i="7"/>
  <c r="J3" i="7"/>
  <c r="J4" i="7"/>
  <c r="J5" i="7"/>
  <c r="J6" i="7"/>
  <c r="J7" i="7"/>
  <c r="J8" i="7"/>
  <c r="J9" i="7"/>
  <c r="J2" i="7"/>
  <c r="I3" i="7"/>
  <c r="I4" i="7"/>
  <c r="I5" i="7"/>
  <c r="I6" i="7"/>
  <c r="I7" i="7"/>
  <c r="I8" i="7"/>
  <c r="I9" i="7"/>
  <c r="H3" i="7"/>
  <c r="H4" i="7"/>
  <c r="H5" i="7"/>
  <c r="H6" i="7"/>
  <c r="H7" i="7"/>
  <c r="H8" i="7"/>
  <c r="H9" i="7"/>
  <c r="G3" i="7"/>
  <c r="G4" i="7"/>
  <c r="G5" i="7"/>
  <c r="G6" i="7"/>
  <c r="G7" i="7"/>
  <c r="G8" i="7"/>
  <c r="G9" i="7"/>
  <c r="I2" i="7"/>
  <c r="H2" i="7"/>
  <c r="G2" i="7"/>
  <c r="B9" i="6"/>
  <c r="L9" i="4"/>
  <c r="L10" i="4"/>
  <c r="L11" i="4"/>
  <c r="L8" i="4"/>
  <c r="K9" i="4"/>
  <c r="K10" i="4"/>
  <c r="K11" i="4"/>
  <c r="K8" i="4"/>
  <c r="B3" i="5"/>
  <c r="C22" i="5" s="1"/>
  <c r="F7" i="2"/>
  <c r="F6" i="2"/>
  <c r="F5" i="2"/>
  <c r="F4" i="2"/>
  <c r="C10" i="5" l="1"/>
  <c r="C31" i="5"/>
  <c r="C21" i="5"/>
  <c r="C38" i="5"/>
  <c r="C27" i="5"/>
  <c r="C17" i="5"/>
  <c r="C37" i="5"/>
  <c r="C26" i="5"/>
  <c r="C15" i="5"/>
  <c r="C33" i="5"/>
  <c r="C35" i="5"/>
  <c r="C30" i="5"/>
  <c r="C25" i="5"/>
  <c r="C19" i="5"/>
  <c r="C14" i="5"/>
  <c r="C39" i="5"/>
  <c r="C34" i="5"/>
  <c r="C29" i="5"/>
  <c r="C23" i="5"/>
  <c r="C18" i="5"/>
  <c r="C13" i="5"/>
  <c r="C11" i="5"/>
  <c r="C36" i="5"/>
  <c r="C32" i="5"/>
  <c r="C28" i="5"/>
  <c r="C24" i="5"/>
  <c r="C20" i="5"/>
  <c r="C16" i="5"/>
  <c r="C12" i="5"/>
  <c r="G11" i="4"/>
  <c r="J11" i="4" s="1"/>
  <c r="N11" i="4" s="1"/>
  <c r="G10" i="4"/>
  <c r="J10" i="4" s="1"/>
  <c r="N10" i="4" s="1"/>
  <c r="G9" i="4"/>
  <c r="J9" i="4" s="1"/>
  <c r="N9" i="4" s="1"/>
  <c r="G8" i="4"/>
  <c r="J8" i="4" s="1"/>
  <c r="N8" i="4" s="1"/>
  <c r="B7" i="5" l="1"/>
  <c r="B5" i="5"/>
  <c r="I8" i="4"/>
  <c r="M8" i="4" s="1"/>
  <c r="I9" i="4"/>
  <c r="M9" i="4" s="1"/>
  <c r="I10" i="4"/>
  <c r="M10" i="4" s="1"/>
  <c r="I11" i="4"/>
  <c r="M11" i="4" s="1"/>
</calcChain>
</file>

<file path=xl/sharedStrings.xml><?xml version="1.0" encoding="utf-8"?>
<sst xmlns="http://schemas.openxmlformats.org/spreadsheetml/2006/main" count="136" uniqueCount="125">
  <si>
    <t>Develetech Quarterly Sales</t>
  </si>
  <si>
    <t>Region</t>
  </si>
  <si>
    <t>Quarter 1</t>
  </si>
  <si>
    <t>Quarter 2</t>
  </si>
  <si>
    <t>Quarter 3</t>
  </si>
  <si>
    <t>Quarter 4</t>
  </si>
  <si>
    <t>Total</t>
  </si>
  <si>
    <t>North</t>
  </si>
  <si>
    <t>South</t>
  </si>
  <si>
    <t>East</t>
  </si>
  <si>
    <t>West</t>
  </si>
  <si>
    <t>Rep</t>
  </si>
  <si>
    <t>Mullins</t>
  </si>
  <si>
    <t>Little</t>
  </si>
  <si>
    <t>Brooks</t>
  </si>
  <si>
    <t>Berry</t>
  </si>
  <si>
    <t>Develetech Sales</t>
  </si>
  <si>
    <t>Commission Rate</t>
  </si>
  <si>
    <t>Bonus Rate</t>
  </si>
  <si>
    <t>Category Goal</t>
  </si>
  <si>
    <t>Cameras</t>
  </si>
  <si>
    <t>Laptops</t>
  </si>
  <si>
    <t>Printers</t>
  </si>
  <si>
    <t>Desktops</t>
  </si>
  <si>
    <t>Total Sales</t>
  </si>
  <si>
    <t>Goal</t>
  </si>
  <si>
    <t>Commission</t>
  </si>
  <si>
    <t>Goal Bonus</t>
  </si>
  <si>
    <t>Category Bonus</t>
  </si>
  <si>
    <t>Bonus Count</t>
  </si>
  <si>
    <t>Total Compensation</t>
  </si>
  <si>
    <t>Honor</t>
  </si>
  <si>
    <t>Develetech Employee Tenure</t>
  </si>
  <si>
    <t>Current Date</t>
  </si>
  <si>
    <t>Employee</t>
  </si>
  <si>
    <t>Hire Date</t>
  </si>
  <si>
    <t>Years of Service</t>
  </si>
  <si>
    <t>Claire Watson</t>
  </si>
  <si>
    <t>Paulette Diaz</t>
  </si>
  <si>
    <t>Gwen Patrick</t>
  </si>
  <si>
    <t>Cecelia Nash</t>
  </si>
  <si>
    <t>Terrance Reyes</t>
  </si>
  <si>
    <t>Kay Tate</t>
  </si>
  <si>
    <t>Jenny Washington</t>
  </si>
  <si>
    <t>Randal Chandler</t>
  </si>
  <si>
    <t>Mercedes Hale</t>
  </si>
  <si>
    <t>Christina Day</t>
  </si>
  <si>
    <t>Ernestine French</t>
  </si>
  <si>
    <t>Becky Woods</t>
  </si>
  <si>
    <t>Noah Green</t>
  </si>
  <si>
    <t>Suzanne Maxwell</t>
  </si>
  <si>
    <t>Roman Carr</t>
  </si>
  <si>
    <t>Ignacio Hunter</t>
  </si>
  <si>
    <t>Glenn Meyer</t>
  </si>
  <si>
    <t>Monique Cohen</t>
  </si>
  <si>
    <t>Rosie Newton</t>
  </si>
  <si>
    <t>Muriel Thomas</t>
  </si>
  <si>
    <t>Bernice Gray</t>
  </si>
  <si>
    <t>Maurice Morrison</t>
  </si>
  <si>
    <t>Winston Vargas</t>
  </si>
  <si>
    <t>Ted Riley</t>
  </si>
  <si>
    <t>Agnes Fernandez</t>
  </si>
  <si>
    <t>Cary Nichols</t>
  </si>
  <si>
    <t>Sonja Adkins</t>
  </si>
  <si>
    <t>Cora Neal</t>
  </si>
  <si>
    <t>Jermaine Blake</t>
  </si>
  <si>
    <t>Adrian Barnes</t>
  </si>
  <si>
    <t>Project Information</t>
  </si>
  <si>
    <t xml:space="preserve">Description </t>
  </si>
  <si>
    <t>Date</t>
  </si>
  <si>
    <t>Start date of project</t>
  </si>
  <si>
    <t>End date of project</t>
  </si>
  <si>
    <t>Total Work Days</t>
  </si>
  <si>
    <t>First Name</t>
  </si>
  <si>
    <t>Last Name</t>
  </si>
  <si>
    <t>Campus/Building/Floor</t>
  </si>
  <si>
    <t>Campus</t>
  </si>
  <si>
    <t>Building</t>
  </si>
  <si>
    <t>Floor</t>
  </si>
  <si>
    <t>Full Name</t>
  </si>
  <si>
    <t>Minnie</t>
  </si>
  <si>
    <t>Pope</t>
  </si>
  <si>
    <t>C1BAFL01</t>
  </si>
  <si>
    <t>Terry</t>
  </si>
  <si>
    <t>Hart</t>
  </si>
  <si>
    <t>C1BBFL02</t>
  </si>
  <si>
    <t>Dianna</t>
  </si>
  <si>
    <t>Watts</t>
  </si>
  <si>
    <t>C1BAFL02</t>
  </si>
  <si>
    <t>Martha</t>
  </si>
  <si>
    <t>Fernandez</t>
  </si>
  <si>
    <t>C1BBFL03</t>
  </si>
  <si>
    <t>Alyssa</t>
  </si>
  <si>
    <t>Underwood</t>
  </si>
  <si>
    <t>C1BAFL03</t>
  </si>
  <si>
    <t>Dexter</t>
  </si>
  <si>
    <t>Cox</t>
  </si>
  <si>
    <t>C1BCFL01</t>
  </si>
  <si>
    <t>Julius</t>
  </si>
  <si>
    <t>Ferguson</t>
  </si>
  <si>
    <t>C1BCFL02</t>
  </si>
  <si>
    <t>Hannah</t>
  </si>
  <si>
    <t>Duncan</t>
  </si>
  <si>
    <t>C1BCFL03</t>
  </si>
  <si>
    <t>Seasonal Shut Down Day</t>
  </si>
  <si>
    <t>Safety Training Criterion</t>
  </si>
  <si>
    <t>Need Safety Training</t>
  </si>
  <si>
    <t>20 Year Service Award</t>
  </si>
  <si>
    <t>Legal Name</t>
  </si>
  <si>
    <t>Salutation</t>
  </si>
  <si>
    <t>Middle Initial</t>
  </si>
  <si>
    <t>Suffix</t>
  </si>
  <si>
    <t>Dr.</t>
  </si>
  <si>
    <t>S.</t>
  </si>
  <si>
    <t>P.</t>
  </si>
  <si>
    <t>J.</t>
  </si>
  <si>
    <t>A.</t>
  </si>
  <si>
    <t>L.</t>
  </si>
  <si>
    <t>E.</t>
  </si>
  <si>
    <t>Jr.</t>
  </si>
  <si>
    <t>III</t>
  </si>
  <si>
    <t>Sum of Total Sales</t>
  </si>
  <si>
    <t>Sum of Goal</t>
  </si>
  <si>
    <t>Grand Total</t>
  </si>
  <si>
    <t>Sum of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</si>
</sst>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0.0"/>
  </numFmts>
  <fonts count="4" x14ac:knownFonts="1">
    <font>
      <sz val="11"/>
      <color theme="1"/>
      <name val="Calibri"/>
      <family val="2"/>
      <scheme val="minor"/>
    </font>
    <font>
      <b/>
      <sz val="11"/>
      <color rgb="FFFA7D00"/>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15">
    <xf numFmtId="0" fontId="0" fillId="0" borderId="0" xfId="0"/>
    <xf numFmtId="0" fontId="3" fillId="0" borderId="0" xfId="0" applyFont="1"/>
    <xf numFmtId="0" fontId="2" fillId="0" borderId="0" xfId="0" applyFont="1"/>
    <xf numFmtId="164" fontId="0" fillId="0" borderId="0" xfId="0" applyNumberFormat="1"/>
    <xf numFmtId="9" fontId="0" fillId="0" borderId="0" xfId="0" applyNumberFormat="1"/>
    <xf numFmtId="164" fontId="1" fillId="2" borderId="1" xfId="1" applyNumberFormat="1"/>
    <xf numFmtId="165" fontId="1" fillId="2" borderId="1" xfId="1" applyNumberFormat="1"/>
    <xf numFmtId="0" fontId="1" fillId="2" borderId="1" xfId="1" applyNumberFormat="1"/>
    <xf numFmtId="0" fontId="1" fillId="2" borderId="1" xfId="1"/>
    <xf numFmtId="14" fontId="0" fillId="0" borderId="0" xfId="0" applyNumberFormat="1"/>
    <xf numFmtId="166"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cellXfs>
  <cellStyles count="2">
    <cellStyle name="Calculation" xfId="1" builtinId="22"/>
    <cellStyle name="Normal" xfId="0" builtinId="0"/>
  </cellStyles>
  <dxfs count="26">
    <dxf>
      <font>
        <b/>
        <i val="0"/>
        <strike val="0"/>
        <condense val="0"/>
        <extend val="0"/>
        <outline val="0"/>
        <shadow val="0"/>
        <u val="none"/>
        <vertAlign val="baseline"/>
        <sz val="11"/>
        <color theme="1"/>
        <name val="Calibri"/>
        <family val="2"/>
        <scheme val="minor"/>
      </font>
    </dxf>
    <dxf>
      <numFmt numFmtId="19" formatCode="m/d/yyyy"/>
    </dxf>
    <dxf>
      <font>
        <b/>
        <i val="0"/>
        <strike val="0"/>
        <condense val="0"/>
        <extend val="0"/>
        <outline val="0"/>
        <shadow val="0"/>
        <u val="none"/>
        <vertAlign val="baseline"/>
        <sz val="11"/>
        <color theme="1"/>
        <name val="Calibri"/>
        <family val="2"/>
        <scheme val="minor"/>
      </font>
    </dxf>
    <dxf>
      <numFmt numFmtId="164" formatCode="&quot;$&quot;#,##0"/>
    </dxf>
    <dxf>
      <numFmt numFmtId="0" formatCode="General"/>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6" formatCode="0.0"/>
    </dxf>
    <dxf>
      <numFmt numFmtId="19" formatCode="m/d/yyyy"/>
    </dxf>
    <dxf>
      <font>
        <b/>
        <i val="0"/>
        <strike val="0"/>
        <condense val="0"/>
        <extend val="0"/>
        <outline val="0"/>
        <shadow val="0"/>
        <u val="none"/>
        <vertAlign val="baseline"/>
        <sz val="11"/>
        <color theme="1"/>
        <name val="Calibri"/>
        <family val="2"/>
        <scheme val="minor"/>
      </font>
    </dxf>
    <dxf>
      <numFmt numFmtId="164" formatCode="&quot;$&quot;#,##0"/>
    </dxf>
    <dxf>
      <numFmt numFmtId="164" formatCode="&quot;$&quot;#,##0"/>
    </dxf>
    <dxf>
      <numFmt numFmtId="164" formatCode="&quot;$&quot;#,##0"/>
    </dxf>
    <dxf>
      <numFmt numFmtId="164" formatCode="&quot;$&quot;#,##0"/>
    </dxf>
    <dxf>
      <numFmt numFmtId="164" formatCode="&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with Functions.xlsx]pivottable!PivotTable36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pivottable!$B$2</c:f>
              <c:strCache>
                <c:ptCount val="1"/>
                <c:pt idx="0">
                  <c:v>Sum of Total Sales</c:v>
                </c:pt>
              </c:strCache>
            </c:strRef>
          </c:tx>
          <c:spPr>
            <a:solidFill>
              <a:schemeClr val="accent1"/>
            </a:solidFill>
            <a:ln>
              <a:noFill/>
            </a:ln>
            <a:effectLst/>
            <a:sp3d/>
          </c:spPr>
          <c:invertIfNegative val="0"/>
          <c:cat>
            <c:strRef>
              <c:f>pivottable!$A$3:$A$7</c:f>
              <c:strCache>
                <c:ptCount val="4"/>
                <c:pt idx="0">
                  <c:v>Berry</c:v>
                </c:pt>
                <c:pt idx="1">
                  <c:v>Brooks</c:v>
                </c:pt>
                <c:pt idx="2">
                  <c:v>Little</c:v>
                </c:pt>
                <c:pt idx="3">
                  <c:v>Mullins</c:v>
                </c:pt>
              </c:strCache>
            </c:strRef>
          </c:cat>
          <c:val>
            <c:numRef>
              <c:f>pivottable!$B$3:$B$7</c:f>
              <c:numCache>
                <c:formatCode>General</c:formatCode>
                <c:ptCount val="4"/>
                <c:pt idx="0">
                  <c:v>271091</c:v>
                </c:pt>
                <c:pt idx="1">
                  <c:v>371193</c:v>
                </c:pt>
                <c:pt idx="2">
                  <c:v>281001</c:v>
                </c:pt>
                <c:pt idx="3">
                  <c:v>368575</c:v>
                </c:pt>
              </c:numCache>
            </c:numRef>
          </c:val>
          <c:extLst>
            <c:ext xmlns:c16="http://schemas.microsoft.com/office/drawing/2014/chart" uri="{C3380CC4-5D6E-409C-BE32-E72D297353CC}">
              <c16:uniqueId val="{00000000-85A6-4794-80D2-8F9135426E75}"/>
            </c:ext>
          </c:extLst>
        </c:ser>
        <c:ser>
          <c:idx val="1"/>
          <c:order val="1"/>
          <c:tx>
            <c:strRef>
              <c:f>pivottable!$C$2</c:f>
              <c:strCache>
                <c:ptCount val="1"/>
                <c:pt idx="0">
                  <c:v>Sum of Goal</c:v>
                </c:pt>
              </c:strCache>
            </c:strRef>
          </c:tx>
          <c:spPr>
            <a:solidFill>
              <a:schemeClr val="accent2"/>
            </a:solidFill>
            <a:ln>
              <a:noFill/>
            </a:ln>
            <a:effectLst/>
            <a:sp3d/>
          </c:spPr>
          <c:invertIfNegative val="0"/>
          <c:cat>
            <c:strRef>
              <c:f>pivottable!$A$3:$A$7</c:f>
              <c:strCache>
                <c:ptCount val="4"/>
                <c:pt idx="0">
                  <c:v>Berry</c:v>
                </c:pt>
                <c:pt idx="1">
                  <c:v>Brooks</c:v>
                </c:pt>
                <c:pt idx="2">
                  <c:v>Little</c:v>
                </c:pt>
                <c:pt idx="3">
                  <c:v>Mullins</c:v>
                </c:pt>
              </c:strCache>
            </c:strRef>
          </c:cat>
          <c:val>
            <c:numRef>
              <c:f>pivottable!$C$3:$C$7</c:f>
              <c:numCache>
                <c:formatCode>General</c:formatCode>
                <c:ptCount val="4"/>
                <c:pt idx="0">
                  <c:v>250000</c:v>
                </c:pt>
                <c:pt idx="1">
                  <c:v>400000</c:v>
                </c:pt>
                <c:pt idx="2">
                  <c:v>275000</c:v>
                </c:pt>
                <c:pt idx="3">
                  <c:v>325000</c:v>
                </c:pt>
              </c:numCache>
            </c:numRef>
          </c:val>
          <c:extLst>
            <c:ext xmlns:c16="http://schemas.microsoft.com/office/drawing/2014/chart" uri="{C3380CC4-5D6E-409C-BE32-E72D297353CC}">
              <c16:uniqueId val="{00000001-85A6-4794-80D2-8F9135426E75}"/>
            </c:ext>
          </c:extLst>
        </c:ser>
        <c:ser>
          <c:idx val="2"/>
          <c:order val="2"/>
          <c:tx>
            <c:strRef>
              <c:f>pivottable!$D$2</c:f>
              <c:strCache>
                <c:ptCount val="1"/>
                <c:pt idx="0">
                  <c:v>Sum of Commission</c:v>
                </c:pt>
              </c:strCache>
            </c:strRef>
          </c:tx>
          <c:spPr>
            <a:solidFill>
              <a:schemeClr val="accent3"/>
            </a:solidFill>
            <a:ln>
              <a:noFill/>
            </a:ln>
            <a:effectLst/>
            <a:sp3d/>
          </c:spPr>
          <c:invertIfNegative val="0"/>
          <c:cat>
            <c:strRef>
              <c:f>pivottable!$A$3:$A$7</c:f>
              <c:strCache>
                <c:ptCount val="4"/>
                <c:pt idx="0">
                  <c:v>Berry</c:v>
                </c:pt>
                <c:pt idx="1">
                  <c:v>Brooks</c:v>
                </c:pt>
                <c:pt idx="2">
                  <c:v>Little</c:v>
                </c:pt>
                <c:pt idx="3">
                  <c:v>Mullins</c:v>
                </c:pt>
              </c:strCache>
            </c:strRef>
          </c:cat>
          <c:val>
            <c:numRef>
              <c:f>pivottable!$D$3:$D$7</c:f>
              <c:numCache>
                <c:formatCode>General</c:formatCode>
                <c:ptCount val="4"/>
                <c:pt idx="0">
                  <c:v>10843.64</c:v>
                </c:pt>
                <c:pt idx="1">
                  <c:v>14847.720000000001</c:v>
                </c:pt>
                <c:pt idx="2">
                  <c:v>11240.04</c:v>
                </c:pt>
                <c:pt idx="3">
                  <c:v>14743</c:v>
                </c:pt>
              </c:numCache>
            </c:numRef>
          </c:val>
          <c:extLst>
            <c:ext xmlns:c16="http://schemas.microsoft.com/office/drawing/2014/chart" uri="{C3380CC4-5D6E-409C-BE32-E72D297353CC}">
              <c16:uniqueId val="{00000008-85A6-4794-80D2-8F9135426E75}"/>
            </c:ext>
          </c:extLst>
        </c:ser>
        <c:dLbls>
          <c:showLegendKey val="0"/>
          <c:showVal val="0"/>
          <c:showCatName val="0"/>
          <c:showSerName val="0"/>
          <c:showPercent val="0"/>
          <c:showBubbleSize val="0"/>
        </c:dLbls>
        <c:gapWidth val="219"/>
        <c:shape val="box"/>
        <c:axId val="2005092256"/>
        <c:axId val="2005092672"/>
        <c:axId val="0"/>
      </c:bar3DChart>
      <c:catAx>
        <c:axId val="200509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92672"/>
        <c:crosses val="autoZero"/>
        <c:auto val="1"/>
        <c:lblAlgn val="ctr"/>
        <c:lblOffset val="100"/>
        <c:noMultiLvlLbl val="0"/>
      </c:catAx>
      <c:valAx>
        <c:axId val="200509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92256"/>
        <c:crosses val="autoZero"/>
        <c:crossBetween val="between"/>
      </c:valAx>
      <c:spPr>
        <a:noFill/>
        <a:ln cap="sq">
          <a:solidFill>
            <a:schemeClr val="accent1"/>
          </a:solidFill>
          <a:beve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and Target</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trendline>
            <c:spPr>
              <a:ln w="19050" cap="rnd">
                <a:solidFill>
                  <a:schemeClr val="accent1"/>
                </a:solidFill>
                <a:prstDash val="sysDot"/>
              </a:ln>
              <a:effectLst/>
            </c:spPr>
            <c:trendlineType val="linear"/>
            <c:forward val="3"/>
            <c:dispRSqr val="0"/>
            <c:dispEq val="0"/>
          </c:trendline>
          <c:cat>
            <c:strRef>
              <c:f>Bonus!$B$8:$B$11</c:f>
              <c:strCache>
                <c:ptCount val="4"/>
                <c:pt idx="0">
                  <c:v>Mullins</c:v>
                </c:pt>
                <c:pt idx="1">
                  <c:v>Little</c:v>
                </c:pt>
                <c:pt idx="2">
                  <c:v>Brooks</c:v>
                </c:pt>
                <c:pt idx="3">
                  <c:v>Berry</c:v>
                </c:pt>
              </c:strCache>
            </c:strRef>
          </c:cat>
          <c:val>
            <c:numRef>
              <c:f>Bonus!$G$8:$G$11</c:f>
              <c:numCache>
                <c:formatCode>"$"#,##0</c:formatCode>
                <c:ptCount val="4"/>
                <c:pt idx="0">
                  <c:v>368575</c:v>
                </c:pt>
                <c:pt idx="1">
                  <c:v>281001</c:v>
                </c:pt>
                <c:pt idx="2">
                  <c:v>371193</c:v>
                </c:pt>
                <c:pt idx="3">
                  <c:v>271091</c:v>
                </c:pt>
              </c:numCache>
            </c:numRef>
          </c:val>
          <c:extLst>
            <c:ext xmlns:c16="http://schemas.microsoft.com/office/drawing/2014/chart" uri="{C3380CC4-5D6E-409C-BE32-E72D297353CC}">
              <c16:uniqueId val="{00000000-254F-4378-A3EB-FD4DC9590D93}"/>
            </c:ext>
          </c:extLst>
        </c:ser>
        <c:dLbls>
          <c:showLegendKey val="0"/>
          <c:showVal val="0"/>
          <c:showCatName val="0"/>
          <c:showSerName val="0"/>
          <c:showPercent val="0"/>
          <c:showBubbleSize val="0"/>
        </c:dLbls>
        <c:gapWidth val="219"/>
        <c:axId val="862290272"/>
        <c:axId val="862291936"/>
      </c:barChart>
      <c:lineChart>
        <c:grouping val="standard"/>
        <c:varyColors val="0"/>
        <c:ser>
          <c:idx val="1"/>
          <c:order val="1"/>
          <c:spPr>
            <a:ln w="28575" cap="rnd">
              <a:solidFill>
                <a:schemeClr val="accent2"/>
              </a:solidFill>
              <a:round/>
            </a:ln>
            <a:effectLst/>
          </c:spPr>
          <c:marker>
            <c:symbol val="none"/>
          </c:marker>
          <c:cat>
            <c:strRef>
              <c:f>Bonus!$B$8:$B$11</c:f>
              <c:strCache>
                <c:ptCount val="4"/>
                <c:pt idx="0">
                  <c:v>Mullins</c:v>
                </c:pt>
                <c:pt idx="1">
                  <c:v>Little</c:v>
                </c:pt>
                <c:pt idx="2">
                  <c:v>Brooks</c:v>
                </c:pt>
                <c:pt idx="3">
                  <c:v>Berry</c:v>
                </c:pt>
              </c:strCache>
            </c:strRef>
          </c:cat>
          <c:val>
            <c:numRef>
              <c:f>Bonus!$H$8:$H$11</c:f>
              <c:numCache>
                <c:formatCode>"$"#,##0</c:formatCode>
                <c:ptCount val="4"/>
                <c:pt idx="0">
                  <c:v>325000</c:v>
                </c:pt>
                <c:pt idx="1">
                  <c:v>275000</c:v>
                </c:pt>
                <c:pt idx="2">
                  <c:v>400000</c:v>
                </c:pt>
                <c:pt idx="3">
                  <c:v>250000</c:v>
                </c:pt>
              </c:numCache>
            </c:numRef>
          </c:val>
          <c:smooth val="0"/>
          <c:extLst>
            <c:ext xmlns:c16="http://schemas.microsoft.com/office/drawing/2014/chart" uri="{C3380CC4-5D6E-409C-BE32-E72D297353CC}">
              <c16:uniqueId val="{00000001-254F-4378-A3EB-FD4DC9590D93}"/>
            </c:ext>
          </c:extLst>
        </c:ser>
        <c:dLbls>
          <c:showLegendKey val="0"/>
          <c:showVal val="0"/>
          <c:showCatName val="0"/>
          <c:showSerName val="0"/>
          <c:showPercent val="0"/>
          <c:showBubbleSize val="0"/>
        </c:dLbls>
        <c:marker val="1"/>
        <c:smooth val="0"/>
        <c:axId val="850536048"/>
        <c:axId val="850536880"/>
      </c:lineChart>
      <c:catAx>
        <c:axId val="862290272"/>
        <c:scaling>
          <c:orientation val="minMax"/>
        </c:scaling>
        <c:delete val="1"/>
        <c:axPos val="b"/>
        <c:numFmt formatCode="General" sourceLinked="1"/>
        <c:majorTickMark val="out"/>
        <c:minorTickMark val="none"/>
        <c:tickLblPos val="nextTo"/>
        <c:crossAx val="862291936"/>
        <c:crosses val="autoZero"/>
        <c:auto val="1"/>
        <c:lblAlgn val="ctr"/>
        <c:lblOffset val="100"/>
        <c:noMultiLvlLbl val="0"/>
      </c:catAx>
      <c:valAx>
        <c:axId val="86229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90272"/>
        <c:crosses val="autoZero"/>
        <c:crossBetween val="between"/>
      </c:valAx>
      <c:valAx>
        <c:axId val="85053688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36048"/>
        <c:crosses val="max"/>
        <c:crossBetween val="between"/>
      </c:valAx>
      <c:catAx>
        <c:axId val="850536048"/>
        <c:scaling>
          <c:orientation val="minMax"/>
        </c:scaling>
        <c:delete val="1"/>
        <c:axPos val="b"/>
        <c:numFmt formatCode="General" sourceLinked="1"/>
        <c:majorTickMark val="out"/>
        <c:minorTickMark val="none"/>
        <c:tickLblPos val="nextTo"/>
        <c:crossAx val="8505368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133350</xdr:colOff>
      <xdr:row>7</xdr:row>
      <xdr:rowOff>50800</xdr:rowOff>
    </xdr:from>
    <xdr:to>
      <xdr:col>4</xdr:col>
      <xdr:colOff>101600</xdr:colOff>
      <xdr:row>28</xdr:row>
      <xdr:rowOff>63500</xdr:rowOff>
    </xdr:to>
    <xdr:graphicFrame macro="">
      <xdr:nvGraphicFramePr>
        <xdr:cNvPr id="2" name="Chart 1">
          <a:extLst>
            <a:ext uri="{FF2B5EF4-FFF2-40B4-BE49-F238E27FC236}">
              <a16:creationId xmlns:a16="http://schemas.microsoft.com/office/drawing/2014/main" id="{860D3B1C-F08A-FBA4-29BB-37CA37E6C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222250</xdr:colOff>
      <xdr:row>1</xdr:row>
      <xdr:rowOff>127000</xdr:rowOff>
    </xdr:from>
    <xdr:to>
      <xdr:col>6</xdr:col>
      <xdr:colOff>527050</xdr:colOff>
      <xdr:row>15</xdr:row>
      <xdr:rowOff>73025</xdr:rowOff>
    </xdr:to>
    <mc:AlternateContent xmlns:mc="http://schemas.openxmlformats.org/markup-compatibility/2006" xmlns:a14="http://schemas.microsoft.com/office/drawing/2010/main">
      <mc:Choice Requires="a14">
        <xdr:graphicFrame macro="">
          <xdr:nvGraphicFramePr>
            <xdr:cNvPr id="4" name="Rep">
              <a:extLst>
                <a:ext uri="{FF2B5EF4-FFF2-40B4-BE49-F238E27FC236}">
                  <a16:creationId xmlns:a16="http://schemas.microsoft.com/office/drawing/2014/main" id="{16085926-49CB-DED7-080C-F8BE0F58F8FD}"/>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4191000" y="31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307975</xdr:colOff>
      <xdr:row>11</xdr:row>
      <xdr:rowOff>0</xdr:rowOff>
    </xdr:from>
    <xdr:to>
      <xdr:col>6</xdr:col>
      <xdr:colOff>714375</xdr:colOff>
      <xdr:row>25</xdr:row>
      <xdr:rowOff>165100</xdr:rowOff>
    </xdr:to>
    <xdr:graphicFrame macro="">
      <xdr:nvGraphicFramePr>
        <xdr:cNvPr id="7" name="Chart 6">
          <a:extLst>
            <a:ext uri="{FF2B5EF4-FFF2-40B4-BE49-F238E27FC236}">
              <a16:creationId xmlns:a16="http://schemas.microsoft.com/office/drawing/2014/main" id="{41ADE94A-2ACC-AC53-DB89-1AEFAC300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a Alshaeer" refreshedDate="44762.824286574076" createdVersion="8" refreshedVersion="8" minRefreshableVersion="3" recordCount="4" xr:uid="{C9F84389-1FFF-4751-A2DD-3127FDFD8859}">
  <cacheSource type="worksheet">
    <worksheetSource name="Table5"/>
  </cacheSource>
  <cacheFields count="13">
    <cacheField name="Rep" numFmtId="0">
      <sharedItems count="4">
        <s v="Mullins"/>
        <s v="Little"/>
        <s v="Brooks"/>
        <s v="Berry"/>
      </sharedItems>
    </cacheField>
    <cacheField name="Cameras" numFmtId="164">
      <sharedItems containsSemiMixedTypes="0" containsString="0" containsNumber="1" containsInteger="1" minValue="81590" maxValue="147238" count="4">
        <n v="118340"/>
        <n v="82580"/>
        <n v="147238"/>
        <n v="81590"/>
      </sharedItems>
    </cacheField>
    <cacheField name="Laptops" numFmtId="164">
      <sharedItems containsSemiMixedTypes="0" containsString="0" containsNumber="1" containsInteger="1" minValue="27118" maxValue="123394" count="4">
        <n v="114071"/>
        <n v="123394"/>
        <n v="27118"/>
        <n v="66976"/>
      </sharedItems>
    </cacheField>
    <cacheField name="Printers" numFmtId="164">
      <sharedItems containsSemiMixedTypes="0" containsString="0" containsNumber="1" containsInteger="1" minValue="44257" maxValue="87111" count="4">
        <n v="76387"/>
        <n v="44257"/>
        <n v="87111"/>
        <n v="49798"/>
      </sharedItems>
    </cacheField>
    <cacheField name="Desktops" numFmtId="164">
      <sharedItems containsSemiMixedTypes="0" containsString="0" containsNumber="1" containsInteger="1" minValue="30770" maxValue="109726" count="4">
        <n v="59777"/>
        <n v="30770"/>
        <n v="109726"/>
        <n v="72727"/>
      </sharedItems>
    </cacheField>
    <cacheField name="Total Sales" numFmtId="164">
      <sharedItems containsSemiMixedTypes="0" containsString="0" containsNumber="1" containsInteger="1" minValue="271091" maxValue="371193" count="4">
        <n v="368575"/>
        <n v="281001"/>
        <n v="371193"/>
        <n v="271091"/>
      </sharedItems>
    </cacheField>
    <cacheField name="Goal" numFmtId="164">
      <sharedItems containsSemiMixedTypes="0" containsString="0" containsNumber="1" containsInteger="1" minValue="250000" maxValue="400000"/>
    </cacheField>
    <cacheField name="Commission" numFmtId="164">
      <sharedItems containsSemiMixedTypes="0" containsString="0" containsNumber="1" minValue="10843.64" maxValue="14847.720000000001" count="4">
        <n v="14743"/>
        <n v="11240.04"/>
        <n v="14847.720000000001"/>
        <n v="10843.64"/>
      </sharedItems>
    </cacheField>
    <cacheField name="Goal Bonus" numFmtId="164">
      <sharedItems containsSemiMixedTypes="0" containsString="0" containsNumber="1" minValue="0" maxValue="3685.75"/>
    </cacheField>
    <cacheField name="Category Bonus" numFmtId="165">
      <sharedItems containsSemiMixedTypes="0" containsString="0" containsNumber="1" minValue="0" maxValue="3440.75"/>
    </cacheField>
    <cacheField name="Bonus Count" numFmtId="0">
      <sharedItems containsSemiMixedTypes="0" containsString="0" containsNumber="1" containsInteger="1" minValue="0" maxValue="3"/>
    </cacheField>
    <cacheField name="Total Compensation" numFmtId="164">
      <sharedItems containsSemiMixedTypes="0" containsString="0" containsNumber="1" minValue="284645.55" maxValue="389481.47"/>
    </cacheField>
    <cacheField name="Honor" numFmtId="0">
      <sharedItems count="2">
        <s v="Wiscanson Vacation"/>
        <s v=""/>
      </sharedItems>
    </cacheField>
  </cacheFields>
  <extLst>
    <ext xmlns:x14="http://schemas.microsoft.com/office/spreadsheetml/2009/9/main" uri="{725AE2AE-9491-48be-B2B4-4EB974FC3084}">
      <x14:pivotCacheDefinition pivotCacheId="1302464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x v="0"/>
    <x v="0"/>
    <n v="325000"/>
    <x v="0"/>
    <n v="3685.75"/>
    <n v="2324.11"/>
    <n v="2"/>
    <n v="389327.86"/>
    <x v="0"/>
  </r>
  <r>
    <x v="1"/>
    <x v="1"/>
    <x v="1"/>
    <x v="1"/>
    <x v="1"/>
    <x v="1"/>
    <n v="275000"/>
    <x v="1"/>
    <n v="2810.01"/>
    <n v="1233.94"/>
    <n v="1"/>
    <n v="296284.99"/>
    <x v="1"/>
  </r>
  <r>
    <x v="2"/>
    <x v="2"/>
    <x v="2"/>
    <x v="2"/>
    <x v="2"/>
    <x v="2"/>
    <n v="400000"/>
    <x v="2"/>
    <n v="0"/>
    <n v="3440.75"/>
    <n v="3"/>
    <n v="389481.47"/>
    <x v="1"/>
  </r>
  <r>
    <x v="3"/>
    <x v="3"/>
    <x v="3"/>
    <x v="3"/>
    <x v="3"/>
    <x v="3"/>
    <n v="250000"/>
    <x v="3"/>
    <n v="2710.91"/>
    <n v="0"/>
    <n v="0"/>
    <n v="284645.5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0C47D-B84C-4BA1-BA17-B3B2A4D5189E}"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ep">
  <location ref="A2:D7" firstHeaderRow="0" firstDataRow="1" firstDataCol="1"/>
  <pivotFields count="13">
    <pivotField axis="axisRow" showAll="0">
      <items count="5">
        <item x="3"/>
        <item x="2"/>
        <item x="1"/>
        <item x="0"/>
        <item t="default"/>
      </items>
    </pivotField>
    <pivotField numFmtId="164" showAll="0">
      <items count="5">
        <item x="3"/>
        <item x="1"/>
        <item x="0"/>
        <item x="2"/>
        <item t="default"/>
      </items>
    </pivotField>
    <pivotField numFmtId="164" showAll="0">
      <items count="5">
        <item x="2"/>
        <item x="3"/>
        <item x="0"/>
        <item x="1"/>
        <item t="default"/>
      </items>
    </pivotField>
    <pivotField numFmtId="164" showAll="0">
      <items count="5">
        <item x="1"/>
        <item x="3"/>
        <item x="0"/>
        <item x="2"/>
        <item t="default"/>
      </items>
    </pivotField>
    <pivotField numFmtId="164" showAll="0">
      <items count="5">
        <item x="1"/>
        <item x="0"/>
        <item x="3"/>
        <item x="2"/>
        <item t="default"/>
      </items>
    </pivotField>
    <pivotField dataField="1" numFmtId="164" showAll="0">
      <items count="5">
        <item x="3"/>
        <item x="1"/>
        <item x="0"/>
        <item x="2"/>
        <item t="default"/>
      </items>
    </pivotField>
    <pivotField dataField="1" numFmtId="164" showAll="0"/>
    <pivotField dataField="1" numFmtId="164" showAll="0">
      <items count="5">
        <item x="3"/>
        <item x="1"/>
        <item x="0"/>
        <item x="2"/>
        <item t="default"/>
      </items>
    </pivotField>
    <pivotField numFmtId="164" showAll="0"/>
    <pivotField numFmtId="165" showAll="0"/>
    <pivotField showAll="0"/>
    <pivotField numFmtId="164" showAll="0"/>
    <pivotField showAll="0">
      <items count="3">
        <item x="1"/>
        <item x="0"/>
        <item t="default"/>
      </items>
    </pivotField>
  </pivotFields>
  <rowFields count="1">
    <field x="0"/>
  </rowFields>
  <rowItems count="5">
    <i>
      <x/>
    </i>
    <i>
      <x v="1"/>
    </i>
    <i>
      <x v="2"/>
    </i>
    <i>
      <x v="3"/>
    </i>
    <i t="grand">
      <x/>
    </i>
  </rowItems>
  <colFields count="1">
    <field x="-2"/>
  </colFields>
  <colItems count="3">
    <i>
      <x/>
    </i>
    <i i="1">
      <x v="1"/>
    </i>
    <i i="2">
      <x v="2"/>
    </i>
  </colItems>
  <dataFields count="3">
    <dataField name="Sum of Total Sales" fld="5" baseField="0" baseItem="0"/>
    <dataField name="Sum of Goal" fld="6" baseField="0" baseItem="0"/>
    <dataField name="Sum of Commission" fld="7"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D9692A7A-CDDF-49FF-820D-076014A2DCDB}" sourceName="Rep">
  <pivotTables>
    <pivotTable tabId="9" name="PivotTable36"/>
  </pivotTables>
  <data>
    <tabular pivotCacheId="1302464510">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xr10:uid="{E2EE0EC8-EFD7-4E2D-9BAD-F900EDCAA3E2}" cache="Slicer_Rep" caption="Re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6C6419-48B4-4F0C-A481-51026CAF9F3E}" name="Table1" displayName="Table1" ref="A3:F7" totalsRowShown="0" headerRowDxfId="25">
  <autoFilter ref="A3:F7" xr:uid="{E76C6419-48B4-4F0C-A481-51026CAF9F3E}"/>
  <tableColumns count="6">
    <tableColumn id="1" xr3:uid="{5B807391-F163-4F7C-89A7-FE2844B4F451}" name="Region" dataDxfId="24"/>
    <tableColumn id="2" xr3:uid="{3231AAE5-0633-4756-99F2-BFBB02F38D86}" name="Quarter 1" dataDxfId="23"/>
    <tableColumn id="3" xr3:uid="{2778D7EC-0627-48AA-8326-D54308D7DF69}" name="Quarter 2" dataDxfId="22"/>
    <tableColumn id="4" xr3:uid="{996948ED-44CA-4120-BF91-3315A793284A}" name="Quarter 3" dataDxfId="21"/>
    <tableColumn id="5" xr3:uid="{8ABCE059-5523-48A9-ADF2-C4ADBDA5B81B}" name="Quarter 4" dataDxfId="20"/>
    <tableColumn id="6" xr3:uid="{8256D9C1-240D-411F-8FC0-9C005B2E212E}" name="Total" dataDxfId="1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90C1B4-1FB5-4F5A-893C-606C5AD5D42D}" name="Table2" displayName="Table2" ref="A9:C39" totalsRowShown="0" headerRowDxfId="18">
  <autoFilter ref="A9:C39" xr:uid="{B490C1B4-1FB5-4F5A-893C-606C5AD5D42D}"/>
  <tableColumns count="3">
    <tableColumn id="1" xr3:uid="{7610E836-C943-493A-A88D-76718126A2C7}" name="Employee"/>
    <tableColumn id="2" xr3:uid="{C6C6C44D-73D4-41B9-AA8C-C5C635C2991D}" name="Hire Date" dataDxfId="17"/>
    <tableColumn id="3" xr3:uid="{BEA9FE9B-8DD5-4EEC-8339-215B8C487988}" name="Years of Service" dataDxfId="16">
      <calculatedColumnFormula>($B$3-B10)/365</calculatedColumnFormula>
    </tableColumn>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F3AB0FF-B367-4CDC-9B12-F7FCD63DF1BE}" name="Table5" displayName="Table5" ref="B7:N11" totalsRowShown="0" headerRowDxfId="15" dataCellStyle="Calculation">
  <autoFilter ref="B7:N11" xr:uid="{AF3AB0FF-B367-4CDC-9B12-F7FCD63DF1BE}"/>
  <tableColumns count="13">
    <tableColumn id="1" xr3:uid="{AEBE1C11-872F-4A1E-8955-5118185EA314}" name="Rep" dataDxfId="14"/>
    <tableColumn id="2" xr3:uid="{6D9B079E-9A7E-4C94-B919-5410AA18B2EB}" name="Cameras" dataDxfId="13"/>
    <tableColumn id="3" xr3:uid="{7CFFA861-1C13-4ABB-ACC7-8774C95545C3}" name="Laptops" dataDxfId="12"/>
    <tableColumn id="4" xr3:uid="{D4560C4B-949E-44D1-ABE9-C7EE32A3AE35}" name="Printers" dataDxfId="11"/>
    <tableColumn id="5" xr3:uid="{6AFF0CBA-DB7F-48C0-8A05-48A65046C818}" name="Desktops" dataDxfId="10"/>
    <tableColumn id="6" xr3:uid="{BCD52786-C237-4AF2-9FC4-2FB9DC649749}" name="Total Sales" dataDxfId="9">
      <calculatedColumnFormula>SUM(C8:F8)</calculatedColumnFormula>
    </tableColumn>
    <tableColumn id="7" xr3:uid="{8366B8AD-D231-4812-861C-C094BCF11DF5}" name="Goal" dataDxfId="8"/>
    <tableColumn id="8" xr3:uid="{9291CFA6-D23C-43BA-868E-EB097F0A9C27}" name="Commission" dataDxfId="7">
      <calculatedColumnFormula>G8*$C$3</calculatedColumnFormula>
    </tableColumn>
    <tableColumn id="9" xr3:uid="{B3671E44-A133-47C4-A15B-08C7E940487E}" name="Goal Bonus" dataDxfId="6" dataCellStyle="Calculation">
      <calculatedColumnFormula>IF(G8&gt;H8,G8*$C$4,0)</calculatedColumnFormula>
    </tableColumn>
    <tableColumn id="10" xr3:uid="{A612B54E-83D3-486D-BE80-56A6323715CD}" name="Category Bonus" dataDxfId="5" dataCellStyle="Calculation">
      <calculatedColumnFormula>$C$4*SUMIF(C8:F8,"&gt;85,000")</calculatedColumnFormula>
    </tableColumn>
    <tableColumn id="11" xr3:uid="{02CD15D9-0EED-4B9A-B8BC-CA21EFBBF822}" name="Bonus Count" dataDxfId="4" dataCellStyle="Calculation">
      <calculatedColumnFormula>COUNTIF(C8:F8,"&gt;"&amp;$C$5)</calculatedColumnFormula>
    </tableColumn>
    <tableColumn id="12" xr3:uid="{08371C0D-831E-4398-864A-16EEACFE4387}" name="Total Compensation" dataDxfId="3">
      <calculatedColumnFormula>G8+I8+J8+K8</calculatedColumnFormula>
    </tableColumn>
    <tableColumn id="13" xr3:uid="{A376F049-B238-40A6-93EB-E0E4CB9D2E51}" name="Honor" dataCellStyle="Calculation">
      <calculatedColumnFormula>IF(AND(J8&gt;0,L8&gt;1),"Wiscanson Vacation","")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AAB41E-E05D-4C3C-A181-020B65C4D681}" name="Table3" displayName="Table3" ref="A3:B9" totalsRowShown="0" headerRowDxfId="2">
  <autoFilter ref="A3:B9" xr:uid="{82AAB41E-E05D-4C3C-A181-020B65C4D681}"/>
  <tableColumns count="2">
    <tableColumn id="1" xr3:uid="{12604211-83F6-46E7-9594-CFD1FF61A77A}" name="Description "/>
    <tableColumn id="2" xr3:uid="{58FFDDF7-6F5E-41EF-879A-1D79EB349D87}" name="Date" dataDxfId="1"/>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446B18-2C6A-434E-B1DA-EF3F265A0A93}" name="Table4" displayName="Table4" ref="A1:K9" totalsRowShown="0" headerRowDxfId="0">
  <autoFilter ref="A1:K9" xr:uid="{CC446B18-2C6A-434E-B1DA-EF3F265A0A93}"/>
  <tableColumns count="11">
    <tableColumn id="1" xr3:uid="{2E4C3230-644F-4069-9FA1-352699B6B98D}" name="Salutation"/>
    <tableColumn id="2" xr3:uid="{7F3C53E4-13A4-4735-AFE6-335837DB6491}" name="First Name"/>
    <tableColumn id="3" xr3:uid="{9F20FBF7-3AEF-4DDB-828D-66A79793137D}" name="Middle Initial"/>
    <tableColumn id="4" xr3:uid="{6F52FACD-B5D0-4007-B784-2DFEB13AA824}" name="Last Name"/>
    <tableColumn id="5" xr3:uid="{D90363CE-7FD1-45CF-ADB5-98C1EA5598F3}" name="Suffix"/>
    <tableColumn id="6" xr3:uid="{B2E9DEB2-DD24-4AC0-B567-4359A97F7005}" name="Campus/Building/Floor"/>
    <tableColumn id="7" xr3:uid="{D5E193EA-1968-4B07-9521-858EA9F4FF18}" name="Campus">
      <calculatedColumnFormula>LEFT(F2,2)</calculatedColumnFormula>
    </tableColumn>
    <tableColumn id="8" xr3:uid="{33F4DFF3-FDF3-42B0-AD05-5A2180B4EF8E}" name="Building">
      <calculatedColumnFormula>MID(F2,3,2)</calculatedColumnFormula>
    </tableColumn>
    <tableColumn id="9" xr3:uid="{CA6995A0-8E9E-401D-B004-C1ED40F174E3}" name="Floor">
      <calculatedColumnFormula>RIGHT(F2,4)</calculatedColumnFormula>
    </tableColumn>
    <tableColumn id="10" xr3:uid="{C855F325-51D8-4141-8568-BF11034AFA60}" name="Full Name">
      <calculatedColumnFormula>_xlfn.CONCAT(B2," ",D2)</calculatedColumnFormula>
    </tableColumn>
    <tableColumn id="11" xr3:uid="{44FB16D2-3A6A-459F-BEE0-2CFAE422E1CB}" name="Legal Name">
      <calculatedColumnFormula>_xlfn.TEXTJOIN(" ",TRUE,A2:E2)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tabSelected="1" workbookViewId="0">
      <selection activeCell="F8" sqref="F8"/>
    </sheetView>
  </sheetViews>
  <sheetFormatPr defaultRowHeight="14.5" x14ac:dyDescent="0.35"/>
  <cols>
    <col min="1" max="1" width="8.453125" customWidth="1"/>
    <col min="2" max="5" width="10.90625" customWidth="1"/>
    <col min="6" max="6" width="11.1796875" bestFit="1" customWidth="1"/>
  </cols>
  <sheetData>
    <row r="1" spans="1:6" ht="15.5" x14ac:dyDescent="0.35">
      <c r="A1" s="1" t="s">
        <v>0</v>
      </c>
    </row>
    <row r="3" spans="1:6" x14ac:dyDescent="0.35">
      <c r="A3" s="2" t="s">
        <v>1</v>
      </c>
      <c r="B3" s="2" t="s">
        <v>2</v>
      </c>
      <c r="C3" s="2" t="s">
        <v>3</v>
      </c>
      <c r="D3" s="2" t="s">
        <v>4</v>
      </c>
      <c r="E3" s="2" t="s">
        <v>5</v>
      </c>
      <c r="F3" s="2" t="s">
        <v>6</v>
      </c>
    </row>
    <row r="4" spans="1:6" x14ac:dyDescent="0.35">
      <c r="A4" s="2" t="s">
        <v>7</v>
      </c>
      <c r="B4" s="3">
        <v>4674000</v>
      </c>
      <c r="C4" s="3">
        <v>3840000</v>
      </c>
      <c r="D4" s="3">
        <v>4272000</v>
      </c>
      <c r="E4" s="3">
        <v>5224000</v>
      </c>
      <c r="F4" s="3">
        <f>SUM(North)</f>
        <v>18010000</v>
      </c>
    </row>
    <row r="5" spans="1:6" x14ac:dyDescent="0.35">
      <c r="A5" s="2" t="s">
        <v>8</v>
      </c>
      <c r="B5" s="3">
        <v>4623000</v>
      </c>
      <c r="C5" s="3">
        <v>4871000</v>
      </c>
      <c r="D5" s="3">
        <v>4490000</v>
      </c>
      <c r="E5" s="3">
        <v>5298000</v>
      </c>
      <c r="F5" s="3">
        <f>SUM(South)</f>
        <v>19282000</v>
      </c>
    </row>
    <row r="6" spans="1:6" x14ac:dyDescent="0.35">
      <c r="A6" s="2" t="s">
        <v>9</v>
      </c>
      <c r="B6" s="3">
        <v>4345000</v>
      </c>
      <c r="C6" s="3">
        <v>4807000</v>
      </c>
      <c r="D6" s="3">
        <v>4584000</v>
      </c>
      <c r="E6" s="3">
        <v>4606000</v>
      </c>
      <c r="F6" s="3">
        <f>SUM(East)</f>
        <v>18342000</v>
      </c>
    </row>
    <row r="7" spans="1:6" x14ac:dyDescent="0.35">
      <c r="A7" s="2" t="s">
        <v>10</v>
      </c>
      <c r="B7" s="3">
        <v>5185000</v>
      </c>
      <c r="C7" s="3">
        <v>4608000</v>
      </c>
      <c r="D7" s="3">
        <v>5789000</v>
      </c>
      <c r="E7" s="3">
        <v>3663000</v>
      </c>
      <c r="F7" s="3">
        <f>SUM(West)</f>
        <v>19245000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9"/>
  <sheetViews>
    <sheetView workbookViewId="0">
      <selection activeCell="G8" sqref="G8"/>
    </sheetView>
  </sheetViews>
  <sheetFormatPr defaultRowHeight="14.5" x14ac:dyDescent="0.35"/>
  <cols>
    <col min="1" max="1" width="22.54296875" customWidth="1"/>
    <col min="2" max="2" width="12" bestFit="1" customWidth="1"/>
    <col min="3" max="3" width="15.81640625" customWidth="1"/>
  </cols>
  <sheetData>
    <row r="1" spans="1:3" ht="15.5" x14ac:dyDescent="0.35">
      <c r="A1" s="1" t="s">
        <v>32</v>
      </c>
    </row>
    <row r="3" spans="1:3" x14ac:dyDescent="0.35">
      <c r="A3" s="2" t="s">
        <v>33</v>
      </c>
      <c r="B3" s="9">
        <f ca="1">TODAY()</f>
        <v>44762</v>
      </c>
    </row>
    <row r="5" spans="1:3" x14ac:dyDescent="0.35">
      <c r="A5" s="2" t="s">
        <v>107</v>
      </c>
      <c r="B5">
        <f ca="1">COUNTIF(C10:C39,"&gt;=20")</f>
        <v>14</v>
      </c>
    </row>
    <row r="6" spans="1:3" x14ac:dyDescent="0.35">
      <c r="A6" s="2" t="s">
        <v>105</v>
      </c>
      <c r="B6">
        <v>5</v>
      </c>
    </row>
    <row r="7" spans="1:3" x14ac:dyDescent="0.35">
      <c r="A7" s="2" t="s">
        <v>106</v>
      </c>
      <c r="B7">
        <f ca="1">COUNTIF(C10:C39,"&lt;5")</f>
        <v>0</v>
      </c>
    </row>
    <row r="8" spans="1:3" x14ac:dyDescent="0.35">
      <c r="A8" s="2"/>
    </row>
    <row r="9" spans="1:3" x14ac:dyDescent="0.35">
      <c r="A9" s="2" t="s">
        <v>34</v>
      </c>
      <c r="B9" s="2" t="s">
        <v>35</v>
      </c>
      <c r="C9" s="2" t="s">
        <v>36</v>
      </c>
    </row>
    <row r="10" spans="1:3" x14ac:dyDescent="0.35">
      <c r="A10" t="s">
        <v>37</v>
      </c>
      <c r="B10" s="9">
        <v>40230</v>
      </c>
      <c r="C10" s="10">
        <f ca="1">($B$3-B10)/365</f>
        <v>12.416438356164383</v>
      </c>
    </row>
    <row r="11" spans="1:3" x14ac:dyDescent="0.35">
      <c r="A11" t="s">
        <v>38</v>
      </c>
      <c r="B11" s="9">
        <v>40802</v>
      </c>
      <c r="C11" s="10">
        <f t="shared" ref="C11:C39" ca="1" si="0">($B$3-B11)/365</f>
        <v>10.849315068493151</v>
      </c>
    </row>
    <row r="12" spans="1:3" x14ac:dyDescent="0.35">
      <c r="A12" t="s">
        <v>39</v>
      </c>
      <c r="B12" s="9">
        <v>36715</v>
      </c>
      <c r="C12" s="10">
        <f t="shared" ca="1" si="0"/>
        <v>22.046575342465754</v>
      </c>
    </row>
    <row r="13" spans="1:3" x14ac:dyDescent="0.35">
      <c r="A13" t="s">
        <v>40</v>
      </c>
      <c r="B13" s="9">
        <v>37009</v>
      </c>
      <c r="C13" s="10">
        <f t="shared" ca="1" si="0"/>
        <v>21.241095890410961</v>
      </c>
    </row>
    <row r="14" spans="1:3" x14ac:dyDescent="0.35">
      <c r="A14" t="s">
        <v>41</v>
      </c>
      <c r="B14" s="9">
        <v>38067</v>
      </c>
      <c r="C14" s="10">
        <f t="shared" ca="1" si="0"/>
        <v>18.342465753424658</v>
      </c>
    </row>
    <row r="15" spans="1:3" x14ac:dyDescent="0.35">
      <c r="A15" t="s">
        <v>42</v>
      </c>
      <c r="B15" s="9">
        <v>33193</v>
      </c>
      <c r="C15" s="10">
        <f t="shared" ca="1" si="0"/>
        <v>31.695890410958903</v>
      </c>
    </row>
    <row r="16" spans="1:3" x14ac:dyDescent="0.35">
      <c r="A16" t="s">
        <v>43</v>
      </c>
      <c r="B16" s="9">
        <v>38364</v>
      </c>
      <c r="C16" s="10">
        <f t="shared" ca="1" si="0"/>
        <v>17.528767123287672</v>
      </c>
    </row>
    <row r="17" spans="1:3" x14ac:dyDescent="0.35">
      <c r="A17" t="s">
        <v>44</v>
      </c>
      <c r="B17" s="9">
        <v>39303</v>
      </c>
      <c r="C17" s="10">
        <f t="shared" ca="1" si="0"/>
        <v>14.956164383561644</v>
      </c>
    </row>
    <row r="18" spans="1:3" x14ac:dyDescent="0.35">
      <c r="A18" t="s">
        <v>45</v>
      </c>
      <c r="B18" s="9">
        <v>34718</v>
      </c>
      <c r="C18" s="10">
        <f t="shared" ca="1" si="0"/>
        <v>27.517808219178082</v>
      </c>
    </row>
    <row r="19" spans="1:3" x14ac:dyDescent="0.35">
      <c r="A19" t="s">
        <v>46</v>
      </c>
      <c r="B19" s="9">
        <v>37444</v>
      </c>
      <c r="C19" s="10">
        <f t="shared" ca="1" si="0"/>
        <v>20.049315068493151</v>
      </c>
    </row>
    <row r="20" spans="1:3" x14ac:dyDescent="0.35">
      <c r="A20" t="s">
        <v>47</v>
      </c>
      <c r="B20" s="9">
        <v>41971</v>
      </c>
      <c r="C20" s="10">
        <f t="shared" ca="1" si="0"/>
        <v>7.646575342465753</v>
      </c>
    </row>
    <row r="21" spans="1:3" x14ac:dyDescent="0.35">
      <c r="A21" t="s">
        <v>48</v>
      </c>
      <c r="B21" s="9">
        <v>37086</v>
      </c>
      <c r="C21" s="10">
        <f t="shared" ca="1" si="0"/>
        <v>21.030136986301368</v>
      </c>
    </row>
    <row r="22" spans="1:3" x14ac:dyDescent="0.35">
      <c r="A22" t="s">
        <v>49</v>
      </c>
      <c r="B22" s="9">
        <v>37268</v>
      </c>
      <c r="C22" s="10">
        <f t="shared" ca="1" si="0"/>
        <v>20.531506849315068</v>
      </c>
    </row>
    <row r="23" spans="1:3" x14ac:dyDescent="0.35">
      <c r="A23" t="s">
        <v>50</v>
      </c>
      <c r="B23" s="9">
        <v>39977</v>
      </c>
      <c r="C23" s="10">
        <f t="shared" ca="1" si="0"/>
        <v>13.109589041095891</v>
      </c>
    </row>
    <row r="24" spans="1:3" x14ac:dyDescent="0.35">
      <c r="A24" t="s">
        <v>51</v>
      </c>
      <c r="B24" s="9">
        <v>35644</v>
      </c>
      <c r="C24" s="10">
        <f t="shared" ca="1" si="0"/>
        <v>24.980821917808218</v>
      </c>
    </row>
    <row r="25" spans="1:3" x14ac:dyDescent="0.35">
      <c r="A25" t="s">
        <v>52</v>
      </c>
      <c r="B25" s="9">
        <v>35025</v>
      </c>
      <c r="C25" s="10">
        <f t="shared" ca="1" si="0"/>
        <v>26.676712328767124</v>
      </c>
    </row>
    <row r="26" spans="1:3" x14ac:dyDescent="0.35">
      <c r="A26" t="s">
        <v>53</v>
      </c>
      <c r="B26" s="9">
        <v>33160</v>
      </c>
      <c r="C26" s="10">
        <f t="shared" ca="1" si="0"/>
        <v>31.786301369863015</v>
      </c>
    </row>
    <row r="27" spans="1:3" x14ac:dyDescent="0.35">
      <c r="A27" t="s">
        <v>54</v>
      </c>
      <c r="B27" s="9">
        <v>39069</v>
      </c>
      <c r="C27" s="10">
        <f t="shared" ca="1" si="0"/>
        <v>15.597260273972603</v>
      </c>
    </row>
    <row r="28" spans="1:3" x14ac:dyDescent="0.35">
      <c r="A28" t="s">
        <v>55</v>
      </c>
      <c r="B28" s="9">
        <v>36263</v>
      </c>
      <c r="C28" s="10">
        <f t="shared" ca="1" si="0"/>
        <v>23.284931506849315</v>
      </c>
    </row>
    <row r="29" spans="1:3" x14ac:dyDescent="0.35">
      <c r="A29" t="s">
        <v>56</v>
      </c>
      <c r="B29" s="9">
        <v>39912</v>
      </c>
      <c r="C29" s="10">
        <f t="shared" ca="1" si="0"/>
        <v>13.287671232876713</v>
      </c>
    </row>
    <row r="30" spans="1:3" x14ac:dyDescent="0.35">
      <c r="A30" t="s">
        <v>57</v>
      </c>
      <c r="B30" s="9">
        <v>33851</v>
      </c>
      <c r="C30" s="10">
        <f t="shared" ca="1" si="0"/>
        <v>29.893150684931506</v>
      </c>
    </row>
    <row r="31" spans="1:3" x14ac:dyDescent="0.35">
      <c r="A31" t="s">
        <v>58</v>
      </c>
      <c r="B31" s="9">
        <v>38836</v>
      </c>
      <c r="C31" s="10">
        <f t="shared" ca="1" si="0"/>
        <v>16.235616438356164</v>
      </c>
    </row>
    <row r="32" spans="1:3" x14ac:dyDescent="0.35">
      <c r="A32" t="s">
        <v>59</v>
      </c>
      <c r="B32" s="9">
        <v>37349</v>
      </c>
      <c r="C32" s="10">
        <f t="shared" ca="1" si="0"/>
        <v>20.30958904109589</v>
      </c>
    </row>
    <row r="33" spans="1:3" x14ac:dyDescent="0.35">
      <c r="A33" t="s">
        <v>60</v>
      </c>
      <c r="B33" s="9">
        <v>40176</v>
      </c>
      <c r="C33" s="10">
        <f t="shared" ca="1" si="0"/>
        <v>12.564383561643835</v>
      </c>
    </row>
    <row r="34" spans="1:3" x14ac:dyDescent="0.35">
      <c r="A34" t="s">
        <v>61</v>
      </c>
      <c r="B34" s="9">
        <v>42147</v>
      </c>
      <c r="C34" s="10">
        <f t="shared" ca="1" si="0"/>
        <v>7.1643835616438354</v>
      </c>
    </row>
    <row r="35" spans="1:3" x14ac:dyDescent="0.35">
      <c r="A35" t="s">
        <v>62</v>
      </c>
      <c r="B35" s="9">
        <v>38288</v>
      </c>
      <c r="C35" s="10">
        <f t="shared" ca="1" si="0"/>
        <v>17.736986301369864</v>
      </c>
    </row>
    <row r="36" spans="1:3" x14ac:dyDescent="0.35">
      <c r="A36" t="s">
        <v>63</v>
      </c>
      <c r="B36" s="9">
        <v>32931</v>
      </c>
      <c r="C36" s="10">
        <f t="shared" ca="1" si="0"/>
        <v>32.413698630136984</v>
      </c>
    </row>
    <row r="37" spans="1:3" x14ac:dyDescent="0.35">
      <c r="A37" t="s">
        <v>64</v>
      </c>
      <c r="B37" s="9">
        <v>41249</v>
      </c>
      <c r="C37" s="10">
        <f t="shared" ca="1" si="0"/>
        <v>9.624657534246575</v>
      </c>
    </row>
    <row r="38" spans="1:3" x14ac:dyDescent="0.35">
      <c r="A38" t="s">
        <v>65</v>
      </c>
      <c r="B38" s="9">
        <v>40180</v>
      </c>
      <c r="C38" s="10">
        <f t="shared" ca="1" si="0"/>
        <v>12.553424657534247</v>
      </c>
    </row>
    <row r="39" spans="1:3" x14ac:dyDescent="0.35">
      <c r="A39" t="s">
        <v>66</v>
      </c>
      <c r="B39" s="9">
        <v>39397</v>
      </c>
      <c r="C39" s="10">
        <f t="shared" ca="1" si="0"/>
        <v>14.698630136986301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3A33-77E8-412D-B6A2-05BF503F82F6}">
  <dimension ref="A2:D7"/>
  <sheetViews>
    <sheetView workbookViewId="0">
      <selection activeCell="I12" sqref="I12"/>
    </sheetView>
  </sheetViews>
  <sheetFormatPr defaultRowHeight="14.5" x14ac:dyDescent="0.35"/>
  <cols>
    <col min="1" max="1" width="12.36328125" bestFit="1" customWidth="1"/>
    <col min="2" max="2" width="16.08984375" bestFit="1" customWidth="1"/>
    <col min="3" max="3" width="10.90625" bestFit="1" customWidth="1"/>
    <col min="4" max="4" width="17.453125" bestFit="1" customWidth="1"/>
    <col min="5" max="7" width="10.90625" bestFit="1" customWidth="1"/>
    <col min="8" max="9" width="8.36328125" bestFit="1" customWidth="1"/>
    <col min="10" max="10" width="13.81640625" bestFit="1" customWidth="1"/>
    <col min="11" max="13" width="8.36328125" bestFit="1" customWidth="1"/>
    <col min="14" max="14" width="13.81640625" bestFit="1" customWidth="1"/>
    <col min="15" max="17" width="8.36328125" bestFit="1" customWidth="1"/>
    <col min="18" max="18" width="15" bestFit="1" customWidth="1"/>
    <col min="19" max="21" width="8.36328125" bestFit="1" customWidth="1"/>
    <col min="22" max="22" width="20.90625" bestFit="1" customWidth="1"/>
    <col min="23" max="23" width="19.26953125" bestFit="1" customWidth="1"/>
    <col min="24" max="25" width="18.6328125" bestFit="1" customWidth="1"/>
    <col min="26" max="26" width="19.81640625" bestFit="1" customWidth="1"/>
  </cols>
  <sheetData>
    <row r="2" spans="1:4" x14ac:dyDescent="0.35">
      <c r="A2" s="12" t="s">
        <v>11</v>
      </c>
      <c r="B2" t="s">
        <v>121</v>
      </c>
      <c r="C2" t="s">
        <v>122</v>
      </c>
      <c r="D2" t="s">
        <v>124</v>
      </c>
    </row>
    <row r="3" spans="1:4" x14ac:dyDescent="0.35">
      <c r="A3" s="13" t="s">
        <v>15</v>
      </c>
      <c r="B3" s="14">
        <v>271091</v>
      </c>
      <c r="C3" s="14">
        <v>250000</v>
      </c>
      <c r="D3" s="14">
        <v>10843.64</v>
      </c>
    </row>
    <row r="4" spans="1:4" x14ac:dyDescent="0.35">
      <c r="A4" s="13" t="s">
        <v>14</v>
      </c>
      <c r="B4" s="14">
        <v>371193</v>
      </c>
      <c r="C4" s="14">
        <v>400000</v>
      </c>
      <c r="D4" s="14">
        <v>14847.720000000001</v>
      </c>
    </row>
    <row r="5" spans="1:4" x14ac:dyDescent="0.35">
      <c r="A5" s="13" t="s">
        <v>13</v>
      </c>
      <c r="B5" s="14">
        <v>281001</v>
      </c>
      <c r="C5" s="14">
        <v>275000</v>
      </c>
      <c r="D5" s="14">
        <v>11240.04</v>
      </c>
    </row>
    <row r="6" spans="1:4" x14ac:dyDescent="0.35">
      <c r="A6" s="13" t="s">
        <v>12</v>
      </c>
      <c r="B6" s="14">
        <v>368575</v>
      </c>
      <c r="C6" s="14">
        <v>325000</v>
      </c>
      <c r="D6" s="14">
        <v>14743</v>
      </c>
    </row>
    <row r="7" spans="1:4" x14ac:dyDescent="0.35">
      <c r="A7" s="13" t="s">
        <v>123</v>
      </c>
      <c r="B7" s="14">
        <v>1291860</v>
      </c>
      <c r="C7" s="14">
        <v>1250000</v>
      </c>
      <c r="D7" s="14">
        <v>51674.400000000001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1"/>
  <sheetViews>
    <sheetView topLeftCell="B3" zoomScale="130" zoomScaleNormal="130" workbookViewId="0">
      <selection activeCell="B8" sqref="B8:N11"/>
    </sheetView>
  </sheetViews>
  <sheetFormatPr defaultRowHeight="14.5" x14ac:dyDescent="0.35"/>
  <cols>
    <col min="1" max="1" width="4.7265625" customWidth="1"/>
    <col min="2" max="2" width="15.26953125" bestFit="1" customWidth="1"/>
    <col min="3" max="3" width="10.08984375" customWidth="1"/>
    <col min="4" max="5" width="9.453125" customWidth="1"/>
    <col min="6" max="6" width="10.6328125" customWidth="1"/>
    <col min="7" max="7" width="11.7265625" customWidth="1"/>
    <col min="8" max="8" width="8.453125" bestFit="1" customWidth="1"/>
    <col min="9" max="9" width="13" customWidth="1"/>
    <col min="10" max="10" width="12.26953125" customWidth="1"/>
    <col min="11" max="11" width="15.90625" customWidth="1"/>
    <col min="12" max="12" width="13.54296875" customWidth="1"/>
    <col min="13" max="13" width="19.7265625" customWidth="1"/>
    <col min="14" max="14" width="19" bestFit="1" customWidth="1"/>
  </cols>
  <sheetData>
    <row r="1" spans="1:14" ht="15.5" x14ac:dyDescent="0.35">
      <c r="A1" s="1" t="s">
        <v>16</v>
      </c>
    </row>
    <row r="3" spans="1:14" x14ac:dyDescent="0.35">
      <c r="B3" t="s">
        <v>17</v>
      </c>
      <c r="C3" s="4">
        <v>0.04</v>
      </c>
    </row>
    <row r="4" spans="1:14" x14ac:dyDescent="0.35">
      <c r="B4" t="s">
        <v>18</v>
      </c>
      <c r="C4" s="4">
        <v>0.01</v>
      </c>
    </row>
    <row r="5" spans="1:14" x14ac:dyDescent="0.35">
      <c r="B5" t="s">
        <v>19</v>
      </c>
      <c r="C5" s="3">
        <v>85000</v>
      </c>
    </row>
    <row r="7" spans="1:14" x14ac:dyDescent="0.35">
      <c r="B7" s="2" t="s">
        <v>11</v>
      </c>
      <c r="C7" s="2" t="s">
        <v>20</v>
      </c>
      <c r="D7" s="2" t="s">
        <v>21</v>
      </c>
      <c r="E7" s="2" t="s">
        <v>22</v>
      </c>
      <c r="F7" s="2" t="s">
        <v>23</v>
      </c>
      <c r="G7" s="2" t="s">
        <v>24</v>
      </c>
      <c r="H7" s="2" t="s">
        <v>25</v>
      </c>
      <c r="I7" s="2" t="s">
        <v>26</v>
      </c>
      <c r="J7" s="2" t="s">
        <v>27</v>
      </c>
      <c r="K7" s="2" t="s">
        <v>28</v>
      </c>
      <c r="L7" s="2" t="s">
        <v>29</v>
      </c>
      <c r="M7" s="2" t="s">
        <v>30</v>
      </c>
      <c r="N7" s="2" t="s">
        <v>31</v>
      </c>
    </row>
    <row r="8" spans="1:14" x14ac:dyDescent="0.35">
      <c r="B8" s="2" t="s">
        <v>12</v>
      </c>
      <c r="C8" s="3">
        <v>118340</v>
      </c>
      <c r="D8" s="3">
        <v>114071</v>
      </c>
      <c r="E8" s="3">
        <v>76387</v>
      </c>
      <c r="F8" s="3">
        <v>59777</v>
      </c>
      <c r="G8" s="3">
        <f>SUM(C8:F8)</f>
        <v>368575</v>
      </c>
      <c r="H8" s="3">
        <v>325000</v>
      </c>
      <c r="I8" s="3">
        <f>G8*$C$3</f>
        <v>14743</v>
      </c>
      <c r="J8" s="5">
        <f>IF(G8&gt;H8,G8*$C$4,0)</f>
        <v>3685.75</v>
      </c>
      <c r="K8" s="6">
        <f>$C$4*SUMIF(C8:F8,"&gt;85,000")</f>
        <v>2324.11</v>
      </c>
      <c r="L8" s="7">
        <f>COUNTIF(C8:F8,"&gt;"&amp;$C$5)</f>
        <v>2</v>
      </c>
      <c r="M8" s="3">
        <f>G8+I8+J8+K8</f>
        <v>389327.86</v>
      </c>
      <c r="N8" s="8" t="str">
        <f>IF(AND(J8&gt;0,L8&gt;1),"Wiscanson Vacation","")</f>
        <v>Wiscanson Vacation</v>
      </c>
    </row>
    <row r="9" spans="1:14" x14ac:dyDescent="0.35">
      <c r="B9" s="2" t="s">
        <v>13</v>
      </c>
      <c r="C9" s="3">
        <v>82580</v>
      </c>
      <c r="D9" s="3">
        <v>123394</v>
      </c>
      <c r="E9" s="3">
        <v>44257</v>
      </c>
      <c r="F9" s="3">
        <v>30770</v>
      </c>
      <c r="G9" s="3">
        <f>SUM(C9:F9)</f>
        <v>281001</v>
      </c>
      <c r="H9" s="3">
        <v>275000</v>
      </c>
      <c r="I9" s="3">
        <f>G9*$C$3</f>
        <v>11240.04</v>
      </c>
      <c r="J9" s="5">
        <f t="shared" ref="J9:J11" si="0">IF(G9&gt;H9,G9*$C$4,0)</f>
        <v>2810.01</v>
      </c>
      <c r="K9" s="6">
        <f t="shared" ref="K9:K11" si="1">$C$4*SUMIF(C9:F9,"&gt;85,000")</f>
        <v>1233.94</v>
      </c>
      <c r="L9" s="7">
        <f t="shared" ref="L9:L11" si="2">COUNTIF(C9:F9,"&gt;"&amp;$C$5)</f>
        <v>1</v>
      </c>
      <c r="M9" s="3">
        <f>G9+I9+J9+K9</f>
        <v>296284.99</v>
      </c>
      <c r="N9" s="8" t="str">
        <f t="shared" ref="N9:N11" si="3">IF(AND(J9&gt;0,L9&gt;1),"Wiscanson Vacation","")</f>
        <v/>
      </c>
    </row>
    <row r="10" spans="1:14" x14ac:dyDescent="0.35">
      <c r="B10" s="2" t="s">
        <v>14</v>
      </c>
      <c r="C10" s="3">
        <v>147238</v>
      </c>
      <c r="D10" s="3">
        <v>27118</v>
      </c>
      <c r="E10" s="3">
        <v>87111</v>
      </c>
      <c r="F10" s="3">
        <v>109726</v>
      </c>
      <c r="G10" s="3">
        <f>SUM(C10:F10)</f>
        <v>371193</v>
      </c>
      <c r="H10" s="3">
        <v>400000</v>
      </c>
      <c r="I10" s="3">
        <f>G10*$C$3</f>
        <v>14847.720000000001</v>
      </c>
      <c r="J10" s="5">
        <f t="shared" si="0"/>
        <v>0</v>
      </c>
      <c r="K10" s="6">
        <f t="shared" si="1"/>
        <v>3440.75</v>
      </c>
      <c r="L10" s="7">
        <f t="shared" si="2"/>
        <v>3</v>
      </c>
      <c r="M10" s="3">
        <f>G10+I10+J10+K10</f>
        <v>389481.47</v>
      </c>
      <c r="N10" s="8" t="str">
        <f t="shared" si="3"/>
        <v/>
      </c>
    </row>
    <row r="11" spans="1:14" x14ac:dyDescent="0.35">
      <c r="B11" s="2" t="s">
        <v>15</v>
      </c>
      <c r="C11" s="3">
        <v>81590</v>
      </c>
      <c r="D11" s="3">
        <v>66976</v>
      </c>
      <c r="E11" s="3">
        <v>49798</v>
      </c>
      <c r="F11" s="3">
        <v>72727</v>
      </c>
      <c r="G11" s="3">
        <f>SUM(C11:F11)</f>
        <v>271091</v>
      </c>
      <c r="H11" s="3">
        <v>250000</v>
      </c>
      <c r="I11" s="3">
        <f>G11*$C$3</f>
        <v>10843.64</v>
      </c>
      <c r="J11" s="5">
        <f t="shared" si="0"/>
        <v>2710.91</v>
      </c>
      <c r="K11" s="6">
        <f t="shared" si="1"/>
        <v>0</v>
      </c>
      <c r="L11" s="7">
        <f t="shared" si="2"/>
        <v>0</v>
      </c>
      <c r="M11" s="3">
        <f>G11+I11+J11+K11</f>
        <v>284645.55</v>
      </c>
      <c r="N11" s="8" t="str">
        <f t="shared" si="3"/>
        <v/>
      </c>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
  <sheetViews>
    <sheetView workbookViewId="0">
      <selection activeCell="J15" sqref="J15"/>
    </sheetView>
  </sheetViews>
  <sheetFormatPr defaultRowHeight="14.5" x14ac:dyDescent="0.35"/>
  <cols>
    <col min="1" max="1" width="22.1796875" bestFit="1" customWidth="1"/>
    <col min="2" max="2" width="10.54296875" bestFit="1" customWidth="1"/>
  </cols>
  <sheetData>
    <row r="1" spans="1:7" ht="15.5" x14ac:dyDescent="0.35">
      <c r="A1" s="1" t="s">
        <v>67</v>
      </c>
    </row>
    <row r="3" spans="1:7" x14ac:dyDescent="0.35">
      <c r="A3" s="2" t="s">
        <v>68</v>
      </c>
      <c r="B3" s="2" t="s">
        <v>69</v>
      </c>
      <c r="G3" s="11"/>
    </row>
    <row r="4" spans="1:7" x14ac:dyDescent="0.35">
      <c r="A4" t="s">
        <v>70</v>
      </c>
      <c r="B4" s="9">
        <v>43299</v>
      </c>
    </row>
    <row r="5" spans="1:7" x14ac:dyDescent="0.35">
      <c r="A5" t="s">
        <v>71</v>
      </c>
      <c r="B5" s="9">
        <v>43453</v>
      </c>
    </row>
    <row r="6" spans="1:7" x14ac:dyDescent="0.35">
      <c r="A6" t="s">
        <v>104</v>
      </c>
      <c r="B6" s="9">
        <v>43308</v>
      </c>
    </row>
    <row r="7" spans="1:7" x14ac:dyDescent="0.35">
      <c r="A7" t="s">
        <v>104</v>
      </c>
      <c r="B7" s="9">
        <v>43322</v>
      </c>
    </row>
    <row r="8" spans="1:7" x14ac:dyDescent="0.35">
      <c r="A8" t="s">
        <v>104</v>
      </c>
      <c r="B8" s="9">
        <v>43336</v>
      </c>
    </row>
    <row r="9" spans="1:7" x14ac:dyDescent="0.35">
      <c r="A9" s="2" t="s">
        <v>72</v>
      </c>
      <c r="B9">
        <f>NETWORKDAYS(B4,B5,B6:B8)</f>
        <v>108</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
  <sheetViews>
    <sheetView workbookViewId="0">
      <selection activeCell="B26" sqref="B26"/>
    </sheetView>
  </sheetViews>
  <sheetFormatPr defaultRowHeight="14.5" x14ac:dyDescent="0.35"/>
  <cols>
    <col min="1" max="1" width="11.36328125" customWidth="1"/>
    <col min="2" max="2" width="12.54296875" customWidth="1"/>
    <col min="3" max="3" width="13.81640625" customWidth="1"/>
    <col min="4" max="4" width="12.54296875" customWidth="1"/>
    <col min="5" max="5" width="7.453125" customWidth="1"/>
    <col min="6" max="6" width="22.08984375" customWidth="1"/>
    <col min="7" max="7" width="10" customWidth="1"/>
    <col min="8" max="8" width="9.54296875" customWidth="1"/>
    <col min="9" max="9" width="7.81640625" customWidth="1"/>
    <col min="10" max="10" width="17.7265625" bestFit="1" customWidth="1"/>
    <col min="11" max="11" width="22.7265625" bestFit="1" customWidth="1"/>
  </cols>
  <sheetData>
    <row r="1" spans="1:11" x14ac:dyDescent="0.35">
      <c r="A1" s="2" t="s">
        <v>109</v>
      </c>
      <c r="B1" s="2" t="s">
        <v>73</v>
      </c>
      <c r="C1" s="2" t="s">
        <v>110</v>
      </c>
      <c r="D1" s="2" t="s">
        <v>74</v>
      </c>
      <c r="E1" s="2" t="s">
        <v>111</v>
      </c>
      <c r="F1" s="2" t="s">
        <v>75</v>
      </c>
      <c r="G1" s="2" t="s">
        <v>76</v>
      </c>
      <c r="H1" s="2" t="s">
        <v>77</v>
      </c>
      <c r="I1" s="2" t="s">
        <v>78</v>
      </c>
      <c r="J1" s="2" t="s">
        <v>79</v>
      </c>
      <c r="K1" s="2" t="s">
        <v>108</v>
      </c>
    </row>
    <row r="2" spans="1:11" x14ac:dyDescent="0.35">
      <c r="B2" t="s">
        <v>80</v>
      </c>
      <c r="C2" t="s">
        <v>113</v>
      </c>
      <c r="D2" t="s">
        <v>81</v>
      </c>
      <c r="F2" t="s">
        <v>82</v>
      </c>
      <c r="G2" t="str">
        <f>LEFT(F2,2)</f>
        <v>C1</v>
      </c>
      <c r="H2" t="str">
        <f>MID(F2,3,2)</f>
        <v>BA</v>
      </c>
      <c r="I2" t="str">
        <f>RIGHT(F2,4)</f>
        <v>FL01</v>
      </c>
      <c r="J2" t="str">
        <f>_xlfn.CONCAT(B2," ",D2)</f>
        <v>Minnie Pope</v>
      </c>
      <c r="K2" t="str">
        <f>_xlfn.TEXTJOIN(" ",TRUE,A2:E2)</f>
        <v>Minnie S. Pope</v>
      </c>
    </row>
    <row r="3" spans="1:11" x14ac:dyDescent="0.35">
      <c r="B3" t="s">
        <v>83</v>
      </c>
      <c r="C3" t="s">
        <v>114</v>
      </c>
      <c r="D3" t="s">
        <v>84</v>
      </c>
      <c r="E3" t="s">
        <v>119</v>
      </c>
      <c r="F3" t="s">
        <v>85</v>
      </c>
      <c r="G3" t="str">
        <f t="shared" ref="G3:G9" si="0">LEFT(F3,2)</f>
        <v>C1</v>
      </c>
      <c r="H3" t="str">
        <f t="shared" ref="H3:H9" si="1">MID(F3,3,2)</f>
        <v>BB</v>
      </c>
      <c r="I3" t="str">
        <f t="shared" ref="I3:I9" si="2">RIGHT(F3,4)</f>
        <v>FL02</v>
      </c>
      <c r="J3" t="str">
        <f t="shared" ref="J3:J9" si="3">_xlfn.CONCAT(B3," ",D3)</f>
        <v>Terry Hart</v>
      </c>
      <c r="K3" t="str">
        <f t="shared" ref="K3:K9" si="4">_xlfn.TEXTJOIN(" ",TRUE,A3:E3)</f>
        <v>Terry P. Hart Jr.</v>
      </c>
    </row>
    <row r="4" spans="1:11" x14ac:dyDescent="0.35">
      <c r="A4" t="s">
        <v>112</v>
      </c>
      <c r="B4" t="s">
        <v>86</v>
      </c>
      <c r="C4" t="s">
        <v>115</v>
      </c>
      <c r="D4" t="s">
        <v>87</v>
      </c>
      <c r="F4" t="s">
        <v>88</v>
      </c>
      <c r="G4" t="str">
        <f t="shared" si="0"/>
        <v>C1</v>
      </c>
      <c r="H4" t="str">
        <f t="shared" si="1"/>
        <v>BA</v>
      </c>
      <c r="I4" t="str">
        <f t="shared" si="2"/>
        <v>FL02</v>
      </c>
      <c r="J4" t="str">
        <f t="shared" si="3"/>
        <v>Dianna Watts</v>
      </c>
      <c r="K4" t="str">
        <f t="shared" si="4"/>
        <v>Dr. Dianna J. Watts</v>
      </c>
    </row>
    <row r="5" spans="1:11" x14ac:dyDescent="0.35">
      <c r="B5" t="s">
        <v>89</v>
      </c>
      <c r="C5" t="s">
        <v>116</v>
      </c>
      <c r="D5" t="s">
        <v>90</v>
      </c>
      <c r="F5" t="s">
        <v>91</v>
      </c>
      <c r="G5" t="str">
        <f t="shared" si="0"/>
        <v>C1</v>
      </c>
      <c r="H5" t="str">
        <f t="shared" si="1"/>
        <v>BB</v>
      </c>
      <c r="I5" t="str">
        <f t="shared" si="2"/>
        <v>FL03</v>
      </c>
      <c r="J5" t="str">
        <f t="shared" si="3"/>
        <v>Martha Fernandez</v>
      </c>
      <c r="K5" t="str">
        <f t="shared" si="4"/>
        <v>Martha A. Fernandez</v>
      </c>
    </row>
    <row r="6" spans="1:11" x14ac:dyDescent="0.35">
      <c r="A6" t="s">
        <v>112</v>
      </c>
      <c r="B6" t="s">
        <v>92</v>
      </c>
      <c r="C6" t="s">
        <v>117</v>
      </c>
      <c r="D6" t="s">
        <v>93</v>
      </c>
      <c r="F6" t="s">
        <v>94</v>
      </c>
      <c r="G6" t="str">
        <f t="shared" si="0"/>
        <v>C1</v>
      </c>
      <c r="H6" t="str">
        <f t="shared" si="1"/>
        <v>BA</v>
      </c>
      <c r="I6" t="str">
        <f t="shared" si="2"/>
        <v>FL03</v>
      </c>
      <c r="J6" t="str">
        <f t="shared" si="3"/>
        <v>Alyssa Underwood</v>
      </c>
      <c r="K6" t="str">
        <f t="shared" si="4"/>
        <v>Dr. Alyssa L. Underwood</v>
      </c>
    </row>
    <row r="7" spans="1:11" x14ac:dyDescent="0.35">
      <c r="A7" t="s">
        <v>112</v>
      </c>
      <c r="B7" t="s">
        <v>95</v>
      </c>
      <c r="C7" t="s">
        <v>115</v>
      </c>
      <c r="D7" t="s">
        <v>96</v>
      </c>
      <c r="E7" t="s">
        <v>120</v>
      </c>
      <c r="F7" t="s">
        <v>97</v>
      </c>
      <c r="G7" t="str">
        <f t="shared" si="0"/>
        <v>C1</v>
      </c>
      <c r="H7" t="str">
        <f t="shared" si="1"/>
        <v>BC</v>
      </c>
      <c r="I7" t="str">
        <f t="shared" si="2"/>
        <v>FL01</v>
      </c>
      <c r="J7" t="str">
        <f t="shared" si="3"/>
        <v>Dexter Cox</v>
      </c>
      <c r="K7" t="str">
        <f t="shared" si="4"/>
        <v>Dr. Dexter J. Cox III</v>
      </c>
    </row>
    <row r="8" spans="1:11" x14ac:dyDescent="0.35">
      <c r="B8" t="s">
        <v>98</v>
      </c>
      <c r="C8" t="s">
        <v>115</v>
      </c>
      <c r="D8" t="s">
        <v>99</v>
      </c>
      <c r="F8" t="s">
        <v>100</v>
      </c>
      <c r="G8" t="str">
        <f t="shared" si="0"/>
        <v>C1</v>
      </c>
      <c r="H8" t="str">
        <f t="shared" si="1"/>
        <v>BC</v>
      </c>
      <c r="I8" t="str">
        <f t="shared" si="2"/>
        <v>FL02</v>
      </c>
      <c r="J8" t="str">
        <f t="shared" si="3"/>
        <v>Julius Ferguson</v>
      </c>
      <c r="K8" t="str">
        <f t="shared" si="4"/>
        <v>Julius J. Ferguson</v>
      </c>
    </row>
    <row r="9" spans="1:11" x14ac:dyDescent="0.35">
      <c r="B9" t="s">
        <v>101</v>
      </c>
      <c r="C9" t="s">
        <v>118</v>
      </c>
      <c r="D9" t="s">
        <v>102</v>
      </c>
      <c r="F9" t="s">
        <v>103</v>
      </c>
      <c r="G9" t="str">
        <f t="shared" si="0"/>
        <v>C1</v>
      </c>
      <c r="H9" t="str">
        <f t="shared" si="1"/>
        <v>BC</v>
      </c>
      <c r="I9" t="str">
        <f t="shared" si="2"/>
        <v>FL03</v>
      </c>
      <c r="J9" t="str">
        <f t="shared" si="3"/>
        <v>Hannah Duncan</v>
      </c>
      <c r="K9" t="str">
        <f t="shared" si="4"/>
        <v>Hannah E. Duncan</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Region</vt:lpstr>
      <vt:lpstr>Employees</vt:lpstr>
      <vt:lpstr>pivottable</vt:lpstr>
      <vt:lpstr>Bonus</vt:lpstr>
      <vt:lpstr>Project Details</vt:lpstr>
      <vt:lpstr>Campus Information</vt:lpstr>
      <vt:lpstr>East</vt:lpstr>
      <vt:lpstr>North</vt:lpstr>
      <vt:lpstr>Qtr_1</vt:lpstr>
      <vt:lpstr>Qtr_2</vt:lpstr>
      <vt:lpstr>Qtr_3</vt:lpstr>
      <vt:lpstr>Qtr_4</vt:lpstr>
      <vt:lpstr>South</vt:lpstr>
      <vt:lpstr>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Saba Alshaeer</cp:lastModifiedBy>
  <dcterms:created xsi:type="dcterms:W3CDTF">2015-10-06T18:39:33Z</dcterms:created>
  <dcterms:modified xsi:type="dcterms:W3CDTF">2022-07-21T01:07:03Z</dcterms:modified>
</cp:coreProperties>
</file>